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D:\Personal\HI\projects\current\hattrick\"/>
    </mc:Choice>
  </mc:AlternateContent>
  <xr:revisionPtr revIDLastSave="0" documentId="13_ncr:1_{F3F1325D-CB54-4917-B847-F2690693E698}" xr6:coauthVersionLast="44" xr6:coauthVersionMax="44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Hall_of_Fame" sheetId="1" r:id="rId1"/>
    <sheet name="Plantilla" sheetId="2" r:id="rId2"/>
    <sheet name="Juveniles" sheetId="3" r:id="rId3"/>
    <sheet name="V.252" sheetId="4" r:id="rId4"/>
    <sheet name="Planning" sheetId="5" r:id="rId5"/>
    <sheet name="Economia_T64" sheetId="18" r:id="rId6"/>
    <sheet name="Economia" sheetId="6" r:id="rId7"/>
    <sheet name="Capitán" sheetId="7" r:id="rId8"/>
    <sheet name="CA_Calcutator" sheetId="8" r:id="rId9"/>
    <sheet name="EstudioConversion" sheetId="9" r:id="rId10"/>
    <sheet name="El Tártaro" sheetId="10" r:id="rId11"/>
    <sheet name="Entrenador" sheetId="11" r:id="rId12"/>
    <sheet name="Banderas" sheetId="12" r:id="rId13"/>
    <sheet name="Evaluacion Jugadores" sheetId="13" r:id="rId14"/>
    <sheet name="LAT" sheetId="14" r:id="rId15"/>
    <sheet name="Inner" sheetId="19" r:id="rId16"/>
    <sheet name="Delantero" sheetId="15" r:id="rId17"/>
    <sheet name="PorteroTitular" sheetId="16" r:id="rId18"/>
    <sheet name="PorteroSuplente" sheetId="17" r:id="rId19"/>
  </sheets>
  <externalReferences>
    <externalReference r:id="rId20"/>
  </externalReferences>
  <definedNames>
    <definedName name="_xlnm._FilterDatabase" localSheetId="9" hidden="1">EstudioConversion!$A$1:$H$159</definedName>
  </definedNames>
  <calcPr calcId="191029"/>
  <pivotCaches>
    <pivotCache cacheId="0" r:id="rId2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smNativeData">
      <pm:revision xmlns:pm="smNativeData" day="1595604475" val="976" rev="124" rev64="64" revOS="3" revMin="124" revMax="0"/>
      <pm:docPrefs xmlns:pm="smNativeData" id="1595604475" fixedDigits="0" showNotice="1" showFrameBounds="1" autoChart="1" recalcOnPrint="1" recalcOnCopy="1" finalRounding="1" compatTextArt="1" tab="567" useDefinedPrintRange="1" printArea="currentSheet"/>
      <pm:compatibility xmlns:pm="smNativeData" id="1595604475" overlapCells="1"/>
      <pm:defCurrency xmlns:pm="smNativeData" id="1595604475"/>
    </ext>
  </extLst>
</workbook>
</file>

<file path=xl/calcChain.xml><?xml version="1.0" encoding="utf-8"?>
<calcChain xmlns="http://schemas.openxmlformats.org/spreadsheetml/2006/main">
  <c r="AD19" i="2" l="1"/>
  <c r="AD20" i="2"/>
  <c r="AD6" i="2"/>
  <c r="AD9" i="2"/>
  <c r="AD8" i="2"/>
  <c r="AD16" i="2"/>
  <c r="AD14" i="2"/>
  <c r="AD10" i="2"/>
  <c r="AD7" i="2"/>
  <c r="AD13" i="2"/>
  <c r="AD12" i="2"/>
  <c r="AD11" i="2"/>
  <c r="AD4" i="2"/>
  <c r="AB14" i="2"/>
  <c r="AB10" i="2"/>
  <c r="AB6" i="2"/>
  <c r="AB15" i="2"/>
  <c r="AB13" i="2"/>
  <c r="AB11" i="2"/>
  <c r="AB8" i="2"/>
  <c r="AB7" i="2"/>
  <c r="AB20" i="2"/>
  <c r="AB9" i="2"/>
  <c r="AA8" i="2"/>
  <c r="AA15" i="2"/>
  <c r="AA6" i="2"/>
  <c r="AA7" i="2"/>
  <c r="AA20" i="2"/>
  <c r="AA10" i="2"/>
  <c r="AA14" i="2"/>
  <c r="AA11" i="2"/>
  <c r="AA13" i="2"/>
  <c r="Z7" i="2"/>
  <c r="Z10" i="2"/>
  <c r="Z12" i="2"/>
  <c r="Z11" i="2"/>
  <c r="Z14" i="2"/>
  <c r="Z13" i="2"/>
  <c r="Z20" i="2"/>
  <c r="Z15" i="2"/>
  <c r="Z8" i="2"/>
  <c r="Y5" i="2"/>
  <c r="Y14" i="2"/>
  <c r="Y13" i="2"/>
  <c r="Y15" i="2"/>
  <c r="Y12" i="2"/>
  <c r="Y11" i="2"/>
  <c r="Y8" i="2"/>
  <c r="Y4" i="2"/>
  <c r="Y10" i="2"/>
  <c r="Y9" i="2"/>
  <c r="Y7" i="2"/>
  <c r="Y6" i="2"/>
  <c r="AD6" i="19" l="1"/>
  <c r="O3" i="19" l="1"/>
  <c r="Q3" i="19" s="1"/>
  <c r="P3" i="19"/>
  <c r="R3" i="19"/>
  <c r="S3" i="19"/>
  <c r="U3" i="19" s="1"/>
  <c r="T3" i="19"/>
  <c r="V3" i="19"/>
  <c r="X3" i="19" s="1"/>
  <c r="W3" i="19"/>
  <c r="Y3" i="19"/>
  <c r="Z3" i="19"/>
  <c r="AB3" i="19" s="1"/>
  <c r="AA3" i="19"/>
  <c r="O4" i="19"/>
  <c r="Q4" i="19" s="1"/>
  <c r="P4" i="19"/>
  <c r="R4" i="19"/>
  <c r="S4" i="19"/>
  <c r="U4" i="19" s="1"/>
  <c r="T4" i="19"/>
  <c r="V4" i="19"/>
  <c r="X4" i="19" s="1"/>
  <c r="W4" i="19"/>
  <c r="Y4" i="19"/>
  <c r="Z4" i="19"/>
  <c r="AB4" i="19" s="1"/>
  <c r="AA4" i="19"/>
  <c r="O5" i="19"/>
  <c r="Q5" i="19" s="1"/>
  <c r="P5" i="19"/>
  <c r="R5" i="19"/>
  <c r="S5" i="19"/>
  <c r="U5" i="19" s="1"/>
  <c r="T5" i="19"/>
  <c r="V5" i="19"/>
  <c r="X5" i="19" s="1"/>
  <c r="W5" i="19"/>
  <c r="Y5" i="19"/>
  <c r="Z5" i="19"/>
  <c r="AB5" i="19" s="1"/>
  <c r="AA5" i="19"/>
  <c r="O6" i="19"/>
  <c r="Q6" i="19" s="1"/>
  <c r="P6" i="19"/>
  <c r="R6" i="19"/>
  <c r="S6" i="19"/>
  <c r="U6" i="19" s="1"/>
  <c r="T6" i="19"/>
  <c r="V6" i="19"/>
  <c r="X6" i="19" s="1"/>
  <c r="W6" i="19"/>
  <c r="Y6" i="19"/>
  <c r="Z6" i="19"/>
  <c r="AB6" i="19" s="1"/>
  <c r="AA6" i="19"/>
  <c r="O7" i="19"/>
  <c r="Q7" i="19" s="1"/>
  <c r="P7" i="19"/>
  <c r="R7" i="19"/>
  <c r="S7" i="19"/>
  <c r="U7" i="19" s="1"/>
  <c r="T7" i="19"/>
  <c r="V7" i="19"/>
  <c r="X7" i="19" s="1"/>
  <c r="W7" i="19"/>
  <c r="Y7" i="19"/>
  <c r="Z7" i="19"/>
  <c r="AB7" i="19" s="1"/>
  <c r="AA7" i="19"/>
  <c r="O8" i="19"/>
  <c r="Q8" i="19" s="1"/>
  <c r="P8" i="19"/>
  <c r="R8" i="19"/>
  <c r="S8" i="19"/>
  <c r="U8" i="19" s="1"/>
  <c r="T8" i="19"/>
  <c r="V8" i="19"/>
  <c r="X8" i="19" s="1"/>
  <c r="W8" i="19"/>
  <c r="Y8" i="19"/>
  <c r="Z8" i="19"/>
  <c r="AB8" i="19" s="1"/>
  <c r="AA8" i="19"/>
  <c r="O9" i="19"/>
  <c r="Q9" i="19" s="1"/>
  <c r="P9" i="19"/>
  <c r="R9" i="19"/>
  <c r="S9" i="19"/>
  <c r="U9" i="19" s="1"/>
  <c r="T9" i="19"/>
  <c r="V9" i="19"/>
  <c r="X9" i="19" s="1"/>
  <c r="W9" i="19"/>
  <c r="Y9" i="19"/>
  <c r="Z9" i="19"/>
  <c r="AB9" i="19" s="1"/>
  <c r="AA9" i="19"/>
  <c r="O10" i="19"/>
  <c r="Q10" i="19" s="1"/>
  <c r="P10" i="19"/>
  <c r="R10" i="19"/>
  <c r="S10" i="19"/>
  <c r="U10" i="19" s="1"/>
  <c r="T10" i="19"/>
  <c r="V10" i="19"/>
  <c r="X10" i="19" s="1"/>
  <c r="W10" i="19"/>
  <c r="Y10" i="19"/>
  <c r="Z10" i="19"/>
  <c r="AB10" i="19" s="1"/>
  <c r="AA10" i="19"/>
  <c r="O11" i="19"/>
  <c r="Q11" i="19" s="1"/>
  <c r="P11" i="19"/>
  <c r="R11" i="19"/>
  <c r="S11" i="19"/>
  <c r="U11" i="19" s="1"/>
  <c r="T11" i="19"/>
  <c r="V11" i="19"/>
  <c r="X11" i="19" s="1"/>
  <c r="W11" i="19"/>
  <c r="Y11" i="19"/>
  <c r="Z11" i="19"/>
  <c r="AB11" i="19" s="1"/>
  <c r="AA11" i="19"/>
  <c r="O12" i="19"/>
  <c r="Q12" i="19" s="1"/>
  <c r="P12" i="19"/>
  <c r="R12" i="19"/>
  <c r="S12" i="19"/>
  <c r="U12" i="19" s="1"/>
  <c r="T12" i="19"/>
  <c r="V12" i="19"/>
  <c r="X12" i="19" s="1"/>
  <c r="W12" i="19"/>
  <c r="Y12" i="19"/>
  <c r="Z12" i="19"/>
  <c r="AB12" i="19" s="1"/>
  <c r="AA12" i="19"/>
  <c r="O13" i="19"/>
  <c r="Q13" i="19" s="1"/>
  <c r="P13" i="19"/>
  <c r="R13" i="19"/>
  <c r="S13" i="19"/>
  <c r="U13" i="19" s="1"/>
  <c r="T13" i="19"/>
  <c r="V13" i="19"/>
  <c r="X13" i="19" s="1"/>
  <c r="W13" i="19"/>
  <c r="Y13" i="19"/>
  <c r="Z13" i="19"/>
  <c r="AB13" i="19" s="1"/>
  <c r="AA13" i="19"/>
  <c r="O14" i="19"/>
  <c r="Q14" i="19" s="1"/>
  <c r="P14" i="19"/>
  <c r="R14" i="19"/>
  <c r="S14" i="19"/>
  <c r="U14" i="19" s="1"/>
  <c r="T14" i="19"/>
  <c r="V14" i="19"/>
  <c r="X14" i="19" s="1"/>
  <c r="W14" i="19"/>
  <c r="Y14" i="19"/>
  <c r="Z14" i="19"/>
  <c r="AB14" i="19" s="1"/>
  <c r="AA14" i="19"/>
  <c r="O15" i="19"/>
  <c r="Q15" i="19" s="1"/>
  <c r="P15" i="19"/>
  <c r="R15" i="19"/>
  <c r="S15" i="19"/>
  <c r="U15" i="19" s="1"/>
  <c r="T15" i="19"/>
  <c r="V15" i="19"/>
  <c r="X15" i="19" s="1"/>
  <c r="W15" i="19"/>
  <c r="Y15" i="19"/>
  <c r="Z15" i="19"/>
  <c r="AB15" i="19" s="1"/>
  <c r="AA15" i="19"/>
  <c r="O16" i="19"/>
  <c r="Q16" i="19" s="1"/>
  <c r="P16" i="19"/>
  <c r="R16" i="19"/>
  <c r="S16" i="19"/>
  <c r="U16" i="19" s="1"/>
  <c r="T16" i="19"/>
  <c r="V16" i="19"/>
  <c r="X16" i="19" s="1"/>
  <c r="W16" i="19"/>
  <c r="Y16" i="19"/>
  <c r="Z16" i="19"/>
  <c r="AB16" i="19" s="1"/>
  <c r="AA16" i="19"/>
  <c r="O17" i="19"/>
  <c r="Q17" i="19" s="1"/>
  <c r="P17" i="19"/>
  <c r="R17" i="19"/>
  <c r="S17" i="19"/>
  <c r="U17" i="19" s="1"/>
  <c r="T17" i="19"/>
  <c r="V17" i="19"/>
  <c r="X17" i="19" s="1"/>
  <c r="W17" i="19"/>
  <c r="Y17" i="19"/>
  <c r="Z17" i="19"/>
  <c r="AB17" i="19" s="1"/>
  <c r="AA17" i="19"/>
  <c r="O18" i="19"/>
  <c r="Q18" i="19" s="1"/>
  <c r="P18" i="19"/>
  <c r="R18" i="19"/>
  <c r="S18" i="19"/>
  <c r="U18" i="19" s="1"/>
  <c r="T18" i="19"/>
  <c r="V18" i="19"/>
  <c r="X18" i="19" s="1"/>
  <c r="W18" i="19"/>
  <c r="Y18" i="19"/>
  <c r="Z18" i="19"/>
  <c r="AB18" i="19" s="1"/>
  <c r="AA18" i="19"/>
  <c r="O19" i="19"/>
  <c r="Q19" i="19" s="1"/>
  <c r="P19" i="19"/>
  <c r="R19" i="19"/>
  <c r="S19" i="19"/>
  <c r="U19" i="19" s="1"/>
  <c r="T19" i="19"/>
  <c r="V19" i="19"/>
  <c r="X19" i="19" s="1"/>
  <c r="W19" i="19"/>
  <c r="Y19" i="19"/>
  <c r="Z19" i="19"/>
  <c r="AB19" i="19" s="1"/>
  <c r="AA19" i="19"/>
  <c r="O20" i="19"/>
  <c r="Q20" i="19" s="1"/>
  <c r="P20" i="19"/>
  <c r="R20" i="19"/>
  <c r="S20" i="19"/>
  <c r="U20" i="19" s="1"/>
  <c r="T20" i="19"/>
  <c r="V20" i="19"/>
  <c r="X20" i="19" s="1"/>
  <c r="W20" i="19"/>
  <c r="Y20" i="19"/>
  <c r="Z20" i="19"/>
  <c r="AB20" i="19" s="1"/>
  <c r="AA20" i="19"/>
  <c r="O21" i="19"/>
  <c r="Q21" i="19" s="1"/>
  <c r="P21" i="19"/>
  <c r="R21" i="19"/>
  <c r="S21" i="19"/>
  <c r="U21" i="19" s="1"/>
  <c r="T21" i="19"/>
  <c r="V21" i="19"/>
  <c r="X21" i="19" s="1"/>
  <c r="W21" i="19"/>
  <c r="Y21" i="19"/>
  <c r="Z21" i="19"/>
  <c r="AB21" i="19" s="1"/>
  <c r="AA21" i="19"/>
  <c r="O22" i="19"/>
  <c r="Q22" i="19" s="1"/>
  <c r="P22" i="19"/>
  <c r="R22" i="19"/>
  <c r="S22" i="19"/>
  <c r="U22" i="19" s="1"/>
  <c r="T22" i="19"/>
  <c r="V22" i="19"/>
  <c r="X22" i="19" s="1"/>
  <c r="W22" i="19"/>
  <c r="Y22" i="19"/>
  <c r="Z22" i="19"/>
  <c r="AB22" i="19" s="1"/>
  <c r="AA22" i="19"/>
  <c r="O23" i="19"/>
  <c r="Q23" i="19" s="1"/>
  <c r="P23" i="19"/>
  <c r="R23" i="19"/>
  <c r="S23" i="19"/>
  <c r="U23" i="19" s="1"/>
  <c r="T23" i="19"/>
  <c r="V23" i="19"/>
  <c r="X23" i="19" s="1"/>
  <c r="W23" i="19"/>
  <c r="Y23" i="19"/>
  <c r="Z23" i="19"/>
  <c r="AB23" i="19" s="1"/>
  <c r="AA23" i="19"/>
  <c r="O24" i="19"/>
  <c r="Q24" i="19" s="1"/>
  <c r="P24" i="19"/>
  <c r="R24" i="19"/>
  <c r="S24" i="19"/>
  <c r="U24" i="19" s="1"/>
  <c r="T24" i="19"/>
  <c r="V24" i="19"/>
  <c r="X24" i="19" s="1"/>
  <c r="W24" i="19"/>
  <c r="Y24" i="19"/>
  <c r="Z24" i="19"/>
  <c r="AB24" i="19" s="1"/>
  <c r="AA24" i="19"/>
  <c r="O25" i="19"/>
  <c r="Q25" i="19" s="1"/>
  <c r="P25" i="19"/>
  <c r="R25" i="19"/>
  <c r="S25" i="19"/>
  <c r="U25" i="19" s="1"/>
  <c r="T25" i="19"/>
  <c r="V25" i="19"/>
  <c r="X25" i="19" s="1"/>
  <c r="W25" i="19"/>
  <c r="Y25" i="19"/>
  <c r="Z25" i="19"/>
  <c r="AB25" i="19" s="1"/>
  <c r="AA25" i="19"/>
  <c r="AH25" i="19" l="1"/>
  <c r="AK25" i="19" s="1"/>
  <c r="AI25" i="19"/>
  <c r="AL25" i="19" s="1"/>
  <c r="AJ25" i="19"/>
  <c r="AM25" i="19" s="1"/>
  <c r="AH24" i="19"/>
  <c r="AK24" i="19" s="1"/>
  <c r="AI24" i="19"/>
  <c r="AL24" i="19" s="1"/>
  <c r="AJ24" i="19"/>
  <c r="AM24" i="19" s="1"/>
  <c r="AH23" i="19"/>
  <c r="AK23" i="19" s="1"/>
  <c r="AH22" i="19"/>
  <c r="AK22" i="19" s="1"/>
  <c r="AI22" i="19"/>
  <c r="AL22" i="19" s="1"/>
  <c r="AJ22" i="19"/>
  <c r="AM22" i="19" s="1"/>
  <c r="AH21" i="19"/>
  <c r="AK21" i="19" s="1"/>
  <c r="AI21" i="19"/>
  <c r="AL21" i="19" s="1"/>
  <c r="AJ21" i="19"/>
  <c r="AM21" i="19" s="1"/>
  <c r="AI20" i="19"/>
  <c r="AL20" i="19" s="1"/>
  <c r="AJ20" i="19"/>
  <c r="AM20" i="19" s="1"/>
  <c r="AH19" i="19"/>
  <c r="AK19" i="19" s="1"/>
  <c r="AI19" i="19"/>
  <c r="AL19" i="19" s="1"/>
  <c r="AJ19" i="19"/>
  <c r="AM19" i="19" s="1"/>
  <c r="AH18" i="19"/>
  <c r="AK18" i="19" s="1"/>
  <c r="AI18" i="19"/>
  <c r="AL18" i="19" s="1"/>
  <c r="AJ18" i="19"/>
  <c r="AM18" i="19" s="1"/>
  <c r="AH17" i="19"/>
  <c r="AK17" i="19" s="1"/>
  <c r="AI17" i="19"/>
  <c r="AL17" i="19" s="1"/>
  <c r="AJ17" i="19"/>
  <c r="AM17" i="19" s="1"/>
  <c r="AH16" i="19"/>
  <c r="AK16" i="19" s="1"/>
  <c r="AI16" i="19"/>
  <c r="AL16" i="19" s="1"/>
  <c r="AJ16" i="19"/>
  <c r="AM16" i="19" s="1"/>
  <c r="AH15" i="19"/>
  <c r="AK15" i="19" s="1"/>
  <c r="AI15" i="19"/>
  <c r="AL15" i="19" s="1"/>
  <c r="AJ15" i="19"/>
  <c r="AM15" i="19" s="1"/>
  <c r="AH14" i="19"/>
  <c r="AK14" i="19" s="1"/>
  <c r="AI14" i="19"/>
  <c r="AL14" i="19" s="1"/>
  <c r="AJ14" i="19"/>
  <c r="AM14" i="19" s="1"/>
  <c r="AH13" i="19"/>
  <c r="AK13" i="19" s="1"/>
  <c r="AI13" i="19"/>
  <c r="AL13" i="19" s="1"/>
  <c r="AJ13" i="19"/>
  <c r="AM13" i="19" s="1"/>
  <c r="AH12" i="19"/>
  <c r="AK12" i="19" s="1"/>
  <c r="AI12" i="19"/>
  <c r="AL12" i="19" s="1"/>
  <c r="AJ12" i="19"/>
  <c r="AM12" i="19" s="1"/>
  <c r="AH11" i="19"/>
  <c r="AK11" i="19" s="1"/>
  <c r="AI11" i="19"/>
  <c r="AL11" i="19" s="1"/>
  <c r="AJ11" i="19"/>
  <c r="AM11" i="19" s="1"/>
  <c r="AH10" i="19"/>
  <c r="AK10" i="19" s="1"/>
  <c r="AI10" i="19"/>
  <c r="AL10" i="19" s="1"/>
  <c r="AJ10" i="19"/>
  <c r="AM10" i="19" s="1"/>
  <c r="AI9" i="19"/>
  <c r="AL9" i="19" s="1"/>
  <c r="AH8" i="19"/>
  <c r="AK8" i="19" s="1"/>
  <c r="AI8" i="19"/>
  <c r="AL8" i="19" s="1"/>
  <c r="AJ8" i="19"/>
  <c r="AM8" i="19" s="1"/>
  <c r="AI7" i="19"/>
  <c r="AL7" i="19" s="1"/>
  <c r="AJ7" i="19"/>
  <c r="AM7" i="19" s="1"/>
  <c r="AI6" i="19"/>
  <c r="AL6" i="19" s="1"/>
  <c r="AJ6" i="19"/>
  <c r="AM6" i="19" s="1"/>
  <c r="AI5" i="19"/>
  <c r="AL5" i="19" s="1"/>
  <c r="AJ5" i="19"/>
  <c r="AM5" i="19" s="1"/>
  <c r="AI4" i="19"/>
  <c r="AL4" i="19" s="1"/>
  <c r="AJ4" i="19"/>
  <c r="AM4" i="19" s="1"/>
  <c r="AI3" i="19"/>
  <c r="AL3" i="19" s="1"/>
  <c r="AJ3" i="19"/>
  <c r="AM3" i="19" s="1"/>
  <c r="AJ23" i="19" l="1"/>
  <c r="AM23" i="19" s="1"/>
  <c r="AI23" i="19"/>
  <c r="AL23" i="19" s="1"/>
  <c r="AJ9" i="19"/>
  <c r="AM9" i="19" s="1"/>
  <c r="AH20" i="19"/>
  <c r="AK20" i="19" s="1"/>
  <c r="T38" i="18"/>
  <c r="S38" i="18" l="1"/>
  <c r="AE20" i="2" l="1"/>
  <c r="AA12" i="2"/>
  <c r="B17" i="18" l="1"/>
  <c r="B16" i="18"/>
  <c r="I16" i="18"/>
  <c r="I17" i="18"/>
  <c r="Q5" i="18"/>
  <c r="R20" i="18"/>
  <c r="AT16" i="2"/>
  <c r="AE16" i="2"/>
  <c r="L11" i="18" l="1"/>
  <c r="U7" i="18"/>
  <c r="V7" i="18" s="1"/>
  <c r="W7" i="18" s="1"/>
  <c r="X7" i="18" s="1"/>
  <c r="Y7" i="18" s="1"/>
  <c r="Z7" i="18" s="1"/>
  <c r="AA7" i="18" s="1"/>
  <c r="AB7" i="18" s="1"/>
  <c r="AC7" i="18" s="1"/>
  <c r="AD7" i="18" s="1"/>
  <c r="AE7" i="18" s="1"/>
  <c r="AF7" i="18" s="1"/>
  <c r="AG7" i="18" s="1"/>
  <c r="I32" i="18" l="1"/>
  <c r="I10" i="18"/>
  <c r="I13" i="18"/>
  <c r="I12" i="18"/>
  <c r="L32" i="18"/>
  <c r="L30" i="18"/>
  <c r="L29" i="18"/>
  <c r="L26" i="18"/>
  <c r="I26" i="18"/>
  <c r="I11" i="18"/>
  <c r="AD6" i="18"/>
  <c r="AB6" i="18"/>
  <c r="Z6" i="18"/>
  <c r="X6" i="18"/>
  <c r="V6" i="18"/>
  <c r="S13" i="18"/>
  <c r="T13" i="18" s="1"/>
  <c r="U13" i="18" s="1"/>
  <c r="V13" i="18" s="1"/>
  <c r="W13" i="18" s="1"/>
  <c r="X13" i="18" s="1"/>
  <c r="Y13" i="18" s="1"/>
  <c r="Z13" i="18" s="1"/>
  <c r="AA13" i="18" s="1"/>
  <c r="AB13" i="18" s="1"/>
  <c r="AC13" i="18" s="1"/>
  <c r="AD13" i="18" s="1"/>
  <c r="AE13" i="18" s="1"/>
  <c r="AF13" i="18" s="1"/>
  <c r="AG13" i="18" s="1"/>
  <c r="S12" i="18"/>
  <c r="T12" i="18" s="1"/>
  <c r="U12" i="18" s="1"/>
  <c r="V12" i="18" s="1"/>
  <c r="W12" i="18" s="1"/>
  <c r="X12" i="18" s="1"/>
  <c r="Y12" i="18" s="1"/>
  <c r="Z12" i="18" s="1"/>
  <c r="AA12" i="18" s="1"/>
  <c r="AB12" i="18" s="1"/>
  <c r="AC12" i="18" s="1"/>
  <c r="AD12" i="18" s="1"/>
  <c r="AE12" i="18" s="1"/>
  <c r="AF12" i="18" s="1"/>
  <c r="AG12" i="18" s="1"/>
  <c r="T11" i="18"/>
  <c r="U11" i="18" s="1"/>
  <c r="V11" i="18" s="1"/>
  <c r="W11" i="18" s="1"/>
  <c r="X11" i="18" s="1"/>
  <c r="Y11" i="18" s="1"/>
  <c r="Z11" i="18" s="1"/>
  <c r="AA11" i="18" s="1"/>
  <c r="AB11" i="18" s="1"/>
  <c r="AC11" i="18" s="1"/>
  <c r="AD11" i="18" s="1"/>
  <c r="AE11" i="18" s="1"/>
  <c r="AF11" i="18" s="1"/>
  <c r="AG11" i="18" s="1"/>
  <c r="T9" i="18"/>
  <c r="U9" i="18" s="1"/>
  <c r="T8" i="18"/>
  <c r="U8" i="18" s="1"/>
  <c r="V8" i="18" s="1"/>
  <c r="W8" i="18" s="1"/>
  <c r="X8" i="18" s="1"/>
  <c r="Y8" i="18" s="1"/>
  <c r="Z8" i="18" s="1"/>
  <c r="AA8" i="18" s="1"/>
  <c r="AB8" i="18" s="1"/>
  <c r="AC8" i="18" s="1"/>
  <c r="AD8" i="18" s="1"/>
  <c r="AE8" i="18" s="1"/>
  <c r="AF8" i="18" s="1"/>
  <c r="AG8" i="18" s="1"/>
  <c r="S9" i="18"/>
  <c r="U10" i="18"/>
  <c r="V10" i="18" s="1"/>
  <c r="W10" i="18" s="1"/>
  <c r="X10" i="18" s="1"/>
  <c r="Y10" i="18" s="1"/>
  <c r="Z10" i="18" s="1"/>
  <c r="AA10" i="18" s="1"/>
  <c r="AB10" i="18" s="1"/>
  <c r="AC10" i="18" s="1"/>
  <c r="AD10" i="18" s="1"/>
  <c r="AE10" i="18" s="1"/>
  <c r="AF10" i="18" s="1"/>
  <c r="AG10" i="18" s="1"/>
  <c r="T24" i="18"/>
  <c r="U24" i="18"/>
  <c r="V24" i="18" s="1"/>
  <c r="W24" i="18" s="1"/>
  <c r="X24" i="18" s="1"/>
  <c r="Y24" i="18" s="1"/>
  <c r="Z24" i="18" s="1"/>
  <c r="AA24" i="18" s="1"/>
  <c r="AB24" i="18" s="1"/>
  <c r="AC24" i="18" s="1"/>
  <c r="AD24" i="18" s="1"/>
  <c r="AE24" i="18" s="1"/>
  <c r="AF24" i="18" s="1"/>
  <c r="AG24" i="18" s="1"/>
  <c r="T23" i="18"/>
  <c r="U23" i="18" s="1"/>
  <c r="V23" i="18" s="1"/>
  <c r="W23" i="18" s="1"/>
  <c r="X23" i="18" s="1"/>
  <c r="Y23" i="18" s="1"/>
  <c r="Z23" i="18" s="1"/>
  <c r="AA23" i="18" s="1"/>
  <c r="AB23" i="18" s="1"/>
  <c r="AC23" i="18" s="1"/>
  <c r="AD23" i="18" s="1"/>
  <c r="AE23" i="18" s="1"/>
  <c r="AF23" i="18" s="1"/>
  <c r="AG23" i="18" s="1"/>
  <c r="U22" i="18"/>
  <c r="V22" i="18" s="1"/>
  <c r="W22" i="18" s="1"/>
  <c r="X22" i="18" s="1"/>
  <c r="Y22" i="18" s="1"/>
  <c r="Z22" i="18" s="1"/>
  <c r="AA22" i="18" s="1"/>
  <c r="AB22" i="18" s="1"/>
  <c r="AC22" i="18" s="1"/>
  <c r="AD22" i="18" s="1"/>
  <c r="AE22" i="18" s="1"/>
  <c r="AF22" i="18" s="1"/>
  <c r="AG22" i="18" s="1"/>
  <c r="R25" i="18"/>
  <c r="S21" i="18"/>
  <c r="T21" i="18" s="1"/>
  <c r="U21" i="18" s="1"/>
  <c r="V21" i="18" s="1"/>
  <c r="W21" i="18" s="1"/>
  <c r="X21" i="18" s="1"/>
  <c r="Y21" i="18" s="1"/>
  <c r="Z21" i="18" s="1"/>
  <c r="AA21" i="18" s="1"/>
  <c r="AB21" i="18" s="1"/>
  <c r="AC21" i="18" s="1"/>
  <c r="AD21" i="18" s="1"/>
  <c r="AE21" i="18" s="1"/>
  <c r="AF21" i="18" s="1"/>
  <c r="AG21" i="18" s="1"/>
  <c r="T20" i="18"/>
  <c r="U20" i="18" s="1"/>
  <c r="V20" i="18" s="1"/>
  <c r="W20" i="18" s="1"/>
  <c r="X20" i="18" s="1"/>
  <c r="Y20" i="18" s="1"/>
  <c r="Z20" i="18" s="1"/>
  <c r="AA20" i="18" s="1"/>
  <c r="AB20" i="18" s="1"/>
  <c r="AC20" i="18" s="1"/>
  <c r="AD20" i="18" s="1"/>
  <c r="AE20" i="18" s="1"/>
  <c r="AF20" i="18" s="1"/>
  <c r="AG20" i="18" s="1"/>
  <c r="T19" i="18"/>
  <c r="U19" i="18" s="1"/>
  <c r="V19" i="18" s="1"/>
  <c r="W19" i="18" s="1"/>
  <c r="X19" i="18" s="1"/>
  <c r="Y19" i="18" s="1"/>
  <c r="Z19" i="18" s="1"/>
  <c r="AA19" i="18" s="1"/>
  <c r="AB19" i="18" s="1"/>
  <c r="AC19" i="18" s="1"/>
  <c r="AD19" i="18" s="1"/>
  <c r="AE19" i="18" s="1"/>
  <c r="AF19" i="18" s="1"/>
  <c r="AG19" i="18" s="1"/>
  <c r="S19" i="18"/>
  <c r="T18" i="18"/>
  <c r="U18" i="18" s="1"/>
  <c r="V18" i="18" s="1"/>
  <c r="W18" i="18" s="1"/>
  <c r="X18" i="18" s="1"/>
  <c r="Y18" i="18" s="1"/>
  <c r="Z18" i="18" s="1"/>
  <c r="AA18" i="18" s="1"/>
  <c r="AB18" i="18" s="1"/>
  <c r="AC18" i="18" s="1"/>
  <c r="AD18" i="18" s="1"/>
  <c r="AE18" i="18" s="1"/>
  <c r="AF18" i="18" s="1"/>
  <c r="AG18" i="18" s="1"/>
  <c r="S18" i="18"/>
  <c r="U15" i="18"/>
  <c r="V15" i="18" s="1"/>
  <c r="W15" i="18" s="1"/>
  <c r="X15" i="18" s="1"/>
  <c r="Y15" i="18" s="1"/>
  <c r="Z15" i="18" s="1"/>
  <c r="AA15" i="18" s="1"/>
  <c r="AB15" i="18" s="1"/>
  <c r="AC15" i="18" s="1"/>
  <c r="AD15" i="18" s="1"/>
  <c r="AE15" i="18" s="1"/>
  <c r="AF15" i="18" s="1"/>
  <c r="AG15" i="18" s="1"/>
  <c r="T16" i="18"/>
  <c r="U16" i="18" s="1"/>
  <c r="V16" i="18" s="1"/>
  <c r="W16" i="18" s="1"/>
  <c r="X16" i="18" s="1"/>
  <c r="Y16" i="18" s="1"/>
  <c r="Z16" i="18" s="1"/>
  <c r="AA16" i="18" s="1"/>
  <c r="AB16" i="18" s="1"/>
  <c r="AC16" i="18" s="1"/>
  <c r="AD16" i="18" s="1"/>
  <c r="AE16" i="18" s="1"/>
  <c r="AF16" i="18" s="1"/>
  <c r="AG16" i="18" s="1"/>
  <c r="S1" i="18"/>
  <c r="T1" i="18" s="1"/>
  <c r="U1" i="18" s="1"/>
  <c r="V1" i="18" s="1"/>
  <c r="W1" i="18" s="1"/>
  <c r="X1" i="18" s="1"/>
  <c r="Y1" i="18" s="1"/>
  <c r="Z1" i="18" s="1"/>
  <c r="AA1" i="18" s="1"/>
  <c r="AB1" i="18" s="1"/>
  <c r="AC1" i="18" s="1"/>
  <c r="AD1" i="18" s="1"/>
  <c r="AE1" i="18" s="1"/>
  <c r="AF1" i="18" s="1"/>
  <c r="AG1" i="18" s="1"/>
  <c r="R38" i="18"/>
  <c r="P24" i="18"/>
  <c r="P19" i="18"/>
  <c r="P18" i="18"/>
  <c r="Q17" i="18"/>
  <c r="P16" i="18"/>
  <c r="P15" i="18"/>
  <c r="R5" i="18"/>
  <c r="R4" i="18"/>
  <c r="S3" i="18"/>
  <c r="L7" i="18"/>
  <c r="I7" i="18"/>
  <c r="I6" i="18"/>
  <c r="B19" i="18"/>
  <c r="I19" i="18" s="1"/>
  <c r="B18" i="18"/>
  <c r="I18" i="18" s="1"/>
  <c r="B7" i="18"/>
  <c r="B6" i="18"/>
  <c r="B5" i="18" s="1"/>
  <c r="F10" i="10"/>
  <c r="F11" i="10"/>
  <c r="F12" i="10"/>
  <c r="F9" i="10"/>
  <c r="L5" i="18"/>
  <c r="E21" i="18"/>
  <c r="B11" i="18"/>
  <c r="Q6" i="18" l="1"/>
  <c r="I27" i="18" s="1"/>
  <c r="R14" i="18"/>
  <c r="R26" i="18" s="1"/>
  <c r="S5" i="18" s="1"/>
  <c r="Q12" i="18"/>
  <c r="T3" i="18"/>
  <c r="U3" i="18" s="1"/>
  <c r="V3" i="18" s="1"/>
  <c r="W3" i="18" s="1"/>
  <c r="X3" i="18" s="1"/>
  <c r="Y3" i="18" s="1"/>
  <c r="Z3" i="18" s="1"/>
  <c r="AA3" i="18" s="1"/>
  <c r="AB3" i="18" s="1"/>
  <c r="AC3" i="18" s="1"/>
  <c r="AD3" i="18" s="1"/>
  <c r="AE3" i="18" s="1"/>
  <c r="AF3" i="18" s="1"/>
  <c r="AG3" i="18" s="1"/>
  <c r="Q8" i="18"/>
  <c r="I22" i="18" s="1"/>
  <c r="I21" i="18" s="1"/>
  <c r="V9" i="18"/>
  <c r="W9" i="18" s="1"/>
  <c r="X9" i="18" s="1"/>
  <c r="Y9" i="18" s="1"/>
  <c r="Z9" i="18" s="1"/>
  <c r="AA9" i="18" s="1"/>
  <c r="AB9" i="18" s="1"/>
  <c r="AC9" i="18" s="1"/>
  <c r="AD9" i="18" s="1"/>
  <c r="AE9" i="18" s="1"/>
  <c r="AF9" i="18" s="1"/>
  <c r="AG9" i="18" s="1"/>
  <c r="Q7" i="18"/>
  <c r="I28" i="18" s="1"/>
  <c r="Q16" i="18"/>
  <c r="L28" i="18" s="1"/>
  <c r="R27" i="18"/>
  <c r="S27" i="18" s="1"/>
  <c r="T27" i="18" s="1"/>
  <c r="U27" i="18" s="1"/>
  <c r="V27" i="18" s="1"/>
  <c r="W27" i="18" s="1"/>
  <c r="X27" i="18" s="1"/>
  <c r="Y27" i="18" s="1"/>
  <c r="Z27" i="18" s="1"/>
  <c r="AA27" i="18" s="1"/>
  <c r="AB27" i="18" s="1"/>
  <c r="AC27" i="18" s="1"/>
  <c r="AD27" i="18" s="1"/>
  <c r="AE27" i="18" s="1"/>
  <c r="AF27" i="18" s="1"/>
  <c r="AG27" i="18" s="1"/>
  <c r="S4" i="18"/>
  <c r="T4" i="18" s="1"/>
  <c r="U4" i="18" s="1"/>
  <c r="V4" i="18" s="1"/>
  <c r="W4" i="18" s="1"/>
  <c r="X4" i="18" s="1"/>
  <c r="Y4" i="18" s="1"/>
  <c r="Z4" i="18" s="1"/>
  <c r="AA4" i="18" s="1"/>
  <c r="AB4" i="18" s="1"/>
  <c r="AC4" i="18" s="1"/>
  <c r="AD4" i="18" s="1"/>
  <c r="AE4" i="18" s="1"/>
  <c r="AF4" i="18" s="1"/>
  <c r="AG4" i="18" s="1"/>
  <c r="S25" i="18"/>
  <c r="Q11" i="18"/>
  <c r="I25" i="18" s="1"/>
  <c r="Q22" i="18"/>
  <c r="L31" i="18" s="1"/>
  <c r="Q19" i="18"/>
  <c r="Q20" i="18"/>
  <c r="L22" i="18" s="1"/>
  <c r="L21" i="18" s="1"/>
  <c r="Q21" i="18"/>
  <c r="Q13" i="18"/>
  <c r="S14" i="18"/>
  <c r="I15" i="18"/>
  <c r="I5" i="18"/>
  <c r="B15" i="18"/>
  <c r="AC13" i="2"/>
  <c r="Q9" i="18" l="1"/>
  <c r="S26" i="18"/>
  <c r="T5" i="18" s="1"/>
  <c r="T25" i="18"/>
  <c r="T14" i="18"/>
  <c r="Q24" i="18"/>
  <c r="Q23" i="18"/>
  <c r="Q18" i="18"/>
  <c r="H185" i="9"/>
  <c r="H184" i="9"/>
  <c r="H183" i="9"/>
  <c r="H182" i="9"/>
  <c r="H181" i="9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T26" i="18" l="1"/>
  <c r="U5" i="18" s="1"/>
  <c r="U14" i="18"/>
  <c r="U25" i="18"/>
  <c r="V25" i="18" l="1"/>
  <c r="V14" i="18"/>
  <c r="U26" i="18"/>
  <c r="V5" i="18" s="1"/>
  <c r="E25" i="18"/>
  <c r="B24" i="18"/>
  <c r="B31" i="18"/>
  <c r="B21" i="18"/>
  <c r="AE19" i="2"/>
  <c r="V26" i="18" l="1"/>
  <c r="W5" i="18" s="1"/>
  <c r="W25" i="18"/>
  <c r="W14" i="18"/>
  <c r="B10" i="18"/>
  <c r="U19" i="2"/>
  <c r="W26" i="18" l="1"/>
  <c r="X5" i="18" s="1"/>
  <c r="X14" i="18"/>
  <c r="X25" i="18"/>
  <c r="E10" i="18"/>
  <c r="B35" i="18"/>
  <c r="C10" i="18" s="1"/>
  <c r="AF18" i="15"/>
  <c r="AI18" i="15" s="1"/>
  <c r="AG18" i="15"/>
  <c r="AJ18" i="15" s="1"/>
  <c r="AH18" i="15"/>
  <c r="AK18" i="15" s="1"/>
  <c r="P18" i="15"/>
  <c r="Q18" i="15"/>
  <c r="R18" i="15"/>
  <c r="T18" i="15"/>
  <c r="V18" i="15" s="1"/>
  <c r="U18" i="15"/>
  <c r="X18" i="15"/>
  <c r="Z18" i="15" s="1"/>
  <c r="Y18" i="15"/>
  <c r="O18" i="15"/>
  <c r="S18" i="15"/>
  <c r="W18" i="15"/>
  <c r="X26" i="18" l="1"/>
  <c r="Y5" i="18" s="1"/>
  <c r="Y14" i="18"/>
  <c r="Y25" i="18"/>
  <c r="C8" i="18"/>
  <c r="C19" i="18"/>
  <c r="C17" i="18"/>
  <c r="C16" i="18"/>
  <c r="C7" i="18"/>
  <c r="C32" i="18"/>
  <c r="C13" i="18"/>
  <c r="C15" i="18"/>
  <c r="C6" i="18"/>
  <c r="C11" i="18"/>
  <c r="C5" i="18"/>
  <c r="C18" i="18"/>
  <c r="C29" i="18"/>
  <c r="C22" i="18"/>
  <c r="C26" i="18"/>
  <c r="C28" i="18"/>
  <c r="C25" i="18"/>
  <c r="C27" i="18"/>
  <c r="C31" i="18"/>
  <c r="C21" i="18"/>
  <c r="C12" i="18"/>
  <c r="C24" i="18"/>
  <c r="Z9" i="2"/>
  <c r="Y26" i="18" l="1"/>
  <c r="Z5" i="18" s="1"/>
  <c r="Z25" i="18"/>
  <c r="Z14" i="18"/>
  <c r="C35" i="18"/>
  <c r="AB12" i="2"/>
  <c r="AF12" i="15"/>
  <c r="AI12" i="15" s="1"/>
  <c r="AG12" i="15"/>
  <c r="AJ12" i="15" s="1"/>
  <c r="AH12" i="15"/>
  <c r="AK12" i="15" s="1"/>
  <c r="P12" i="15"/>
  <c r="Q12" i="15"/>
  <c r="R12" i="15"/>
  <c r="T12" i="15"/>
  <c r="V12" i="15" s="1"/>
  <c r="U12" i="15"/>
  <c r="X12" i="15"/>
  <c r="Z12" i="15" s="1"/>
  <c r="Y12" i="15"/>
  <c r="O12" i="15"/>
  <c r="S12" i="15"/>
  <c r="W12" i="15"/>
  <c r="Z26" i="18" l="1"/>
  <c r="AA5" i="18" s="1"/>
  <c r="AA14" i="18"/>
  <c r="AA25" i="18"/>
  <c r="AF16" i="15"/>
  <c r="AI16" i="15" s="1"/>
  <c r="AG16" i="15"/>
  <c r="AJ16" i="15" s="1"/>
  <c r="AH16" i="15"/>
  <c r="AK16" i="15" s="1"/>
  <c r="P16" i="15"/>
  <c r="Q16" i="15"/>
  <c r="R16" i="15"/>
  <c r="T16" i="15"/>
  <c r="V16" i="15" s="1"/>
  <c r="U16" i="15"/>
  <c r="X16" i="15"/>
  <c r="Z16" i="15" s="1"/>
  <c r="Y16" i="15"/>
  <c r="O16" i="15"/>
  <c r="S16" i="15"/>
  <c r="W16" i="15"/>
  <c r="AF3" i="15"/>
  <c r="AI3" i="15" s="1"/>
  <c r="AG3" i="15"/>
  <c r="AJ3" i="15" s="1"/>
  <c r="AH3" i="15"/>
  <c r="AK3" i="15" s="1"/>
  <c r="P3" i="15"/>
  <c r="Q3" i="15"/>
  <c r="R3" i="15"/>
  <c r="T3" i="15"/>
  <c r="V3" i="15" s="1"/>
  <c r="U3" i="15"/>
  <c r="X3" i="15"/>
  <c r="Z3" i="15" s="1"/>
  <c r="Y3" i="15"/>
  <c r="O3" i="15"/>
  <c r="S3" i="15"/>
  <c r="W3" i="15"/>
  <c r="AF4" i="15"/>
  <c r="AI4" i="15" s="1"/>
  <c r="AG4" i="15"/>
  <c r="AJ4" i="15" s="1"/>
  <c r="AH4" i="15"/>
  <c r="AK4" i="15" s="1"/>
  <c r="P4" i="15"/>
  <c r="Q4" i="15"/>
  <c r="R4" i="15"/>
  <c r="T4" i="15"/>
  <c r="V4" i="15" s="1"/>
  <c r="U4" i="15"/>
  <c r="X4" i="15"/>
  <c r="Z4" i="15" s="1"/>
  <c r="Y4" i="15"/>
  <c r="O4" i="15"/>
  <c r="S4" i="15"/>
  <c r="W4" i="15"/>
  <c r="AF20" i="15"/>
  <c r="AI20" i="15" s="1"/>
  <c r="AG20" i="15"/>
  <c r="AJ20" i="15" s="1"/>
  <c r="AH20" i="15"/>
  <c r="AK20" i="15" s="1"/>
  <c r="P20" i="15"/>
  <c r="Q20" i="15"/>
  <c r="R20" i="15"/>
  <c r="T20" i="15"/>
  <c r="V20" i="15" s="1"/>
  <c r="U20" i="15"/>
  <c r="X20" i="15"/>
  <c r="Z20" i="15" s="1"/>
  <c r="Y20" i="15"/>
  <c r="O20" i="15"/>
  <c r="S20" i="15"/>
  <c r="W20" i="15"/>
  <c r="AA26" i="18" l="1"/>
  <c r="AB5" i="18" s="1"/>
  <c r="AB25" i="18"/>
  <c r="AB14" i="18"/>
  <c r="A4" i="13"/>
  <c r="B4" i="13"/>
  <c r="D4" i="13"/>
  <c r="E4" i="13"/>
  <c r="F4" i="13"/>
  <c r="G4" i="13" s="1"/>
  <c r="J4" i="13"/>
  <c r="K4" i="13"/>
  <c r="M4" i="13"/>
  <c r="N4" i="13"/>
  <c r="O4" i="13"/>
  <c r="P4" i="13"/>
  <c r="Q4" i="13"/>
  <c r="A5" i="13"/>
  <c r="B5" i="13"/>
  <c r="D5" i="13"/>
  <c r="E5" i="13"/>
  <c r="F5" i="13"/>
  <c r="G5" i="13" s="1"/>
  <c r="J5" i="13"/>
  <c r="K5" i="13"/>
  <c r="L5" i="13"/>
  <c r="M5" i="13"/>
  <c r="N5" i="13"/>
  <c r="O5" i="13"/>
  <c r="P5" i="13"/>
  <c r="A6" i="13"/>
  <c r="B6" i="13"/>
  <c r="D6" i="13"/>
  <c r="E6" i="13"/>
  <c r="F6" i="13"/>
  <c r="G6" i="13" s="1"/>
  <c r="J6" i="13"/>
  <c r="K6" i="13"/>
  <c r="L6" i="13"/>
  <c r="M6" i="13"/>
  <c r="N6" i="13"/>
  <c r="O6" i="13"/>
  <c r="P6" i="13"/>
  <c r="Q6" i="13"/>
  <c r="A7" i="13"/>
  <c r="B7" i="13"/>
  <c r="D7" i="13"/>
  <c r="E7" i="13"/>
  <c r="F7" i="13"/>
  <c r="G7" i="13" s="1"/>
  <c r="J7" i="13"/>
  <c r="K7" i="13"/>
  <c r="L7" i="13"/>
  <c r="M7" i="13"/>
  <c r="N7" i="13"/>
  <c r="O7" i="13"/>
  <c r="P7" i="13"/>
  <c r="Q7" i="13"/>
  <c r="A8" i="13"/>
  <c r="B8" i="13"/>
  <c r="D8" i="13"/>
  <c r="E8" i="13"/>
  <c r="F8" i="13"/>
  <c r="H8" i="13" s="1"/>
  <c r="J8" i="13"/>
  <c r="K8" i="13"/>
  <c r="M8" i="13"/>
  <c r="N8" i="13"/>
  <c r="O8" i="13"/>
  <c r="P8" i="13"/>
  <c r="A9" i="13"/>
  <c r="B9" i="13"/>
  <c r="D9" i="13"/>
  <c r="E9" i="13"/>
  <c r="F9" i="13"/>
  <c r="J9" i="13"/>
  <c r="K9" i="13"/>
  <c r="L9" i="13"/>
  <c r="R9" i="13" s="1"/>
  <c r="M9" i="13"/>
  <c r="N9" i="13"/>
  <c r="O9" i="13"/>
  <c r="P9" i="13"/>
  <c r="A10" i="13"/>
  <c r="B10" i="13"/>
  <c r="D10" i="13"/>
  <c r="E10" i="13"/>
  <c r="F10" i="13"/>
  <c r="G10" i="13" s="1"/>
  <c r="J10" i="13"/>
  <c r="K10" i="13"/>
  <c r="L10" i="13"/>
  <c r="M10" i="13"/>
  <c r="N10" i="13"/>
  <c r="O10" i="13"/>
  <c r="Q10" i="13"/>
  <c r="A11" i="13"/>
  <c r="B11" i="13"/>
  <c r="D11" i="13"/>
  <c r="E11" i="13"/>
  <c r="F11" i="13"/>
  <c r="H11" i="13" s="1"/>
  <c r="J11" i="13"/>
  <c r="K11" i="13"/>
  <c r="L11" i="13"/>
  <c r="M11" i="13"/>
  <c r="N11" i="13"/>
  <c r="O11" i="13"/>
  <c r="A12" i="13"/>
  <c r="B12" i="13"/>
  <c r="D12" i="13"/>
  <c r="E12" i="13"/>
  <c r="F12" i="13"/>
  <c r="H12" i="13" s="1"/>
  <c r="J12" i="13"/>
  <c r="K12" i="13"/>
  <c r="L12" i="13"/>
  <c r="M12" i="13"/>
  <c r="N12" i="13"/>
  <c r="O12" i="13"/>
  <c r="A13" i="13"/>
  <c r="B13" i="13"/>
  <c r="D13" i="13"/>
  <c r="E13" i="13"/>
  <c r="F13" i="13"/>
  <c r="G13" i="13" s="1"/>
  <c r="I13" i="13"/>
  <c r="J13" i="13"/>
  <c r="K13" i="13"/>
  <c r="L13" i="13"/>
  <c r="M13" i="13"/>
  <c r="N13" i="13"/>
  <c r="P13" i="13"/>
  <c r="Q13" i="13"/>
  <c r="AN13" i="13" s="1"/>
  <c r="A14" i="13"/>
  <c r="B14" i="13"/>
  <c r="D14" i="13"/>
  <c r="E14" i="13"/>
  <c r="F14" i="13"/>
  <c r="H14" i="13" s="1"/>
  <c r="J14" i="13"/>
  <c r="K14" i="13"/>
  <c r="L14" i="13"/>
  <c r="M14" i="13"/>
  <c r="N14" i="13"/>
  <c r="O14" i="13"/>
  <c r="P14" i="13"/>
  <c r="Q14" i="13"/>
  <c r="A15" i="13"/>
  <c r="B15" i="13"/>
  <c r="D15" i="13"/>
  <c r="E15" i="13"/>
  <c r="F15" i="13"/>
  <c r="H15" i="13" s="1"/>
  <c r="J15" i="13"/>
  <c r="K15" i="13"/>
  <c r="L15" i="13"/>
  <c r="M15" i="13"/>
  <c r="N15" i="13"/>
  <c r="O15" i="13"/>
  <c r="P15" i="13"/>
  <c r="Q15" i="13"/>
  <c r="A16" i="13"/>
  <c r="B16" i="13"/>
  <c r="D16" i="13"/>
  <c r="E16" i="13"/>
  <c r="F16" i="13"/>
  <c r="G16" i="13" s="1"/>
  <c r="J16" i="13"/>
  <c r="K16" i="13"/>
  <c r="L16" i="13"/>
  <c r="M16" i="13"/>
  <c r="N16" i="13"/>
  <c r="O16" i="13"/>
  <c r="P16" i="13"/>
  <c r="Q16" i="13"/>
  <c r="A17" i="13"/>
  <c r="B17" i="13"/>
  <c r="D17" i="13"/>
  <c r="E17" i="13"/>
  <c r="F17" i="13"/>
  <c r="J17" i="13"/>
  <c r="K17" i="13"/>
  <c r="L17" i="13"/>
  <c r="M17" i="13"/>
  <c r="N17" i="13"/>
  <c r="O17" i="13"/>
  <c r="P17" i="13"/>
  <c r="S17" i="13" s="1"/>
  <c r="Q17" i="13"/>
  <c r="A18" i="13"/>
  <c r="B18" i="13"/>
  <c r="D18" i="13"/>
  <c r="E18" i="13"/>
  <c r="F18" i="13"/>
  <c r="G18" i="13" s="1"/>
  <c r="J18" i="13"/>
  <c r="K18" i="13"/>
  <c r="L18" i="13"/>
  <c r="M18" i="13"/>
  <c r="N18" i="13"/>
  <c r="O18" i="13"/>
  <c r="R18" i="13" s="1"/>
  <c r="P18" i="13"/>
  <c r="Q18" i="13"/>
  <c r="A19" i="13"/>
  <c r="B19" i="13"/>
  <c r="D19" i="13"/>
  <c r="E19" i="13"/>
  <c r="F19" i="13"/>
  <c r="H19" i="13" s="1"/>
  <c r="J19" i="13"/>
  <c r="K19" i="13"/>
  <c r="L19" i="13"/>
  <c r="M19" i="13"/>
  <c r="N19" i="13"/>
  <c r="O19" i="13"/>
  <c r="P19" i="13"/>
  <c r="Q19" i="13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S4" i="13" l="1"/>
  <c r="R12" i="13"/>
  <c r="T17" i="13"/>
  <c r="H5" i="13"/>
  <c r="S19" i="13"/>
  <c r="S16" i="13"/>
  <c r="H6" i="13"/>
  <c r="H7" i="13"/>
  <c r="G19" i="13"/>
  <c r="AB26" i="18"/>
  <c r="AC5" i="18" s="1"/>
  <c r="AC14" i="18"/>
  <c r="AC25" i="18"/>
  <c r="T13" i="13"/>
  <c r="X13" i="13"/>
  <c r="V13" i="13"/>
  <c r="R7" i="13"/>
  <c r="S18" i="13"/>
  <c r="AM13" i="13"/>
  <c r="U13" i="13"/>
  <c r="BN13" i="13"/>
  <c r="BJ13" i="13"/>
  <c r="H16" i="13"/>
  <c r="G15" i="13"/>
  <c r="G14" i="13"/>
  <c r="H13" i="13"/>
  <c r="BI13" i="13"/>
  <c r="AK13" i="13"/>
  <c r="BE13" i="13"/>
  <c r="AH13" i="13"/>
  <c r="AE13" i="13"/>
  <c r="CE13" i="13"/>
  <c r="AW13" i="13"/>
  <c r="AY13" i="13" s="1"/>
  <c r="AD13" i="13"/>
  <c r="AF13" i="13" s="1"/>
  <c r="BT13" i="13"/>
  <c r="AQ13" i="13"/>
  <c r="AA13" i="13"/>
  <c r="BO13" i="13"/>
  <c r="AP13" i="13"/>
  <c r="AR13" i="13" s="1"/>
  <c r="G8" i="13"/>
  <c r="H18" i="13"/>
  <c r="S14" i="13"/>
  <c r="T18" i="13"/>
  <c r="R14" i="13"/>
  <c r="AJ13" i="13"/>
  <c r="AZ13" i="13"/>
  <c r="AS13" i="13"/>
  <c r="BK13" i="13"/>
  <c r="AC13" i="13"/>
  <c r="BU13" i="13"/>
  <c r="BP13" i="13"/>
  <c r="BX13" i="13"/>
  <c r="AG13" i="13"/>
  <c r="H9" i="13"/>
  <c r="G9" i="13"/>
  <c r="T15" i="13"/>
  <c r="R19" i="13"/>
  <c r="R16" i="13"/>
  <c r="BF13" i="13"/>
  <c r="G17" i="13"/>
  <c r="H17" i="13"/>
  <c r="T10" i="13"/>
  <c r="S15" i="13"/>
  <c r="R6" i="13"/>
  <c r="T6" i="13"/>
  <c r="T16" i="13"/>
  <c r="T19" i="13"/>
  <c r="R15" i="13"/>
  <c r="T14" i="13"/>
  <c r="R17" i="13"/>
  <c r="S13" i="13"/>
  <c r="T7" i="13"/>
  <c r="S7" i="13"/>
  <c r="G12" i="13"/>
  <c r="Z13" i="13"/>
  <c r="AB13" i="13" s="1"/>
  <c r="AI13" i="13"/>
  <c r="BS13" i="13"/>
  <c r="AL13" i="13"/>
  <c r="BD13" i="13"/>
  <c r="W13" i="13"/>
  <c r="Y13" i="13" s="1"/>
  <c r="AX13" i="13"/>
  <c r="H10" i="13"/>
  <c r="R10" i="13"/>
  <c r="R11" i="13"/>
  <c r="G11" i="13"/>
  <c r="S6" i="13"/>
  <c r="R5" i="13"/>
  <c r="H4" i="13"/>
  <c r="AC26" i="18" l="1"/>
  <c r="AD5" i="18" s="1"/>
  <c r="AD25" i="18"/>
  <c r="AD14" i="18"/>
  <c r="N12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N10" i="9"/>
  <c r="N11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N9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A3" i="8"/>
  <c r="A4" i="8"/>
  <c r="A5" i="8"/>
  <c r="A6" i="8"/>
  <c r="A7" i="8"/>
  <c r="A8" i="8"/>
  <c r="A9" i="8"/>
  <c r="A10" i="8"/>
  <c r="H4" i="8" s="1"/>
  <c r="A11" i="8"/>
  <c r="A12" i="8"/>
  <c r="A13" i="8"/>
  <c r="A14" i="8"/>
  <c r="A15" i="8"/>
  <c r="A16" i="8"/>
  <c r="A17" i="8"/>
  <c r="A18" i="8"/>
  <c r="A4" i="7"/>
  <c r="B4" i="7"/>
  <c r="C4" i="7"/>
  <c r="G4" i="7" s="1"/>
  <c r="D4" i="7"/>
  <c r="E4" i="7" s="1"/>
  <c r="F4" i="7" s="1"/>
  <c r="A5" i="7"/>
  <c r="B5" i="7"/>
  <c r="C5" i="7"/>
  <c r="G5" i="7" s="1"/>
  <c r="D5" i="7"/>
  <c r="E5" i="7" s="1"/>
  <c r="F5" i="7" s="1"/>
  <c r="A6" i="7"/>
  <c r="B6" i="7"/>
  <c r="C6" i="7"/>
  <c r="G6" i="7" s="1"/>
  <c r="H6" i="7" s="1"/>
  <c r="D6" i="7"/>
  <c r="E6" i="7" s="1"/>
  <c r="A7" i="7"/>
  <c r="O12" i="7" s="1"/>
  <c r="B7" i="7"/>
  <c r="C7" i="7"/>
  <c r="G7" i="7" s="1"/>
  <c r="D7" i="7"/>
  <c r="E7" i="7" s="1"/>
  <c r="A8" i="7"/>
  <c r="O11" i="7" s="1"/>
  <c r="B8" i="7"/>
  <c r="C8" i="7"/>
  <c r="D8" i="7"/>
  <c r="E8" i="7" s="1"/>
  <c r="F8" i="7" s="1"/>
  <c r="Q11" i="7" s="1"/>
  <c r="G8" i="7"/>
  <c r="H8" i="7" s="1"/>
  <c r="S11" i="7" s="1"/>
  <c r="A9" i="7"/>
  <c r="O13" i="7" s="1"/>
  <c r="B9" i="7"/>
  <c r="C9" i="7"/>
  <c r="G9" i="7" s="1"/>
  <c r="D9" i="7"/>
  <c r="E9" i="7"/>
  <c r="F9" i="7" s="1"/>
  <c r="Q13" i="7" s="1"/>
  <c r="A10" i="7"/>
  <c r="O8" i="7" s="1"/>
  <c r="B10" i="7"/>
  <c r="C10" i="7"/>
  <c r="G10" i="7" s="1"/>
  <c r="H10" i="7" s="1"/>
  <c r="S8" i="7" s="1"/>
  <c r="D10" i="7"/>
  <c r="E10" i="7" s="1"/>
  <c r="A11" i="7"/>
  <c r="O9" i="7" s="1"/>
  <c r="B11" i="7"/>
  <c r="C11" i="7"/>
  <c r="G11" i="7" s="1"/>
  <c r="H11" i="7" s="1"/>
  <c r="S9" i="7" s="1"/>
  <c r="D11" i="7"/>
  <c r="E11" i="7" s="1"/>
  <c r="F11" i="7" s="1"/>
  <c r="Q9" i="7" s="1"/>
  <c r="A12" i="7"/>
  <c r="O3" i="7" s="1"/>
  <c r="B12" i="7"/>
  <c r="C12" i="7"/>
  <c r="G12" i="7" s="1"/>
  <c r="D12" i="7"/>
  <c r="E12" i="7" s="1"/>
  <c r="A13" i="7"/>
  <c r="O7" i="7" s="1"/>
  <c r="B13" i="7"/>
  <c r="C13" i="7"/>
  <c r="G13" i="7" s="1"/>
  <c r="R7" i="7" s="1"/>
  <c r="D13" i="7"/>
  <c r="E13" i="7" s="1"/>
  <c r="A14" i="7"/>
  <c r="B14" i="7"/>
  <c r="C14" i="7"/>
  <c r="G14" i="7" s="1"/>
  <c r="D14" i="7"/>
  <c r="E14" i="7" s="1"/>
  <c r="F14" i="7" s="1"/>
  <c r="A15" i="7"/>
  <c r="B15" i="7"/>
  <c r="C15" i="7"/>
  <c r="D15" i="7"/>
  <c r="E15" i="7" s="1"/>
  <c r="G15" i="7"/>
  <c r="H15" i="7" s="1"/>
  <c r="A16" i="7"/>
  <c r="O6" i="7" s="1"/>
  <c r="B16" i="7"/>
  <c r="C16" i="7"/>
  <c r="G16" i="7" s="1"/>
  <c r="D16" i="7"/>
  <c r="E16" i="7" s="1"/>
  <c r="F16" i="7" s="1"/>
  <c r="Q6" i="7" s="1"/>
  <c r="A17" i="7"/>
  <c r="O10" i="7" s="1"/>
  <c r="B17" i="7"/>
  <c r="C17" i="7"/>
  <c r="G17" i="7" s="1"/>
  <c r="R10" i="7" s="1"/>
  <c r="D17" i="7"/>
  <c r="E17" i="7" s="1"/>
  <c r="F17" i="7" s="1"/>
  <c r="Q10" i="7" s="1"/>
  <c r="A18" i="7"/>
  <c r="O4" i="7" s="1"/>
  <c r="B18" i="7"/>
  <c r="C18" i="7"/>
  <c r="G18" i="7" s="1"/>
  <c r="R4" i="7" s="1"/>
  <c r="D18" i="7"/>
  <c r="E18" i="7" s="1"/>
  <c r="A19" i="7"/>
  <c r="B19" i="7"/>
  <c r="C19" i="7"/>
  <c r="G19" i="7" s="1"/>
  <c r="H19" i="7" s="1"/>
  <c r="D19" i="7"/>
  <c r="E19" i="7" s="1"/>
  <c r="H9" i="7" l="1"/>
  <c r="S13" i="7" s="1"/>
  <c r="R13" i="7"/>
  <c r="H16" i="7"/>
  <c r="S6" i="7" s="1"/>
  <c r="R6" i="7"/>
  <c r="F12" i="7"/>
  <c r="Q3" i="7" s="1"/>
  <c r="P3" i="7"/>
  <c r="H12" i="7"/>
  <c r="S3" i="7" s="1"/>
  <c r="R3" i="7"/>
  <c r="H7" i="7"/>
  <c r="S12" i="7" s="1"/>
  <c r="R12" i="7"/>
  <c r="I8" i="7"/>
  <c r="R9" i="7"/>
  <c r="R11" i="7"/>
  <c r="R8" i="7"/>
  <c r="AD26" i="18"/>
  <c r="AE5" i="18" s="1"/>
  <c r="AE14" i="18"/>
  <c r="AE25" i="18"/>
  <c r="P10" i="7"/>
  <c r="F15" i="7"/>
  <c r="J15" i="7" s="1"/>
  <c r="I15" i="7"/>
  <c r="J8" i="7"/>
  <c r="P11" i="7"/>
  <c r="F6" i="7"/>
  <c r="J6" i="7" s="1"/>
  <c r="I6" i="7"/>
  <c r="P13" i="7"/>
  <c r="I9" i="7"/>
  <c r="P12" i="7"/>
  <c r="F7" i="7"/>
  <c r="Q12" i="7" s="1"/>
  <c r="F10" i="7"/>
  <c r="Q8" i="7" s="1"/>
  <c r="P8" i="7"/>
  <c r="J10" i="7"/>
  <c r="I11" i="7"/>
  <c r="P9" i="7"/>
  <c r="J11" i="7"/>
  <c r="F19" i="7"/>
  <c r="J19" i="7" s="1"/>
  <c r="I19" i="7"/>
  <c r="J16" i="7"/>
  <c r="P6" i="7"/>
  <c r="F13" i="7"/>
  <c r="Q7" i="7" s="1"/>
  <c r="P7" i="7"/>
  <c r="F18" i="7"/>
  <c r="Q4" i="7" s="1"/>
  <c r="P4" i="7"/>
  <c r="I17" i="7"/>
  <c r="H17" i="7"/>
  <c r="H14" i="7"/>
  <c r="J14" i="7" s="1"/>
  <c r="I14" i="7"/>
  <c r="I13" i="7"/>
  <c r="H13" i="7"/>
  <c r="S7" i="7" s="1"/>
  <c r="H4" i="7"/>
  <c r="J4" i="7" s="1"/>
  <c r="I4" i="7"/>
  <c r="H18" i="7"/>
  <c r="I18" i="7"/>
  <c r="H5" i="7"/>
  <c r="J5" i="7" s="1"/>
  <c r="I5" i="7"/>
  <c r="J9" i="7"/>
  <c r="I16" i="7"/>
  <c r="I12" i="7"/>
  <c r="I7" i="7"/>
  <c r="I10" i="7"/>
  <c r="J17" i="7" l="1"/>
  <c r="S10" i="7"/>
  <c r="J7" i="7"/>
  <c r="J12" i="7"/>
  <c r="AE26" i="18"/>
  <c r="AF5" i="18" s="1"/>
  <c r="AF25" i="18"/>
  <c r="AF14" i="18"/>
  <c r="J13" i="7"/>
  <c r="J18" i="7"/>
  <c r="S4" i="7"/>
  <c r="AF26" i="18" l="1"/>
  <c r="AG5" i="18" s="1"/>
  <c r="AG25" i="18"/>
  <c r="Q25" i="18" s="1"/>
  <c r="Q15" i="18"/>
  <c r="L27" i="18" s="1"/>
  <c r="L25" i="18" s="1"/>
  <c r="AG14" i="18"/>
  <c r="Q14" i="18" s="1"/>
  <c r="Q10" i="18"/>
  <c r="I29" i="18" s="1"/>
  <c r="I24" i="18" s="1"/>
  <c r="U10" i="17"/>
  <c r="T10" i="17"/>
  <c r="S10" i="17"/>
  <c r="T9" i="17"/>
  <c r="S9" i="17"/>
  <c r="T8" i="17"/>
  <c r="S8" i="17"/>
  <c r="T7" i="17"/>
  <c r="S7" i="17"/>
  <c r="T6" i="17"/>
  <c r="S6" i="17"/>
  <c r="T5" i="17"/>
  <c r="S5" i="17"/>
  <c r="R4" i="17"/>
  <c r="Q4" i="17"/>
  <c r="P4" i="17"/>
  <c r="O4" i="17"/>
  <c r="N4" i="17"/>
  <c r="L4" i="17"/>
  <c r="K4" i="17"/>
  <c r="F4" i="17"/>
  <c r="G4" i="17" s="1"/>
  <c r="A4" i="17"/>
  <c r="R3" i="17"/>
  <c r="Q3" i="17"/>
  <c r="P3" i="17"/>
  <c r="O3" i="17"/>
  <c r="N3" i="17"/>
  <c r="L3" i="17"/>
  <c r="K3" i="17"/>
  <c r="F3" i="17"/>
  <c r="G3" i="17" s="1"/>
  <c r="A3" i="17"/>
  <c r="V10" i="16"/>
  <c r="V9" i="16"/>
  <c r="V8" i="16"/>
  <c r="V7" i="16"/>
  <c r="G7" i="16"/>
  <c r="V6" i="16"/>
  <c r="V5" i="16"/>
  <c r="G5" i="16"/>
  <c r="V4" i="16"/>
  <c r="O4" i="16"/>
  <c r="N4" i="16"/>
  <c r="M4" i="16"/>
  <c r="L4" i="16"/>
  <c r="K4" i="16"/>
  <c r="I4" i="16"/>
  <c r="H4" i="16"/>
  <c r="G4" i="16"/>
  <c r="A4" i="16"/>
  <c r="V3" i="16"/>
  <c r="O3" i="16"/>
  <c r="N3" i="16"/>
  <c r="M3" i="16"/>
  <c r="L3" i="16"/>
  <c r="K3" i="16"/>
  <c r="I3" i="16"/>
  <c r="H3" i="16"/>
  <c r="G3" i="16"/>
  <c r="A3" i="16"/>
  <c r="AH17" i="15"/>
  <c r="AK17" i="15" s="1"/>
  <c r="AG17" i="15"/>
  <c r="AJ17" i="15" s="1"/>
  <c r="AF17" i="15"/>
  <c r="AI17" i="15" s="1"/>
  <c r="Y17" i="15"/>
  <c r="X17" i="15"/>
  <c r="Z17" i="15" s="1"/>
  <c r="W17" i="15"/>
  <c r="U17" i="15"/>
  <c r="T17" i="15"/>
  <c r="V17" i="15" s="1"/>
  <c r="S17" i="15"/>
  <c r="R17" i="15"/>
  <c r="Q17" i="15"/>
  <c r="P17" i="15"/>
  <c r="O17" i="15"/>
  <c r="AH24" i="15"/>
  <c r="AK24" i="15" s="1"/>
  <c r="AG24" i="15"/>
  <c r="AJ24" i="15" s="1"/>
  <c r="AF24" i="15"/>
  <c r="AI24" i="15" s="1"/>
  <c r="Y24" i="15"/>
  <c r="X24" i="15"/>
  <c r="Z24" i="15" s="1"/>
  <c r="W24" i="15"/>
  <c r="U24" i="15"/>
  <c r="T24" i="15"/>
  <c r="V24" i="15" s="1"/>
  <c r="S24" i="15"/>
  <c r="R24" i="15"/>
  <c r="Q24" i="15"/>
  <c r="P24" i="15"/>
  <c r="O24" i="15"/>
  <c r="AH10" i="15"/>
  <c r="AK10" i="15" s="1"/>
  <c r="AG10" i="15"/>
  <c r="AJ10" i="15" s="1"/>
  <c r="AF10" i="15"/>
  <c r="AI10" i="15" s="1"/>
  <c r="Y10" i="15"/>
  <c r="X10" i="15"/>
  <c r="Z10" i="15" s="1"/>
  <c r="W10" i="15"/>
  <c r="U10" i="15"/>
  <c r="T10" i="15"/>
  <c r="V10" i="15" s="1"/>
  <c r="S10" i="15"/>
  <c r="R10" i="15"/>
  <c r="Q10" i="15"/>
  <c r="P10" i="15"/>
  <c r="O10" i="15"/>
  <c r="AH11" i="15"/>
  <c r="AK11" i="15" s="1"/>
  <c r="AG11" i="15"/>
  <c r="AJ11" i="15" s="1"/>
  <c r="AF11" i="15"/>
  <c r="AI11" i="15" s="1"/>
  <c r="Y11" i="15"/>
  <c r="X11" i="15"/>
  <c r="Z11" i="15" s="1"/>
  <c r="W11" i="15"/>
  <c r="U11" i="15"/>
  <c r="T11" i="15"/>
  <c r="V11" i="15" s="1"/>
  <c r="S11" i="15"/>
  <c r="R11" i="15"/>
  <c r="Q11" i="15"/>
  <c r="P11" i="15"/>
  <c r="O11" i="15"/>
  <c r="AB19" i="15"/>
  <c r="AF19" i="15" s="1"/>
  <c r="AI19" i="15" s="1"/>
  <c r="Y19" i="15"/>
  <c r="X19" i="15"/>
  <c r="Z19" i="15" s="1"/>
  <c r="W19" i="15"/>
  <c r="U19" i="15"/>
  <c r="T19" i="15"/>
  <c r="V19" i="15" s="1"/>
  <c r="S19" i="15"/>
  <c r="R19" i="15"/>
  <c r="Q19" i="15"/>
  <c r="P19" i="15"/>
  <c r="O19" i="15"/>
  <c r="AH9" i="15"/>
  <c r="AK9" i="15" s="1"/>
  <c r="AG9" i="15"/>
  <c r="AJ9" i="15" s="1"/>
  <c r="AF9" i="15"/>
  <c r="AI9" i="15" s="1"/>
  <c r="Y9" i="15"/>
  <c r="X9" i="15"/>
  <c r="Z9" i="15" s="1"/>
  <c r="W9" i="15"/>
  <c r="U9" i="15"/>
  <c r="T9" i="15"/>
  <c r="V9" i="15" s="1"/>
  <c r="S9" i="15"/>
  <c r="R9" i="15"/>
  <c r="Q9" i="15"/>
  <c r="P9" i="15"/>
  <c r="O9" i="15"/>
  <c r="AB22" i="15"/>
  <c r="AH22" i="15" s="1"/>
  <c r="AK22" i="15" s="1"/>
  <c r="Y22" i="15"/>
  <c r="X22" i="15"/>
  <c r="Z22" i="15" s="1"/>
  <c r="W22" i="15"/>
  <c r="U22" i="15"/>
  <c r="T22" i="15"/>
  <c r="V22" i="15" s="1"/>
  <c r="S22" i="15"/>
  <c r="R22" i="15"/>
  <c r="Q22" i="15"/>
  <c r="P22" i="15"/>
  <c r="O22" i="15"/>
  <c r="AH13" i="15"/>
  <c r="AK13" i="15" s="1"/>
  <c r="AG13" i="15"/>
  <c r="AJ13" i="15" s="1"/>
  <c r="AF13" i="15"/>
  <c r="AI13" i="15" s="1"/>
  <c r="Y13" i="15"/>
  <c r="X13" i="15"/>
  <c r="Z13" i="15" s="1"/>
  <c r="W13" i="15"/>
  <c r="U13" i="15"/>
  <c r="T13" i="15"/>
  <c r="V13" i="15" s="1"/>
  <c r="S13" i="15"/>
  <c r="R13" i="15"/>
  <c r="Q13" i="15"/>
  <c r="P13" i="15"/>
  <c r="O13" i="15"/>
  <c r="AH15" i="15"/>
  <c r="AK15" i="15" s="1"/>
  <c r="AG15" i="15"/>
  <c r="AJ15" i="15" s="1"/>
  <c r="AF15" i="15"/>
  <c r="AI15" i="15" s="1"/>
  <c r="Y15" i="15"/>
  <c r="X15" i="15"/>
  <c r="Z15" i="15" s="1"/>
  <c r="W15" i="15"/>
  <c r="U15" i="15"/>
  <c r="T15" i="15"/>
  <c r="V15" i="15" s="1"/>
  <c r="S15" i="15"/>
  <c r="R15" i="15"/>
  <c r="Q15" i="15"/>
  <c r="P15" i="15"/>
  <c r="O15" i="15"/>
  <c r="AH5" i="15"/>
  <c r="AK5" i="15" s="1"/>
  <c r="Y5" i="15"/>
  <c r="X5" i="15"/>
  <c r="Z5" i="15" s="1"/>
  <c r="W5" i="15"/>
  <c r="U5" i="15"/>
  <c r="T5" i="15"/>
  <c r="V5" i="15" s="1"/>
  <c r="S5" i="15"/>
  <c r="R5" i="15"/>
  <c r="Q5" i="15"/>
  <c r="P5" i="15"/>
  <c r="O5" i="15"/>
  <c r="AH23" i="15"/>
  <c r="AK23" i="15" s="1"/>
  <c r="AG23" i="15"/>
  <c r="AJ23" i="15" s="1"/>
  <c r="AF23" i="15"/>
  <c r="AI23" i="15" s="1"/>
  <c r="Y23" i="15"/>
  <c r="X23" i="15"/>
  <c r="Z23" i="15" s="1"/>
  <c r="W23" i="15"/>
  <c r="U23" i="15"/>
  <c r="T23" i="15"/>
  <c r="V23" i="15" s="1"/>
  <c r="S23" i="15"/>
  <c r="R23" i="15"/>
  <c r="Q23" i="15"/>
  <c r="P23" i="15"/>
  <c r="O23" i="15"/>
  <c r="AH21" i="15"/>
  <c r="AK21" i="15" s="1"/>
  <c r="AG21" i="15"/>
  <c r="AJ21" i="15" s="1"/>
  <c r="AF21" i="15"/>
  <c r="AI21" i="15" s="1"/>
  <c r="Y21" i="15"/>
  <c r="X21" i="15"/>
  <c r="Z21" i="15" s="1"/>
  <c r="W21" i="15"/>
  <c r="U21" i="15"/>
  <c r="T21" i="15"/>
  <c r="V21" i="15" s="1"/>
  <c r="S21" i="15"/>
  <c r="R21" i="15"/>
  <c r="Q21" i="15"/>
  <c r="P21" i="15"/>
  <c r="O21" i="15"/>
  <c r="AH14" i="15"/>
  <c r="AK14" i="15" s="1"/>
  <c r="AG14" i="15"/>
  <c r="AJ14" i="15" s="1"/>
  <c r="AF14" i="15"/>
  <c r="AI14" i="15" s="1"/>
  <c r="Y14" i="15"/>
  <c r="X14" i="15"/>
  <c r="Z14" i="15" s="1"/>
  <c r="W14" i="15"/>
  <c r="U14" i="15"/>
  <c r="T14" i="15"/>
  <c r="V14" i="15" s="1"/>
  <c r="S14" i="15"/>
  <c r="R14" i="15"/>
  <c r="Q14" i="15"/>
  <c r="P14" i="15"/>
  <c r="O14" i="15"/>
  <c r="Y8" i="15"/>
  <c r="X8" i="15"/>
  <c r="Z8" i="15" s="1"/>
  <c r="W8" i="15"/>
  <c r="U8" i="15"/>
  <c r="T8" i="15"/>
  <c r="V8" i="15" s="1"/>
  <c r="S8" i="15"/>
  <c r="R8" i="15"/>
  <c r="Q8" i="15"/>
  <c r="P8" i="15"/>
  <c r="O8" i="15"/>
  <c r="AH6" i="15"/>
  <c r="AK6" i="15" s="1"/>
  <c r="AG6" i="15"/>
  <c r="AJ6" i="15" s="1"/>
  <c r="AF6" i="15"/>
  <c r="AI6" i="15" s="1"/>
  <c r="Y6" i="15"/>
  <c r="X6" i="15"/>
  <c r="Z6" i="15" s="1"/>
  <c r="W6" i="15"/>
  <c r="U6" i="15"/>
  <c r="T6" i="15"/>
  <c r="V6" i="15" s="1"/>
  <c r="S6" i="15"/>
  <c r="R6" i="15"/>
  <c r="Q6" i="15"/>
  <c r="P6" i="15"/>
  <c r="O6" i="15"/>
  <c r="AH7" i="15"/>
  <c r="AK7" i="15" s="1"/>
  <c r="Y7" i="15"/>
  <c r="X7" i="15"/>
  <c r="Z7" i="15" s="1"/>
  <c r="W7" i="15"/>
  <c r="U7" i="15"/>
  <c r="T7" i="15"/>
  <c r="V7" i="15" s="1"/>
  <c r="S7" i="15"/>
  <c r="R7" i="15"/>
  <c r="Q7" i="15"/>
  <c r="P7" i="15"/>
  <c r="O7" i="15"/>
  <c r="K21" i="14"/>
  <c r="J21" i="14"/>
  <c r="G21" i="14"/>
  <c r="F21" i="14"/>
  <c r="E21" i="14"/>
  <c r="C21" i="14"/>
  <c r="B21" i="14"/>
  <c r="A21" i="14"/>
  <c r="K20" i="14"/>
  <c r="J20" i="14"/>
  <c r="I20" i="14"/>
  <c r="H20" i="14"/>
  <c r="G20" i="14"/>
  <c r="F20" i="14"/>
  <c r="E20" i="14"/>
  <c r="C20" i="14"/>
  <c r="B20" i="14"/>
  <c r="A20" i="14"/>
  <c r="K19" i="14"/>
  <c r="J19" i="14"/>
  <c r="I19" i="14"/>
  <c r="H19" i="14"/>
  <c r="G19" i="14"/>
  <c r="F19" i="14"/>
  <c r="E19" i="14"/>
  <c r="C19" i="14"/>
  <c r="B19" i="14"/>
  <c r="A19" i="14"/>
  <c r="K18" i="14"/>
  <c r="J18" i="14"/>
  <c r="I18" i="14"/>
  <c r="H18" i="14"/>
  <c r="G18" i="14"/>
  <c r="F18" i="14"/>
  <c r="E18" i="14"/>
  <c r="D18" i="14"/>
  <c r="C18" i="14"/>
  <c r="B18" i="14"/>
  <c r="A18" i="14"/>
  <c r="K17" i="14"/>
  <c r="J17" i="14"/>
  <c r="I17" i="14"/>
  <c r="H17" i="14"/>
  <c r="G17" i="14"/>
  <c r="F17" i="14"/>
  <c r="E17" i="14"/>
  <c r="C17" i="14"/>
  <c r="B17" i="14"/>
  <c r="A17" i="14"/>
  <c r="K16" i="14"/>
  <c r="J16" i="14"/>
  <c r="I16" i="14"/>
  <c r="H16" i="14"/>
  <c r="G16" i="14"/>
  <c r="F16" i="14"/>
  <c r="E16" i="14"/>
  <c r="D16" i="14"/>
  <c r="C16" i="14"/>
  <c r="B16" i="14"/>
  <c r="A16" i="14"/>
  <c r="S15" i="14"/>
  <c r="R15" i="14"/>
  <c r="Q15" i="14"/>
  <c r="P15" i="14"/>
  <c r="O15" i="14"/>
  <c r="N15" i="14"/>
  <c r="M15" i="14"/>
  <c r="L15" i="14"/>
  <c r="T15" i="14" s="1"/>
  <c r="K15" i="14"/>
  <c r="J15" i="14"/>
  <c r="I15" i="14"/>
  <c r="G15" i="14"/>
  <c r="E15" i="14"/>
  <c r="C15" i="14"/>
  <c r="B15" i="14"/>
  <c r="A15" i="14"/>
  <c r="R14" i="14"/>
  <c r="P14" i="14"/>
  <c r="L14" i="14"/>
  <c r="K14" i="14"/>
  <c r="G14" i="14"/>
  <c r="E14" i="14"/>
  <c r="C14" i="14"/>
  <c r="B14" i="14"/>
  <c r="A14" i="14"/>
  <c r="P13" i="14"/>
  <c r="L13" i="14"/>
  <c r="G13" i="14"/>
  <c r="E13" i="14"/>
  <c r="C13" i="14"/>
  <c r="B13" i="14"/>
  <c r="A13" i="14"/>
  <c r="R12" i="14"/>
  <c r="P12" i="14"/>
  <c r="O12" i="14"/>
  <c r="N12" i="14"/>
  <c r="L12" i="14"/>
  <c r="S12" i="14" s="1"/>
  <c r="G12" i="14"/>
  <c r="E12" i="14"/>
  <c r="C12" i="14"/>
  <c r="B12" i="14"/>
  <c r="A12" i="14"/>
  <c r="T11" i="14"/>
  <c r="S11" i="14"/>
  <c r="R11" i="14"/>
  <c r="O11" i="14"/>
  <c r="N11" i="14"/>
  <c r="M11" i="14"/>
  <c r="L11" i="14"/>
  <c r="P11" i="14" s="1"/>
  <c r="K11" i="14"/>
  <c r="G11" i="14"/>
  <c r="E11" i="14"/>
  <c r="C11" i="14"/>
  <c r="B11" i="14"/>
  <c r="A11" i="14"/>
  <c r="J10" i="14"/>
  <c r="H10" i="14"/>
  <c r="G10" i="14"/>
  <c r="E10" i="14"/>
  <c r="C10" i="14"/>
  <c r="B10" i="14"/>
  <c r="A10" i="14"/>
  <c r="U9" i="14"/>
  <c r="N9" i="14"/>
  <c r="M9" i="14"/>
  <c r="L9" i="14"/>
  <c r="J9" i="14"/>
  <c r="H9" i="14"/>
  <c r="G9" i="14"/>
  <c r="E9" i="14"/>
  <c r="C9" i="14"/>
  <c r="B9" i="14"/>
  <c r="A9" i="14"/>
  <c r="O8" i="14"/>
  <c r="U8" i="14" s="1"/>
  <c r="N8" i="14"/>
  <c r="M8" i="14"/>
  <c r="L8" i="14"/>
  <c r="K8" i="14"/>
  <c r="J8" i="14"/>
  <c r="G8" i="14"/>
  <c r="E8" i="14"/>
  <c r="C8" i="14"/>
  <c r="B8" i="14"/>
  <c r="A8" i="14"/>
  <c r="O7" i="14"/>
  <c r="U7" i="14" s="1"/>
  <c r="N7" i="14"/>
  <c r="M7" i="14"/>
  <c r="L7" i="14"/>
  <c r="K7" i="14"/>
  <c r="J7" i="14"/>
  <c r="G7" i="14"/>
  <c r="E7" i="14"/>
  <c r="C7" i="14"/>
  <c r="B7" i="14"/>
  <c r="A7" i="14"/>
  <c r="O6" i="14"/>
  <c r="U6" i="14" s="1"/>
  <c r="N6" i="14"/>
  <c r="M6" i="14"/>
  <c r="L6" i="14"/>
  <c r="J6" i="14"/>
  <c r="G6" i="14"/>
  <c r="E6" i="14"/>
  <c r="C6" i="14"/>
  <c r="B6" i="14"/>
  <c r="A6" i="14"/>
  <c r="K5" i="14"/>
  <c r="J5" i="14"/>
  <c r="I5" i="14"/>
  <c r="H5" i="14"/>
  <c r="G5" i="14"/>
  <c r="E5" i="14"/>
  <c r="C5" i="14"/>
  <c r="B5" i="14"/>
  <c r="A5" i="14"/>
  <c r="K4" i="14"/>
  <c r="J4" i="14"/>
  <c r="I4" i="14"/>
  <c r="H4" i="14"/>
  <c r="G4" i="14"/>
  <c r="E4" i="14"/>
  <c r="C4" i="14"/>
  <c r="B4" i="14"/>
  <c r="A4" i="14"/>
  <c r="K3" i="14"/>
  <c r="J3" i="14"/>
  <c r="I3" i="14"/>
  <c r="H3" i="14"/>
  <c r="G3" i="14"/>
  <c r="F3" i="14"/>
  <c r="E3" i="14"/>
  <c r="Q3" i="13"/>
  <c r="P3" i="13"/>
  <c r="O3" i="13"/>
  <c r="N3" i="13"/>
  <c r="M3" i="13"/>
  <c r="K3" i="13"/>
  <c r="J3" i="13"/>
  <c r="F3" i="13"/>
  <c r="H3" i="13" s="1"/>
  <c r="E3" i="13"/>
  <c r="D3" i="13"/>
  <c r="B3" i="13"/>
  <c r="A3" i="13"/>
  <c r="T76" i="11"/>
  <c r="U76" i="11" s="1"/>
  <c r="S76" i="11"/>
  <c r="Q76" i="11"/>
  <c r="O76" i="11"/>
  <c r="T75" i="11"/>
  <c r="S75" i="11"/>
  <c r="O75" i="11"/>
  <c r="Q75" i="11" s="1"/>
  <c r="U74" i="11"/>
  <c r="T74" i="11"/>
  <c r="S74" i="11"/>
  <c r="O74" i="11"/>
  <c r="Q74" i="11" s="1"/>
  <c r="T73" i="11"/>
  <c r="S73" i="11"/>
  <c r="Q73" i="11"/>
  <c r="O73" i="11"/>
  <c r="T72" i="11"/>
  <c r="S72" i="11"/>
  <c r="U72" i="11" s="1"/>
  <c r="O72" i="11"/>
  <c r="Q72" i="11" s="1"/>
  <c r="U71" i="11"/>
  <c r="T71" i="11"/>
  <c r="S71" i="11"/>
  <c r="O71" i="11"/>
  <c r="Q71" i="11" s="1"/>
  <c r="T70" i="11"/>
  <c r="S70" i="11"/>
  <c r="U70" i="11" s="1"/>
  <c r="Q70" i="11"/>
  <c r="O70" i="11"/>
  <c r="T69" i="11"/>
  <c r="S69" i="11"/>
  <c r="U69" i="11" s="1"/>
  <c r="Q69" i="11"/>
  <c r="O69" i="11"/>
  <c r="T68" i="11"/>
  <c r="U68" i="11" s="1"/>
  <c r="S68" i="11"/>
  <c r="Q68" i="11"/>
  <c r="O68" i="11"/>
  <c r="T67" i="11"/>
  <c r="S67" i="11"/>
  <c r="O67" i="11"/>
  <c r="Q67" i="11" s="1"/>
  <c r="U66" i="11"/>
  <c r="T66" i="11"/>
  <c r="S66" i="11"/>
  <c r="O66" i="11"/>
  <c r="Q66" i="11" s="1"/>
  <c r="T65" i="11"/>
  <c r="S65" i="11"/>
  <c r="Q65" i="11"/>
  <c r="O65" i="11"/>
  <c r="T64" i="11"/>
  <c r="S64" i="11"/>
  <c r="U64" i="11" s="1"/>
  <c r="O64" i="11"/>
  <c r="Q64" i="11" s="1"/>
  <c r="U63" i="11"/>
  <c r="T63" i="11"/>
  <c r="S63" i="11"/>
  <c r="O63" i="11"/>
  <c r="Q63" i="11" s="1"/>
  <c r="T62" i="11"/>
  <c r="S62" i="11"/>
  <c r="U62" i="11" s="1"/>
  <c r="Q62" i="11"/>
  <c r="O62" i="11"/>
  <c r="T61" i="11"/>
  <c r="S61" i="11"/>
  <c r="U61" i="11" s="1"/>
  <c r="Q61" i="11"/>
  <c r="O61" i="11"/>
  <c r="T60" i="11"/>
  <c r="U60" i="11" s="1"/>
  <c r="S60" i="11"/>
  <c r="Q60" i="11"/>
  <c r="O60" i="11"/>
  <c r="T59" i="11"/>
  <c r="S59" i="11"/>
  <c r="U59" i="11" s="1"/>
  <c r="O59" i="11"/>
  <c r="Q59" i="11" s="1"/>
  <c r="U58" i="11"/>
  <c r="T58" i="11"/>
  <c r="S58" i="11"/>
  <c r="O58" i="11"/>
  <c r="Q58" i="11" s="1"/>
  <c r="T57" i="11"/>
  <c r="S57" i="11"/>
  <c r="U57" i="11" s="1"/>
  <c r="Q57" i="11"/>
  <c r="O57" i="11"/>
  <c r="T56" i="11"/>
  <c r="S56" i="11"/>
  <c r="U56" i="11" s="1"/>
  <c r="O56" i="11"/>
  <c r="Q56" i="11" s="1"/>
  <c r="U55" i="11"/>
  <c r="T55" i="11"/>
  <c r="S55" i="11"/>
  <c r="O55" i="11"/>
  <c r="Q55" i="11" s="1"/>
  <c r="U54" i="11"/>
  <c r="T54" i="11"/>
  <c r="S54" i="11"/>
  <c r="Q54" i="11"/>
  <c r="O54" i="11"/>
  <c r="T53" i="11"/>
  <c r="S53" i="11"/>
  <c r="U53" i="11" s="1"/>
  <c r="Q53" i="11"/>
  <c r="O53" i="11"/>
  <c r="U52" i="11"/>
  <c r="T52" i="11"/>
  <c r="S52" i="11"/>
  <c r="Q52" i="11"/>
  <c r="O52" i="11"/>
  <c r="T51" i="11"/>
  <c r="S51" i="11"/>
  <c r="U51" i="11" s="1"/>
  <c r="O51" i="11"/>
  <c r="Q51" i="11" s="1"/>
  <c r="U50" i="11"/>
  <c r="T50" i="11"/>
  <c r="S50" i="11"/>
  <c r="O50" i="11"/>
  <c r="Q50" i="11" s="1"/>
  <c r="T49" i="11"/>
  <c r="S49" i="11"/>
  <c r="U49" i="11" s="1"/>
  <c r="Q49" i="11"/>
  <c r="O49" i="11"/>
  <c r="T48" i="11"/>
  <c r="S48" i="11"/>
  <c r="U48" i="11" s="1"/>
  <c r="O48" i="11"/>
  <c r="Q48" i="11" s="1"/>
  <c r="U47" i="11"/>
  <c r="T47" i="11"/>
  <c r="S47" i="11"/>
  <c r="O47" i="11"/>
  <c r="Q47" i="11" s="1"/>
  <c r="U46" i="11"/>
  <c r="T46" i="11"/>
  <c r="S46" i="11"/>
  <c r="Q46" i="11"/>
  <c r="O46" i="11"/>
  <c r="T45" i="11"/>
  <c r="S45" i="11"/>
  <c r="U45" i="11" s="1"/>
  <c r="Q45" i="11"/>
  <c r="O45" i="11"/>
  <c r="T44" i="11"/>
  <c r="U44" i="11" s="1"/>
  <c r="S44" i="11"/>
  <c r="Q44" i="11"/>
  <c r="O44" i="11"/>
  <c r="T43" i="11"/>
  <c r="S43" i="11"/>
  <c r="U43" i="11" s="1"/>
  <c r="Q43" i="11"/>
  <c r="O43" i="11"/>
  <c r="U42" i="11"/>
  <c r="T42" i="11"/>
  <c r="S42" i="11"/>
  <c r="O42" i="11"/>
  <c r="Q42" i="11" s="1"/>
  <c r="T41" i="11"/>
  <c r="S41" i="11"/>
  <c r="U41" i="11" s="1"/>
  <c r="Q41" i="11"/>
  <c r="O41" i="11"/>
  <c r="T40" i="11"/>
  <c r="S40" i="11"/>
  <c r="U40" i="11" s="1"/>
  <c r="O40" i="11"/>
  <c r="Q40" i="11" s="1"/>
  <c r="U39" i="11"/>
  <c r="T39" i="11"/>
  <c r="S39" i="11"/>
  <c r="O39" i="11"/>
  <c r="Q39" i="11" s="1"/>
  <c r="T38" i="11"/>
  <c r="S38" i="11"/>
  <c r="U38" i="11" s="1"/>
  <c r="Q38" i="11"/>
  <c r="O38" i="11"/>
  <c r="T37" i="11"/>
  <c r="S37" i="11"/>
  <c r="U37" i="11" s="1"/>
  <c r="Q37" i="11"/>
  <c r="O37" i="11"/>
  <c r="U36" i="11"/>
  <c r="T36" i="11"/>
  <c r="S36" i="11"/>
  <c r="Q36" i="11"/>
  <c r="O36" i="11"/>
  <c r="T35" i="11"/>
  <c r="S35" i="11"/>
  <c r="U35" i="11" s="1"/>
  <c r="O35" i="11"/>
  <c r="Q35" i="11" s="1"/>
  <c r="U34" i="11"/>
  <c r="T34" i="11"/>
  <c r="S34" i="11"/>
  <c r="O34" i="11"/>
  <c r="Q34" i="11" s="1"/>
  <c r="T33" i="11"/>
  <c r="S33" i="11"/>
  <c r="Q33" i="11"/>
  <c r="O33" i="11"/>
  <c r="B33" i="11"/>
  <c r="T32" i="11"/>
  <c r="S32" i="11"/>
  <c r="U32" i="11" s="1"/>
  <c r="Q32" i="11"/>
  <c r="O32" i="11"/>
  <c r="T31" i="11"/>
  <c r="S31" i="11"/>
  <c r="U31" i="11" s="1"/>
  <c r="Q31" i="11"/>
  <c r="O31" i="11"/>
  <c r="B31" i="11"/>
  <c r="B32" i="11" s="1"/>
  <c r="U30" i="11"/>
  <c r="T30" i="11"/>
  <c r="S30" i="11"/>
  <c r="O30" i="11"/>
  <c r="Q30" i="11" s="1"/>
  <c r="T29" i="11"/>
  <c r="S29" i="11"/>
  <c r="U29" i="11" s="1"/>
  <c r="Q29" i="11"/>
  <c r="O29" i="11"/>
  <c r="T28" i="11"/>
  <c r="S28" i="11"/>
  <c r="U28" i="11" s="1"/>
  <c r="Q28" i="11"/>
  <c r="O28" i="11"/>
  <c r="U27" i="11"/>
  <c r="T27" i="11"/>
  <c r="S27" i="11"/>
  <c r="Q27" i="11"/>
  <c r="O27" i="11"/>
  <c r="T26" i="11"/>
  <c r="S26" i="11"/>
  <c r="O26" i="11"/>
  <c r="Q26" i="11" s="1"/>
  <c r="U25" i="11"/>
  <c r="T25" i="11"/>
  <c r="S25" i="11"/>
  <c r="O25" i="11"/>
  <c r="Q25" i="11" s="1"/>
  <c r="T24" i="11"/>
  <c r="S24" i="11"/>
  <c r="Q24" i="11"/>
  <c r="O24" i="11"/>
  <c r="T23" i="11"/>
  <c r="S23" i="11"/>
  <c r="U23" i="11" s="1"/>
  <c r="O23" i="11"/>
  <c r="Q23" i="11" s="1"/>
  <c r="U22" i="11"/>
  <c r="T22" i="11"/>
  <c r="S22" i="11"/>
  <c r="O22" i="11"/>
  <c r="Q22" i="11" s="1"/>
  <c r="U21" i="11"/>
  <c r="T21" i="11"/>
  <c r="S21" i="11"/>
  <c r="Q21" i="11"/>
  <c r="O21" i="11"/>
  <c r="U20" i="11"/>
  <c r="T20" i="11"/>
  <c r="S20" i="11"/>
  <c r="Q20" i="11"/>
  <c r="O20" i="11"/>
  <c r="T19" i="11"/>
  <c r="U19" i="11" s="1"/>
  <c r="S19" i="11"/>
  <c r="Q19" i="11"/>
  <c r="O19" i="11"/>
  <c r="T18" i="11"/>
  <c r="S18" i="11"/>
  <c r="U18" i="11" s="1"/>
  <c r="O18" i="11"/>
  <c r="Q18" i="11" s="1"/>
  <c r="U17" i="11"/>
  <c r="T17" i="11"/>
  <c r="S17" i="11"/>
  <c r="O17" i="11"/>
  <c r="Q17" i="11" s="1"/>
  <c r="T16" i="11"/>
  <c r="S16" i="11"/>
  <c r="U16" i="11" s="1"/>
  <c r="Q16" i="11"/>
  <c r="O16" i="11"/>
  <c r="T15" i="11"/>
  <c r="S15" i="11"/>
  <c r="U15" i="11" s="1"/>
  <c r="O15" i="11"/>
  <c r="Q15" i="11" s="1"/>
  <c r="U14" i="11"/>
  <c r="T14" i="11"/>
  <c r="S14" i="11"/>
  <c r="O14" i="11"/>
  <c r="Q14" i="11" s="1"/>
  <c r="T13" i="11"/>
  <c r="S13" i="11"/>
  <c r="U13" i="11" s="1"/>
  <c r="Q13" i="11"/>
  <c r="O13" i="11"/>
  <c r="U12" i="11"/>
  <c r="T12" i="11"/>
  <c r="S12" i="11"/>
  <c r="Q12" i="11"/>
  <c r="O12" i="11"/>
  <c r="T11" i="11"/>
  <c r="U11" i="11" s="1"/>
  <c r="S11" i="11"/>
  <c r="Q11" i="11"/>
  <c r="O11" i="11"/>
  <c r="T10" i="11"/>
  <c r="S10" i="11"/>
  <c r="U10" i="11" s="1"/>
  <c r="O10" i="11"/>
  <c r="Q10" i="11" s="1"/>
  <c r="U9" i="11"/>
  <c r="T9" i="11"/>
  <c r="S9" i="11"/>
  <c r="O9" i="11"/>
  <c r="Q9" i="11" s="1"/>
  <c r="K9" i="11"/>
  <c r="T8" i="11"/>
  <c r="U8" i="11" s="1"/>
  <c r="S8" i="11"/>
  <c r="Q8" i="11"/>
  <c r="O8" i="11"/>
  <c r="T7" i="11"/>
  <c r="S7" i="11"/>
  <c r="U7" i="11" s="1"/>
  <c r="O7" i="11"/>
  <c r="Q7" i="11" s="1"/>
  <c r="U6" i="11"/>
  <c r="T6" i="11"/>
  <c r="S6" i="11"/>
  <c r="O6" i="11"/>
  <c r="Q6" i="11" s="1"/>
  <c r="T5" i="11"/>
  <c r="S5" i="11"/>
  <c r="U5" i="11" s="1"/>
  <c r="Q5" i="11"/>
  <c r="O5" i="11"/>
  <c r="T4" i="11"/>
  <c r="S4" i="11"/>
  <c r="U4" i="11" s="1"/>
  <c r="O4" i="11"/>
  <c r="Q4" i="11" s="1"/>
  <c r="U3" i="11"/>
  <c r="T3" i="11"/>
  <c r="S3" i="11"/>
  <c r="O3" i="11"/>
  <c r="Q3" i="11" s="1"/>
  <c r="T2" i="11"/>
  <c r="S2" i="11"/>
  <c r="U2" i="11" s="1"/>
  <c r="Q2" i="11"/>
  <c r="O2" i="11"/>
  <c r="AJ29" i="10"/>
  <c r="AH29" i="10"/>
  <c r="AF29" i="10"/>
  <c r="AJ28" i="10"/>
  <c r="AH28" i="10"/>
  <c r="AF28" i="10"/>
  <c r="AJ27" i="10"/>
  <c r="AH27" i="10"/>
  <c r="AF27" i="10"/>
  <c r="AJ26" i="10"/>
  <c r="AH26" i="10"/>
  <c r="AF26" i="10"/>
  <c r="AK21" i="10"/>
  <c r="B21" i="10"/>
  <c r="B25" i="10" s="1"/>
  <c r="B29" i="10" s="1"/>
  <c r="AK19" i="10"/>
  <c r="B19" i="10"/>
  <c r="B23" i="10" s="1"/>
  <c r="B27" i="10" s="1"/>
  <c r="AK18" i="10"/>
  <c r="B18" i="10"/>
  <c r="C16" i="10"/>
  <c r="C19" i="10" s="1"/>
  <c r="C23" i="10" s="1"/>
  <c r="Q13" i="10"/>
  <c r="L7" i="10" s="1"/>
  <c r="O13" i="10"/>
  <c r="N13" i="10"/>
  <c r="I13" i="10"/>
  <c r="P12" i="10"/>
  <c r="E12" i="10"/>
  <c r="P11" i="10"/>
  <c r="E11" i="10"/>
  <c r="P10" i="10"/>
  <c r="E10" i="10"/>
  <c r="P9" i="10"/>
  <c r="H9" i="10"/>
  <c r="I11" i="10" s="1"/>
  <c r="E9" i="10"/>
  <c r="P8" i="10"/>
  <c r="P7" i="10"/>
  <c r="K7" i="10"/>
  <c r="J7" i="10"/>
  <c r="I7" i="10"/>
  <c r="G7" i="10"/>
  <c r="E7" i="10"/>
  <c r="P6" i="10"/>
  <c r="K6" i="10"/>
  <c r="J6" i="10"/>
  <c r="I6" i="10"/>
  <c r="G6" i="10"/>
  <c r="E6" i="10"/>
  <c r="P5" i="10"/>
  <c r="L5" i="10"/>
  <c r="K5" i="10"/>
  <c r="J5" i="10"/>
  <c r="I5" i="10"/>
  <c r="G5" i="10"/>
  <c r="E5" i="10"/>
  <c r="P4" i="10"/>
  <c r="L4" i="10"/>
  <c r="K4" i="10"/>
  <c r="J4" i="10"/>
  <c r="I4" i="10"/>
  <c r="G4" i="10"/>
  <c r="E4" i="10"/>
  <c r="P3" i="10"/>
  <c r="C3" i="10"/>
  <c r="C8" i="10" s="1"/>
  <c r="B3" i="10"/>
  <c r="P2" i="10"/>
  <c r="P13" i="10" s="1"/>
  <c r="L6" i="10" s="1"/>
  <c r="H86" i="9"/>
  <c r="E86" i="9"/>
  <c r="H85" i="9"/>
  <c r="E85" i="9"/>
  <c r="H84" i="9"/>
  <c r="E84" i="9"/>
  <c r="H83" i="9"/>
  <c r="E83" i="9"/>
  <c r="H82" i="9"/>
  <c r="E82" i="9"/>
  <c r="H81" i="9"/>
  <c r="E81" i="9"/>
  <c r="H80" i="9"/>
  <c r="E80" i="9"/>
  <c r="H79" i="9"/>
  <c r="E79" i="9"/>
  <c r="H78" i="9"/>
  <c r="E78" i="9"/>
  <c r="H77" i="9"/>
  <c r="E77" i="9"/>
  <c r="H76" i="9"/>
  <c r="E76" i="9"/>
  <c r="H75" i="9"/>
  <c r="E75" i="9"/>
  <c r="H74" i="9"/>
  <c r="E74" i="9"/>
  <c r="H73" i="9"/>
  <c r="E73" i="9"/>
  <c r="H72" i="9"/>
  <c r="E72" i="9"/>
  <c r="H71" i="9"/>
  <c r="E71" i="9"/>
  <c r="H70" i="9"/>
  <c r="E70" i="9"/>
  <c r="H69" i="9"/>
  <c r="E69" i="9"/>
  <c r="H68" i="9"/>
  <c r="E68" i="9"/>
  <c r="H67" i="9"/>
  <c r="E67" i="9"/>
  <c r="H66" i="9"/>
  <c r="E66" i="9"/>
  <c r="H65" i="9"/>
  <c r="E65" i="9"/>
  <c r="H64" i="9"/>
  <c r="E64" i="9"/>
  <c r="H63" i="9"/>
  <c r="E63" i="9"/>
  <c r="H62" i="9"/>
  <c r="E62" i="9"/>
  <c r="H61" i="9"/>
  <c r="E61" i="9"/>
  <c r="H60" i="9"/>
  <c r="E60" i="9"/>
  <c r="H59" i="9"/>
  <c r="E59" i="9"/>
  <c r="H58" i="9"/>
  <c r="E58" i="9"/>
  <c r="H57" i="9"/>
  <c r="E57" i="9"/>
  <c r="H56" i="9"/>
  <c r="E56" i="9"/>
  <c r="H55" i="9"/>
  <c r="E55" i="9"/>
  <c r="H54" i="9"/>
  <c r="E54" i="9"/>
  <c r="H53" i="9"/>
  <c r="E53" i="9"/>
  <c r="H52" i="9"/>
  <c r="E52" i="9"/>
  <c r="H51" i="9"/>
  <c r="E51" i="9"/>
  <c r="H50" i="9"/>
  <c r="E50" i="9"/>
  <c r="H49" i="9"/>
  <c r="E49" i="9"/>
  <c r="H48" i="9"/>
  <c r="E48" i="9"/>
  <c r="H47" i="9"/>
  <c r="E47" i="9"/>
  <c r="H46" i="9"/>
  <c r="E46" i="9"/>
  <c r="H45" i="9"/>
  <c r="E45" i="9"/>
  <c r="H44" i="9"/>
  <c r="E44" i="9"/>
  <c r="H43" i="9"/>
  <c r="E43" i="9"/>
  <c r="H42" i="9"/>
  <c r="E42" i="9"/>
  <c r="H41" i="9"/>
  <c r="E41" i="9"/>
  <c r="H40" i="9"/>
  <c r="E40" i="9"/>
  <c r="H39" i="9"/>
  <c r="E39" i="9"/>
  <c r="H38" i="9"/>
  <c r="E38" i="9"/>
  <c r="H37" i="9"/>
  <c r="E37" i="9"/>
  <c r="H36" i="9"/>
  <c r="E36" i="9"/>
  <c r="H35" i="9"/>
  <c r="E35" i="9"/>
  <c r="H34" i="9"/>
  <c r="E34" i="9"/>
  <c r="H33" i="9"/>
  <c r="E33" i="9"/>
  <c r="H32" i="9"/>
  <c r="E32" i="9"/>
  <c r="H31" i="9"/>
  <c r="E31" i="9"/>
  <c r="H30" i="9"/>
  <c r="E30" i="9"/>
  <c r="H29" i="9"/>
  <c r="E29" i="9"/>
  <c r="H28" i="9"/>
  <c r="E28" i="9"/>
  <c r="H27" i="9"/>
  <c r="E27" i="9"/>
  <c r="H26" i="9"/>
  <c r="E26" i="9"/>
  <c r="H25" i="9"/>
  <c r="E25" i="9"/>
  <c r="H24" i="9"/>
  <c r="E24" i="9"/>
  <c r="H23" i="9"/>
  <c r="E23" i="9"/>
  <c r="H22" i="9"/>
  <c r="E22" i="9"/>
  <c r="H21" i="9"/>
  <c r="E21" i="9"/>
  <c r="H20" i="9"/>
  <c r="E20" i="9"/>
  <c r="H19" i="9"/>
  <c r="E19" i="9"/>
  <c r="H18" i="9"/>
  <c r="E18" i="9"/>
  <c r="H17" i="9"/>
  <c r="E17" i="9"/>
  <c r="H16" i="9"/>
  <c r="E16" i="9"/>
  <c r="H15" i="9"/>
  <c r="E15" i="9"/>
  <c r="H14" i="9"/>
  <c r="E14" i="9"/>
  <c r="H13" i="9"/>
  <c r="E13" i="9"/>
  <c r="H12" i="9"/>
  <c r="E12" i="9"/>
  <c r="H11" i="9"/>
  <c r="E11" i="9"/>
  <c r="H10" i="9"/>
  <c r="E10" i="9"/>
  <c r="H9" i="9"/>
  <c r="E9" i="9"/>
  <c r="N8" i="9"/>
  <c r="H8" i="9"/>
  <c r="E8" i="9"/>
  <c r="N7" i="9"/>
  <c r="H7" i="9"/>
  <c r="E7" i="9"/>
  <c r="N6" i="9"/>
  <c r="H6" i="9"/>
  <c r="E6" i="9"/>
  <c r="N5" i="9"/>
  <c r="H5" i="9"/>
  <c r="E5" i="9"/>
  <c r="N4" i="9"/>
  <c r="H4" i="9"/>
  <c r="E4" i="9"/>
  <c r="N3" i="9"/>
  <c r="H3" i="9"/>
  <c r="E3" i="9"/>
  <c r="N2" i="9"/>
  <c r="H2" i="9"/>
  <c r="E2" i="9"/>
  <c r="R12" i="8"/>
  <c r="H15" i="8"/>
  <c r="O15" i="8" s="1"/>
  <c r="H3" i="8"/>
  <c r="H14" i="8" s="1"/>
  <c r="O14" i="8" s="1"/>
  <c r="H6" i="8"/>
  <c r="H17" i="8" s="1"/>
  <c r="H5" i="8"/>
  <c r="O5" i="8" s="1"/>
  <c r="O4" i="8"/>
  <c r="H2" i="8"/>
  <c r="H13" i="8" s="1"/>
  <c r="O13" i="8" s="1"/>
  <c r="A2" i="8"/>
  <c r="O2" i="8" s="1"/>
  <c r="K1" i="8"/>
  <c r="R1" i="8" s="1"/>
  <c r="P18" i="7"/>
  <c r="D3" i="7"/>
  <c r="E3" i="7" s="1"/>
  <c r="C3" i="7"/>
  <c r="G3" i="7" s="1"/>
  <c r="R5" i="7" s="1"/>
  <c r="B3" i="7"/>
  <c r="A3" i="7"/>
  <c r="O5" i="7" s="1"/>
  <c r="AD77" i="6"/>
  <c r="AC77" i="6"/>
  <c r="AB77" i="6"/>
  <c r="AA77" i="6"/>
  <c r="Z77" i="6"/>
  <c r="Y77" i="6"/>
  <c r="X77" i="6"/>
  <c r="W77" i="6"/>
  <c r="V77" i="6"/>
  <c r="S77" i="6"/>
  <c r="R77" i="6"/>
  <c r="Q77" i="6"/>
  <c r="P77" i="6"/>
  <c r="O77" i="6"/>
  <c r="N77" i="6"/>
  <c r="A70" i="6"/>
  <c r="A69" i="6"/>
  <c r="A68" i="6"/>
  <c r="R66" i="6"/>
  <c r="S66" i="6" s="1"/>
  <c r="T66" i="6" s="1"/>
  <c r="U66" i="6" s="1"/>
  <c r="V66" i="6" s="1"/>
  <c r="W66" i="6" s="1"/>
  <c r="X66" i="6" s="1"/>
  <c r="Y66" i="6" s="1"/>
  <c r="Z66" i="6" s="1"/>
  <c r="AA66" i="6" s="1"/>
  <c r="AB66" i="6" s="1"/>
  <c r="AC66" i="6" s="1"/>
  <c r="AD66" i="6" s="1"/>
  <c r="Q66" i="6"/>
  <c r="P66" i="6"/>
  <c r="N66" i="6"/>
  <c r="O66" i="6" s="1"/>
  <c r="D65" i="6"/>
  <c r="A65" i="6"/>
  <c r="N64" i="6"/>
  <c r="O63" i="6"/>
  <c r="L63" i="6"/>
  <c r="A71" i="6" s="1"/>
  <c r="A63" i="6"/>
  <c r="Q62" i="6"/>
  <c r="R62" i="6" s="1"/>
  <c r="S62" i="6" s="1"/>
  <c r="T62" i="6" s="1"/>
  <c r="U62" i="6" s="1"/>
  <c r="V62" i="6" s="1"/>
  <c r="W62" i="6" s="1"/>
  <c r="X62" i="6" s="1"/>
  <c r="Y62" i="6" s="1"/>
  <c r="Z62" i="6" s="1"/>
  <c r="AA62" i="6" s="1"/>
  <c r="AB62" i="6" s="1"/>
  <c r="AC62" i="6" s="1"/>
  <c r="AD62" i="6" s="1"/>
  <c r="P62" i="6"/>
  <c r="O62" i="6"/>
  <c r="Z61" i="6"/>
  <c r="M61" i="6" s="1"/>
  <c r="H70" i="6" s="1"/>
  <c r="P60" i="6"/>
  <c r="O60" i="6"/>
  <c r="E60" i="6"/>
  <c r="Y59" i="6"/>
  <c r="Z59" i="6" s="1"/>
  <c r="AA59" i="6" s="1"/>
  <c r="AB59" i="6" s="1"/>
  <c r="P59" i="6"/>
  <c r="Q59" i="6" s="1"/>
  <c r="P58" i="6"/>
  <c r="Q58" i="6" s="1"/>
  <c r="R58" i="6" s="1"/>
  <c r="S58" i="6" s="1"/>
  <c r="T58" i="6" s="1"/>
  <c r="U58" i="6" s="1"/>
  <c r="V58" i="6" s="1"/>
  <c r="W58" i="6" s="1"/>
  <c r="X58" i="6" s="1"/>
  <c r="Y58" i="6" s="1"/>
  <c r="Z58" i="6" s="1"/>
  <c r="AA58" i="6" s="1"/>
  <c r="AB58" i="6" s="1"/>
  <c r="AC58" i="6" s="1"/>
  <c r="AD58" i="6" s="1"/>
  <c r="O58" i="6"/>
  <c r="L58" i="6"/>
  <c r="A67" i="6" s="1"/>
  <c r="P57" i="6"/>
  <c r="Q57" i="6" s="1"/>
  <c r="R57" i="6" s="1"/>
  <c r="S57" i="6" s="1"/>
  <c r="T57" i="6" s="1"/>
  <c r="U57" i="6" s="1"/>
  <c r="V57" i="6" s="1"/>
  <c r="W57" i="6" s="1"/>
  <c r="X57" i="6" s="1"/>
  <c r="Y57" i="6" s="1"/>
  <c r="Z57" i="6" s="1"/>
  <c r="AA57" i="6" s="1"/>
  <c r="AB57" i="6" s="1"/>
  <c r="AC57" i="6" s="1"/>
  <c r="AD57" i="6" s="1"/>
  <c r="O57" i="6"/>
  <c r="L57" i="6"/>
  <c r="A66" i="6" s="1"/>
  <c r="E57" i="6"/>
  <c r="M56" i="6"/>
  <c r="E56" i="6"/>
  <c r="O55" i="6"/>
  <c r="O64" i="6" s="1"/>
  <c r="L55" i="6"/>
  <c r="A64" i="6" s="1"/>
  <c r="T54" i="6"/>
  <c r="Q54" i="6"/>
  <c r="M54" i="6"/>
  <c r="H66" i="6" s="1"/>
  <c r="L54" i="6"/>
  <c r="E54" i="6"/>
  <c r="P53" i="6"/>
  <c r="O53" i="6"/>
  <c r="P52" i="6"/>
  <c r="Q52" i="6" s="1"/>
  <c r="O52" i="6"/>
  <c r="H52" i="6"/>
  <c r="D52" i="6"/>
  <c r="D66" i="6" s="1"/>
  <c r="A52" i="6"/>
  <c r="AD51" i="6"/>
  <c r="M51" i="6"/>
  <c r="E70" i="6" s="1"/>
  <c r="D51" i="6"/>
  <c r="A51" i="6"/>
  <c r="AD50" i="6"/>
  <c r="AB50" i="6"/>
  <c r="Y50" i="6"/>
  <c r="X50" i="6"/>
  <c r="N50" i="6"/>
  <c r="H50" i="6"/>
  <c r="A50" i="6"/>
  <c r="V49" i="6"/>
  <c r="N49" i="6"/>
  <c r="N53" i="6" s="1"/>
  <c r="M49" i="6"/>
  <c r="E73" i="6" s="1"/>
  <c r="A49" i="6"/>
  <c r="M48" i="6"/>
  <c r="A48" i="6"/>
  <c r="T47" i="6"/>
  <c r="M47" i="6"/>
  <c r="E61" i="6" s="1"/>
  <c r="A47" i="6"/>
  <c r="T46" i="6"/>
  <c r="M46" i="6"/>
  <c r="E72" i="6" s="1"/>
  <c r="H46" i="6"/>
  <c r="E46" i="6"/>
  <c r="A46" i="6"/>
  <c r="V45" i="6"/>
  <c r="T45" i="6"/>
  <c r="S45" i="6"/>
  <c r="O45" i="6"/>
  <c r="E45" i="6"/>
  <c r="A45" i="6"/>
  <c r="M44" i="6"/>
  <c r="H44" i="6"/>
  <c r="M43" i="6"/>
  <c r="N43" i="6" s="1"/>
  <c r="S42" i="6"/>
  <c r="T42" i="6" s="1"/>
  <c r="U42" i="6" s="1"/>
  <c r="V42" i="6" s="1"/>
  <c r="W42" i="6" s="1"/>
  <c r="X42" i="6" s="1"/>
  <c r="Y42" i="6" s="1"/>
  <c r="Z42" i="6" s="1"/>
  <c r="AA42" i="6" s="1"/>
  <c r="AB42" i="6" s="1"/>
  <c r="AC42" i="6" s="1"/>
  <c r="AD42" i="6" s="1"/>
  <c r="R42" i="6"/>
  <c r="Q42" i="6"/>
  <c r="P42" i="6"/>
  <c r="Q40" i="6"/>
  <c r="R40" i="6" s="1"/>
  <c r="S40" i="6" s="1"/>
  <c r="T40" i="6" s="1"/>
  <c r="U40" i="6" s="1"/>
  <c r="V40" i="6" s="1"/>
  <c r="W40" i="6" s="1"/>
  <c r="X40" i="6" s="1"/>
  <c r="Y40" i="6" s="1"/>
  <c r="Z40" i="6" s="1"/>
  <c r="AA40" i="6" s="1"/>
  <c r="AB40" i="6" s="1"/>
  <c r="AC40" i="6" s="1"/>
  <c r="AD40" i="6" s="1"/>
  <c r="P40" i="6"/>
  <c r="O40" i="6"/>
  <c r="AC38" i="6"/>
  <c r="AB38" i="6"/>
  <c r="AA38" i="6"/>
  <c r="Z38" i="6"/>
  <c r="Y38" i="6"/>
  <c r="X38" i="6"/>
  <c r="W38" i="6"/>
  <c r="V38" i="6"/>
  <c r="S38" i="6"/>
  <c r="R38" i="6"/>
  <c r="Q38" i="6"/>
  <c r="P38" i="6"/>
  <c r="O38" i="6"/>
  <c r="N38" i="6"/>
  <c r="A31" i="6"/>
  <c r="A30" i="6"/>
  <c r="A29" i="6"/>
  <c r="N27" i="6"/>
  <c r="O27" i="6" s="1"/>
  <c r="P27" i="6" s="1"/>
  <c r="Q27" i="6" s="1"/>
  <c r="R27" i="6" s="1"/>
  <c r="S27" i="6" s="1"/>
  <c r="T27" i="6" s="1"/>
  <c r="U27" i="6" s="1"/>
  <c r="V27" i="6" s="1"/>
  <c r="W27" i="6" s="1"/>
  <c r="X27" i="6" s="1"/>
  <c r="Y27" i="6" s="1"/>
  <c r="Z27" i="6" s="1"/>
  <c r="AA27" i="6" s="1"/>
  <c r="AB27" i="6" s="1"/>
  <c r="AC27" i="6" s="1"/>
  <c r="A27" i="6"/>
  <c r="A26" i="6"/>
  <c r="A25" i="6"/>
  <c r="AB24" i="6"/>
  <c r="AC24" i="6" s="1"/>
  <c r="P24" i="6"/>
  <c r="Q24" i="6" s="1"/>
  <c r="R24" i="6" s="1"/>
  <c r="S24" i="6" s="1"/>
  <c r="T24" i="6" s="1"/>
  <c r="U24" i="6" s="1"/>
  <c r="V24" i="6" s="1"/>
  <c r="W24" i="6" s="1"/>
  <c r="X24" i="6" s="1"/>
  <c r="Y24" i="6" s="1"/>
  <c r="Z24" i="6" s="1"/>
  <c r="O24" i="6"/>
  <c r="L24" i="6"/>
  <c r="A32" i="6" s="1"/>
  <c r="AB23" i="6"/>
  <c r="AC23" i="6" s="1"/>
  <c r="O23" i="6"/>
  <c r="P23" i="6" s="1"/>
  <c r="Q23" i="6" s="1"/>
  <c r="R23" i="6" s="1"/>
  <c r="S23" i="6" s="1"/>
  <c r="T23" i="6" s="1"/>
  <c r="U23" i="6" s="1"/>
  <c r="V23" i="6" s="1"/>
  <c r="W23" i="6" s="1"/>
  <c r="X23" i="6" s="1"/>
  <c r="Y23" i="6" s="1"/>
  <c r="Z23" i="6" s="1"/>
  <c r="P22" i="6"/>
  <c r="Q22" i="6" s="1"/>
  <c r="R22" i="6" s="1"/>
  <c r="S22" i="6" s="1"/>
  <c r="T22" i="6" s="1"/>
  <c r="U22" i="6" s="1"/>
  <c r="V22" i="6" s="1"/>
  <c r="W22" i="6" s="1"/>
  <c r="X22" i="6" s="1"/>
  <c r="Y22" i="6" s="1"/>
  <c r="Z22" i="6" s="1"/>
  <c r="AA22" i="6" s="1"/>
  <c r="AB22" i="6" s="1"/>
  <c r="AC22" i="6" s="1"/>
  <c r="O22" i="6"/>
  <c r="AB21" i="6"/>
  <c r="AC21" i="6" s="1"/>
  <c r="P21" i="6"/>
  <c r="Q21" i="6" s="1"/>
  <c r="R21" i="6" s="1"/>
  <c r="S21" i="6" s="1"/>
  <c r="T21" i="6" s="1"/>
  <c r="U21" i="6" s="1"/>
  <c r="V21" i="6" s="1"/>
  <c r="W21" i="6" s="1"/>
  <c r="X21" i="6" s="1"/>
  <c r="Y21" i="6" s="1"/>
  <c r="Z21" i="6" s="1"/>
  <c r="O21" i="6"/>
  <c r="E21" i="6"/>
  <c r="Z20" i="6"/>
  <c r="Y20" i="6"/>
  <c r="P20" i="6"/>
  <c r="Q20" i="6" s="1"/>
  <c r="R20" i="6" s="1"/>
  <c r="S20" i="6" s="1"/>
  <c r="T20" i="6" s="1"/>
  <c r="O19" i="6"/>
  <c r="P19" i="6" s="1"/>
  <c r="Q19" i="6" s="1"/>
  <c r="R19" i="6" s="1"/>
  <c r="S19" i="6" s="1"/>
  <c r="T19" i="6" s="1"/>
  <c r="U19" i="6" s="1"/>
  <c r="V19" i="6" s="1"/>
  <c r="W19" i="6" s="1"/>
  <c r="X19" i="6" s="1"/>
  <c r="Y19" i="6" s="1"/>
  <c r="Z19" i="6" s="1"/>
  <c r="AA19" i="6" s="1"/>
  <c r="AB19" i="6" s="1"/>
  <c r="AC19" i="6" s="1"/>
  <c r="L19" i="6"/>
  <c r="A28" i="6" s="1"/>
  <c r="Q18" i="6"/>
  <c r="P18" i="6"/>
  <c r="O18" i="6"/>
  <c r="L18" i="6"/>
  <c r="E18" i="6"/>
  <c r="M17" i="6"/>
  <c r="H23" i="6" s="1"/>
  <c r="E17" i="6"/>
  <c r="R16" i="6"/>
  <c r="S16" i="6" s="1"/>
  <c r="T16" i="6" s="1"/>
  <c r="U16" i="6" s="1"/>
  <c r="V16" i="6" s="1"/>
  <c r="W16" i="6" s="1"/>
  <c r="X16" i="6" s="1"/>
  <c r="Y16" i="6" s="1"/>
  <c r="Z16" i="6" s="1"/>
  <c r="AA16" i="6" s="1"/>
  <c r="AB16" i="6" s="1"/>
  <c r="AC16" i="6" s="1"/>
  <c r="Q16" i="6"/>
  <c r="P16" i="6"/>
  <c r="O16" i="6"/>
  <c r="L16" i="6"/>
  <c r="E16" i="6"/>
  <c r="O15" i="6"/>
  <c r="N15" i="6"/>
  <c r="L15" i="6"/>
  <c r="A24" i="6" s="1"/>
  <c r="N14" i="6"/>
  <c r="O13" i="6"/>
  <c r="D13" i="6"/>
  <c r="D27" i="6" s="1"/>
  <c r="A13" i="6"/>
  <c r="M12" i="6"/>
  <c r="D12" i="6"/>
  <c r="D26" i="6" s="1"/>
  <c r="A12" i="6"/>
  <c r="AC11" i="6"/>
  <c r="Y11" i="6"/>
  <c r="M11" i="6" s="1"/>
  <c r="X11" i="6"/>
  <c r="A11" i="6"/>
  <c r="O10" i="6"/>
  <c r="O14" i="6" s="1"/>
  <c r="A10" i="6"/>
  <c r="M9" i="6"/>
  <c r="E22" i="6" s="1"/>
  <c r="A9" i="6"/>
  <c r="M8" i="6"/>
  <c r="A8" i="6"/>
  <c r="AC7" i="6"/>
  <c r="M7" i="6"/>
  <c r="E33" i="6" s="1"/>
  <c r="H7" i="6"/>
  <c r="H5" i="6" s="1"/>
  <c r="E7" i="6"/>
  <c r="A7" i="6"/>
  <c r="U6" i="6"/>
  <c r="S6" i="6"/>
  <c r="R6" i="6"/>
  <c r="M6" i="6"/>
  <c r="E6" i="6"/>
  <c r="A6" i="6"/>
  <c r="O3" i="6"/>
  <c r="P3" i="6" s="1"/>
  <c r="Q3" i="6" s="1"/>
  <c r="R3" i="6" s="1"/>
  <c r="S3" i="6" s="1"/>
  <c r="T3" i="6" s="1"/>
  <c r="U3" i="6" s="1"/>
  <c r="V3" i="6" s="1"/>
  <c r="W3" i="6" s="1"/>
  <c r="X3" i="6" s="1"/>
  <c r="Y3" i="6" s="1"/>
  <c r="Z3" i="6" s="1"/>
  <c r="AA3" i="6" s="1"/>
  <c r="AB3" i="6" s="1"/>
  <c r="AC3" i="6" s="1"/>
  <c r="X1" i="6"/>
  <c r="Y1" i="6" s="1"/>
  <c r="Z1" i="6" s="1"/>
  <c r="AA1" i="6" s="1"/>
  <c r="AB1" i="6" s="1"/>
  <c r="AC1" i="6" s="1"/>
  <c r="Q1" i="6"/>
  <c r="R1" i="6" s="1"/>
  <c r="S1" i="6" s="1"/>
  <c r="T1" i="6" s="1"/>
  <c r="U1" i="6" s="1"/>
  <c r="V1" i="6" s="1"/>
  <c r="W1" i="6" s="1"/>
  <c r="P1" i="6"/>
  <c r="O1" i="6"/>
  <c r="AH30" i="5"/>
  <c r="AE30" i="5"/>
  <c r="N30" i="5"/>
  <c r="J30" i="5"/>
  <c r="AD30" i="5" s="1"/>
  <c r="AH29" i="5"/>
  <c r="AE29" i="5"/>
  <c r="AD29" i="5"/>
  <c r="U29" i="5"/>
  <c r="AO29" i="5" s="1"/>
  <c r="AM28" i="5"/>
  <c r="AH28" i="5"/>
  <c r="AE28" i="5"/>
  <c r="AD28" i="5"/>
  <c r="Y28" i="5"/>
  <c r="O28" i="5"/>
  <c r="J28" i="5"/>
  <c r="H28" i="5"/>
  <c r="AB28" i="5" s="1"/>
  <c r="AN27" i="5"/>
  <c r="AM27" i="5"/>
  <c r="AL27" i="5"/>
  <c r="AK27" i="5"/>
  <c r="AJ27" i="5"/>
  <c r="AH27" i="5"/>
  <c r="AF27" i="5"/>
  <c r="AE27" i="5"/>
  <c r="AD27" i="5"/>
  <c r="AC27" i="5"/>
  <c r="AB27" i="5"/>
  <c r="Z27" i="5"/>
  <c r="Y27" i="5"/>
  <c r="N27" i="5"/>
  <c r="AO26" i="5"/>
  <c r="AH26" i="5"/>
  <c r="AG26" i="5"/>
  <c r="AE26" i="5"/>
  <c r="T26" i="5"/>
  <c r="AN26" i="5" s="1"/>
  <c r="P26" i="5"/>
  <c r="AJ26" i="5" s="1"/>
  <c r="O26" i="5"/>
  <c r="D26" i="5"/>
  <c r="AH25" i="5"/>
  <c r="AE25" i="5"/>
  <c r="AD25" i="5"/>
  <c r="T25" i="5"/>
  <c r="AN25" i="5" s="1"/>
  <c r="J25" i="5"/>
  <c r="H25" i="5"/>
  <c r="AB25" i="5" s="1"/>
  <c r="AO24" i="5"/>
  <c r="AH24" i="5"/>
  <c r="AE24" i="5"/>
  <c r="AD24" i="5"/>
  <c r="N24" i="5"/>
  <c r="J24" i="5"/>
  <c r="AS23" i="5"/>
  <c r="AH23" i="5"/>
  <c r="AE23" i="5"/>
  <c r="N23" i="5"/>
  <c r="AS22" i="5"/>
  <c r="AH22" i="5"/>
  <c r="AE22" i="5"/>
  <c r="O22" i="5"/>
  <c r="AI22" i="5" s="1"/>
  <c r="D22" i="5"/>
  <c r="AH21" i="5"/>
  <c r="AE21" i="5"/>
  <c r="D21" i="5"/>
  <c r="AH20" i="5"/>
  <c r="AH16" i="5" s="1"/>
  <c r="N20" i="5"/>
  <c r="D20" i="5"/>
  <c r="AH19" i="5"/>
  <c r="AE19" i="5"/>
  <c r="Q19" i="5"/>
  <c r="AK19" i="5" s="1"/>
  <c r="D19" i="5"/>
  <c r="AN18" i="5"/>
  <c r="AH18" i="5"/>
  <c r="U18" i="5"/>
  <c r="AO18" i="5" s="1"/>
  <c r="R18" i="5"/>
  <c r="AL18" i="5" s="1"/>
  <c r="N18" i="5"/>
  <c r="D18" i="5"/>
  <c r="Z17" i="5"/>
  <c r="Y17" i="5"/>
  <c r="F17" i="5"/>
  <c r="E17" i="5"/>
  <c r="D17" i="5"/>
  <c r="AO15" i="5"/>
  <c r="U30" i="5" s="1"/>
  <c r="AO30" i="5" s="1"/>
  <c r="AN15" i="5"/>
  <c r="T30" i="5" s="1"/>
  <c r="AN30" i="5" s="1"/>
  <c r="AM15" i="5"/>
  <c r="S30" i="5" s="1"/>
  <c r="AM30" i="5" s="1"/>
  <c r="AL15" i="5"/>
  <c r="R30" i="5" s="1"/>
  <c r="AL30" i="5" s="1"/>
  <c r="AK15" i="5"/>
  <c r="Q30" i="5" s="1"/>
  <c r="AK30" i="5" s="1"/>
  <c r="AJ15" i="5"/>
  <c r="P30" i="5" s="1"/>
  <c r="AJ30" i="5" s="1"/>
  <c r="AI15" i="5"/>
  <c r="AH15" i="5"/>
  <c r="AD15" i="5"/>
  <c r="AB15" i="5"/>
  <c r="H30" i="5" s="1"/>
  <c r="AB30" i="5" s="1"/>
  <c r="V15" i="5"/>
  <c r="N15" i="5"/>
  <c r="M15" i="5"/>
  <c r="AG15" i="5" s="1"/>
  <c r="M30" i="5" s="1"/>
  <c r="L15" i="5"/>
  <c r="AF15" i="5" s="1"/>
  <c r="L30" i="5" s="1"/>
  <c r="AF30" i="5" s="1"/>
  <c r="K15" i="5"/>
  <c r="AE15" i="5" s="1"/>
  <c r="K30" i="5" s="1"/>
  <c r="J15" i="5"/>
  <c r="I15" i="5"/>
  <c r="AC15" i="5" s="1"/>
  <c r="I30" i="5" s="1"/>
  <c r="AC30" i="5" s="1"/>
  <c r="G15" i="5"/>
  <c r="AA15" i="5" s="1"/>
  <c r="G30" i="5" s="1"/>
  <c r="AA30" i="5" s="1"/>
  <c r="E15" i="5"/>
  <c r="Y15" i="5" s="1"/>
  <c r="E30" i="5" s="1"/>
  <c r="Y30" i="5" s="1"/>
  <c r="AO14" i="5"/>
  <c r="AN14" i="5"/>
  <c r="T29" i="5" s="1"/>
  <c r="AN29" i="5" s="1"/>
  <c r="AK14" i="5"/>
  <c r="Q29" i="5" s="1"/>
  <c r="AK29" i="5" s="1"/>
  <c r="AJ14" i="5"/>
  <c r="P29" i="5" s="1"/>
  <c r="AJ29" i="5" s="1"/>
  <c r="AI14" i="5"/>
  <c r="O29" i="5" s="1"/>
  <c r="AH14" i="5"/>
  <c r="N29" i="5" s="1"/>
  <c r="AD14" i="5"/>
  <c r="J29" i="5" s="1"/>
  <c r="AB14" i="5"/>
  <c r="H29" i="5" s="1"/>
  <c r="AB29" i="5" s="1"/>
  <c r="V14" i="5"/>
  <c r="AE11" i="2" s="1"/>
  <c r="AM14" i="5"/>
  <c r="S29" i="5" s="1"/>
  <c r="AM29" i="5" s="1"/>
  <c r="AL14" i="5"/>
  <c r="R29" i="5" s="1"/>
  <c r="AL29" i="5" s="1"/>
  <c r="N14" i="5"/>
  <c r="I14" i="5"/>
  <c r="AC14" i="5" s="1"/>
  <c r="I29" i="5" s="1"/>
  <c r="AC29" i="5" s="1"/>
  <c r="G14" i="5"/>
  <c r="AA14" i="5" s="1"/>
  <c r="G29" i="5" s="1"/>
  <c r="AA29" i="5" s="1"/>
  <c r="E14" i="5"/>
  <c r="Y14" i="5" s="1"/>
  <c r="E29" i="5" s="1"/>
  <c r="Y29" i="5" s="1"/>
  <c r="AO13" i="5"/>
  <c r="U28" i="5" s="1"/>
  <c r="AO28" i="5" s="1"/>
  <c r="AN13" i="5"/>
  <c r="T28" i="5" s="1"/>
  <c r="AN28" i="5" s="1"/>
  <c r="AM13" i="5"/>
  <c r="S28" i="5" s="1"/>
  <c r="AL13" i="5"/>
  <c r="R28" i="5" s="1"/>
  <c r="AL28" i="5" s="1"/>
  <c r="AK13" i="5"/>
  <c r="Q28" i="5" s="1"/>
  <c r="AK28" i="5" s="1"/>
  <c r="AJ13" i="5"/>
  <c r="P28" i="5" s="1"/>
  <c r="AJ28" i="5" s="1"/>
  <c r="AI13" i="5"/>
  <c r="AH13" i="5"/>
  <c r="N28" i="5" s="1"/>
  <c r="AB13" i="5"/>
  <c r="V13" i="5"/>
  <c r="AE13" i="2" s="1"/>
  <c r="N13" i="5"/>
  <c r="M13" i="5"/>
  <c r="AG13" i="5" s="1"/>
  <c r="M28" i="5" s="1"/>
  <c r="I13" i="5"/>
  <c r="AC13" i="5" s="1"/>
  <c r="I28" i="5" s="1"/>
  <c r="AC28" i="5" s="1"/>
  <c r="G13" i="5"/>
  <c r="AA13" i="5" s="1"/>
  <c r="G28" i="5" s="1"/>
  <c r="AA28" i="5" s="1"/>
  <c r="E13" i="5"/>
  <c r="Y13" i="5" s="1"/>
  <c r="E28" i="5" s="1"/>
  <c r="AO12" i="5"/>
  <c r="AN12" i="5"/>
  <c r="AM12" i="5"/>
  <c r="AL12" i="5"/>
  <c r="AK12" i="5"/>
  <c r="AI12" i="5"/>
  <c r="AG12" i="5"/>
  <c r="AF12" i="5"/>
  <c r="AE12" i="5"/>
  <c r="AD12" i="5"/>
  <c r="AC12" i="5"/>
  <c r="AB12" i="5"/>
  <c r="AA12" i="5"/>
  <c r="G27" i="5" s="1"/>
  <c r="AA27" i="5" s="1"/>
  <c r="V12" i="5"/>
  <c r="AP11" i="5"/>
  <c r="AO11" i="5"/>
  <c r="U26" i="5" s="1"/>
  <c r="AN11" i="5"/>
  <c r="AM11" i="5"/>
  <c r="S26" i="5" s="1"/>
  <c r="AM26" i="5" s="1"/>
  <c r="AL11" i="5"/>
  <c r="R26" i="5" s="1"/>
  <c r="AL26" i="5" s="1"/>
  <c r="AK11" i="5"/>
  <c r="Q26" i="5" s="1"/>
  <c r="AK26" i="5" s="1"/>
  <c r="AJ11" i="5"/>
  <c r="AI11" i="5"/>
  <c r="AA11" i="5"/>
  <c r="G26" i="5" s="1"/>
  <c r="AA26" i="5" s="1"/>
  <c r="V11" i="5"/>
  <c r="AE15" i="2" s="1"/>
  <c r="N11" i="5"/>
  <c r="AH11" i="5" s="1"/>
  <c r="M11" i="5"/>
  <c r="AG11" i="5" s="1"/>
  <c r="M26" i="5" s="1"/>
  <c r="L11" i="5"/>
  <c r="AF11" i="5" s="1"/>
  <c r="L26" i="5" s="1"/>
  <c r="AF26" i="5" s="1"/>
  <c r="J11" i="5"/>
  <c r="AD11" i="5" s="1"/>
  <c r="J26" i="5" s="1"/>
  <c r="AD26" i="5" s="1"/>
  <c r="I11" i="5"/>
  <c r="AC11" i="5" s="1"/>
  <c r="I26" i="5" s="1"/>
  <c r="AC26" i="5" s="1"/>
  <c r="G11" i="5"/>
  <c r="E11" i="5"/>
  <c r="Y11" i="5" s="1"/>
  <c r="E26" i="5" s="1"/>
  <c r="Y26" i="5" s="1"/>
  <c r="AO10" i="5"/>
  <c r="U25" i="5" s="1"/>
  <c r="AO25" i="5" s="1"/>
  <c r="AN10" i="5"/>
  <c r="AM10" i="5"/>
  <c r="S25" i="5" s="1"/>
  <c r="AM25" i="5" s="1"/>
  <c r="AK10" i="5"/>
  <c r="Q25" i="5" s="1"/>
  <c r="AK25" i="5" s="1"/>
  <c r="AJ10" i="5"/>
  <c r="P25" i="5" s="1"/>
  <c r="AJ25" i="5" s="1"/>
  <c r="AI10" i="5"/>
  <c r="O25" i="5" s="1"/>
  <c r="AH10" i="5"/>
  <c r="N25" i="5" s="1"/>
  <c r="V10" i="5"/>
  <c r="AL10" i="5"/>
  <c r="R25" i="5" s="1"/>
  <c r="AL25" i="5" s="1"/>
  <c r="N10" i="5"/>
  <c r="I10" i="5"/>
  <c r="AC10" i="5" s="1"/>
  <c r="I25" i="5" s="1"/>
  <c r="AC25" i="5" s="1"/>
  <c r="G10" i="5"/>
  <c r="AA10" i="5" s="1"/>
  <c r="G25" i="5" s="1"/>
  <c r="AA25" i="5" s="1"/>
  <c r="E10" i="5"/>
  <c r="Y10" i="5" s="1"/>
  <c r="E25" i="5" s="1"/>
  <c r="Y25" i="5" s="1"/>
  <c r="AO9" i="5"/>
  <c r="U24" i="5" s="1"/>
  <c r="AN9" i="5"/>
  <c r="T24" i="5" s="1"/>
  <c r="AN24" i="5" s="1"/>
  <c r="AM9" i="5"/>
  <c r="S24" i="5" s="1"/>
  <c r="AM24" i="5" s="1"/>
  <c r="AL9" i="5"/>
  <c r="R24" i="5" s="1"/>
  <c r="AL24" i="5" s="1"/>
  <c r="AK9" i="5"/>
  <c r="Q24" i="5" s="1"/>
  <c r="AK24" i="5" s="1"/>
  <c r="AJ9" i="5"/>
  <c r="P24" i="5" s="1"/>
  <c r="AJ24" i="5" s="1"/>
  <c r="AI9" i="5"/>
  <c r="AH9" i="5"/>
  <c r="AB9" i="5"/>
  <c r="H24" i="5" s="1"/>
  <c r="AB24" i="5" s="1"/>
  <c r="V9" i="5"/>
  <c r="AE10" i="2" s="1"/>
  <c r="N9" i="5"/>
  <c r="M9" i="5"/>
  <c r="AG9" i="5" s="1"/>
  <c r="M24" i="5" s="1"/>
  <c r="I9" i="5"/>
  <c r="AC9" i="5" s="1"/>
  <c r="I24" i="5" s="1"/>
  <c r="AC24" i="5" s="1"/>
  <c r="G9" i="5"/>
  <c r="AA9" i="5" s="1"/>
  <c r="G24" i="5" s="1"/>
  <c r="AA24" i="5" s="1"/>
  <c r="E9" i="5"/>
  <c r="Y9" i="5" s="1"/>
  <c r="E24" i="5" s="1"/>
  <c r="Y24" i="5" s="1"/>
  <c r="AS8" i="5"/>
  <c r="AO8" i="5"/>
  <c r="U23" i="5" s="1"/>
  <c r="AO23" i="5" s="1"/>
  <c r="AN8" i="5"/>
  <c r="T23" i="5" s="1"/>
  <c r="AN23" i="5" s="1"/>
  <c r="AM8" i="5"/>
  <c r="S23" i="5" s="1"/>
  <c r="AM23" i="5" s="1"/>
  <c r="AL8" i="5"/>
  <c r="R23" i="5" s="1"/>
  <c r="AL23" i="5" s="1"/>
  <c r="AK8" i="5"/>
  <c r="Q23" i="5" s="1"/>
  <c r="AK23" i="5" s="1"/>
  <c r="AJ8" i="5"/>
  <c r="P23" i="5" s="1"/>
  <c r="AJ23" i="5" s="1"/>
  <c r="AI8" i="5"/>
  <c r="O23" i="5" s="1"/>
  <c r="AA8" i="5"/>
  <c r="G23" i="5" s="1"/>
  <c r="AA23" i="5" s="1"/>
  <c r="V8" i="5"/>
  <c r="N8" i="5"/>
  <c r="L8" i="5"/>
  <c r="AF8" i="5" s="1"/>
  <c r="L23" i="5" s="1"/>
  <c r="AF23" i="5" s="1"/>
  <c r="J8" i="5"/>
  <c r="AD8" i="5" s="1"/>
  <c r="J23" i="5" s="1"/>
  <c r="AD23" i="5" s="1"/>
  <c r="I8" i="5"/>
  <c r="AC8" i="5" s="1"/>
  <c r="I23" i="5" s="1"/>
  <c r="AC23" i="5" s="1"/>
  <c r="H8" i="5"/>
  <c r="AB8" i="5" s="1"/>
  <c r="H23" i="5" s="1"/>
  <c r="AB23" i="5" s="1"/>
  <c r="G8" i="5"/>
  <c r="E8" i="5"/>
  <c r="Y8" i="5" s="1"/>
  <c r="E23" i="5" s="1"/>
  <c r="Y23" i="5" s="1"/>
  <c r="AO7" i="5"/>
  <c r="U22" i="5" s="1"/>
  <c r="AO22" i="5" s="1"/>
  <c r="AN7" i="5"/>
  <c r="T22" i="5" s="1"/>
  <c r="AN22" i="5" s="1"/>
  <c r="AM7" i="5"/>
  <c r="S22" i="5" s="1"/>
  <c r="AM22" i="5" s="1"/>
  <c r="AL7" i="5"/>
  <c r="R22" i="5" s="1"/>
  <c r="AL22" i="5" s="1"/>
  <c r="AK7" i="5"/>
  <c r="Q22" i="5" s="1"/>
  <c r="AK22" i="5" s="1"/>
  <c r="AJ7" i="5"/>
  <c r="P22" i="5" s="1"/>
  <c r="AJ22" i="5" s="1"/>
  <c r="AI7" i="5"/>
  <c r="AH7" i="5"/>
  <c r="N22" i="5" s="1"/>
  <c r="AB7" i="5"/>
  <c r="H22" i="5" s="1"/>
  <c r="AB22" i="5" s="1"/>
  <c r="V7" i="5"/>
  <c r="N7" i="5"/>
  <c r="L7" i="5"/>
  <c r="AF7" i="5" s="1"/>
  <c r="L22" i="5" s="1"/>
  <c r="AF22" i="5" s="1"/>
  <c r="J7" i="5"/>
  <c r="AD7" i="5" s="1"/>
  <c r="J22" i="5" s="1"/>
  <c r="AD22" i="5" s="1"/>
  <c r="I7" i="5"/>
  <c r="AC7" i="5" s="1"/>
  <c r="I22" i="5" s="1"/>
  <c r="AC22" i="5" s="1"/>
  <c r="G7" i="5"/>
  <c r="AA7" i="5" s="1"/>
  <c r="G22" i="5" s="1"/>
  <c r="AA22" i="5" s="1"/>
  <c r="E7" i="5"/>
  <c r="Y7" i="5" s="1"/>
  <c r="E22" i="5" s="1"/>
  <c r="Y22" i="5" s="1"/>
  <c r="AO6" i="5"/>
  <c r="U21" i="5" s="1"/>
  <c r="AO21" i="5" s="1"/>
  <c r="AN6" i="5"/>
  <c r="T21" i="5" s="1"/>
  <c r="AN21" i="5" s="1"/>
  <c r="AM6" i="5"/>
  <c r="S21" i="5" s="1"/>
  <c r="AM21" i="5" s="1"/>
  <c r="AL6" i="5"/>
  <c r="R21" i="5" s="1"/>
  <c r="AL21" i="5" s="1"/>
  <c r="AK6" i="5"/>
  <c r="Q21" i="5" s="1"/>
  <c r="AK21" i="5" s="1"/>
  <c r="AJ6" i="5"/>
  <c r="P21" i="5" s="1"/>
  <c r="AJ21" i="5" s="1"/>
  <c r="AI6" i="5"/>
  <c r="AH6" i="5"/>
  <c r="N21" i="5" s="1"/>
  <c r="AB6" i="5"/>
  <c r="H21" i="5" s="1"/>
  <c r="AB21" i="5" s="1"/>
  <c r="V6" i="5"/>
  <c r="N6" i="5"/>
  <c r="M6" i="5"/>
  <c r="AG6" i="5" s="1"/>
  <c r="M21" i="5" s="1"/>
  <c r="L6" i="5"/>
  <c r="AF6" i="5" s="1"/>
  <c r="L21" i="5" s="1"/>
  <c r="AF21" i="5" s="1"/>
  <c r="J6" i="5"/>
  <c r="AD6" i="5" s="1"/>
  <c r="J21" i="5" s="1"/>
  <c r="AD21" i="5" s="1"/>
  <c r="I6" i="5"/>
  <c r="AC6" i="5" s="1"/>
  <c r="I21" i="5" s="1"/>
  <c r="AC21" i="5" s="1"/>
  <c r="G6" i="5"/>
  <c r="AA6" i="5" s="1"/>
  <c r="G21" i="5" s="1"/>
  <c r="AA21" i="5" s="1"/>
  <c r="E6" i="5"/>
  <c r="Y6" i="5" s="1"/>
  <c r="E21" i="5" s="1"/>
  <c r="Y21" i="5" s="1"/>
  <c r="AO5" i="5"/>
  <c r="U20" i="5" s="1"/>
  <c r="AO20" i="5" s="1"/>
  <c r="AN5" i="5"/>
  <c r="T20" i="5" s="1"/>
  <c r="AN20" i="5" s="1"/>
  <c r="AL5" i="5"/>
  <c r="AK5" i="5"/>
  <c r="Q20" i="5" s="1"/>
  <c r="AK20" i="5" s="1"/>
  <c r="AJ5" i="5"/>
  <c r="P20" i="5" s="1"/>
  <c r="AJ20" i="5" s="1"/>
  <c r="AI5" i="5"/>
  <c r="O20" i="5" s="1"/>
  <c r="AI20" i="5" s="1"/>
  <c r="AH5" i="5"/>
  <c r="AD5" i="5"/>
  <c r="J20" i="5" s="1"/>
  <c r="AD20" i="5" s="1"/>
  <c r="AB5" i="5"/>
  <c r="H20" i="5" s="1"/>
  <c r="AB20" i="5" s="1"/>
  <c r="V5" i="5"/>
  <c r="AE7" i="2" s="1"/>
  <c r="AM5" i="5"/>
  <c r="S20" i="5" s="1"/>
  <c r="AM20" i="5" s="1"/>
  <c r="N5" i="5"/>
  <c r="M5" i="5"/>
  <c r="AG5" i="5" s="1"/>
  <c r="M20" i="5" s="1"/>
  <c r="L5" i="5"/>
  <c r="AF5" i="5" s="1"/>
  <c r="L20" i="5" s="1"/>
  <c r="AF20" i="5" s="1"/>
  <c r="I5" i="5"/>
  <c r="AC5" i="5" s="1"/>
  <c r="I20" i="5" s="1"/>
  <c r="AC20" i="5" s="1"/>
  <c r="H5" i="5"/>
  <c r="G5" i="5"/>
  <c r="AA5" i="5" s="1"/>
  <c r="G20" i="5" s="1"/>
  <c r="AA20" i="5" s="1"/>
  <c r="E5" i="5"/>
  <c r="Y5" i="5" s="1"/>
  <c r="E20" i="5" s="1"/>
  <c r="Y20" i="5" s="1"/>
  <c r="AO4" i="5"/>
  <c r="U19" i="5" s="1"/>
  <c r="AO19" i="5" s="1"/>
  <c r="AN4" i="5"/>
  <c r="T19" i="5" s="1"/>
  <c r="AN19" i="5" s="1"/>
  <c r="AM4" i="5"/>
  <c r="S19" i="5" s="1"/>
  <c r="AM19" i="5" s="1"/>
  <c r="AL4" i="5"/>
  <c r="R19" i="5" s="1"/>
  <c r="AL19" i="5" s="1"/>
  <c r="AK4" i="5"/>
  <c r="AI4" i="5"/>
  <c r="O19" i="5" s="1"/>
  <c r="AI19" i="5" s="1"/>
  <c r="AH4" i="5"/>
  <c r="N19" i="5" s="1"/>
  <c r="AD4" i="5"/>
  <c r="J19" i="5" s="1"/>
  <c r="AD19" i="5" s="1"/>
  <c r="AB4" i="5"/>
  <c r="H19" i="5" s="1"/>
  <c r="AB19" i="5" s="1"/>
  <c r="P4" i="5"/>
  <c r="AJ4" i="5" s="1"/>
  <c r="P19" i="5" s="1"/>
  <c r="N4" i="5"/>
  <c r="L4" i="5"/>
  <c r="AF4" i="5" s="1"/>
  <c r="L19" i="5" s="1"/>
  <c r="AF19" i="5" s="1"/>
  <c r="I4" i="5"/>
  <c r="AC4" i="5" s="1"/>
  <c r="I19" i="5" s="1"/>
  <c r="AC19" i="5" s="1"/>
  <c r="G4" i="5"/>
  <c r="AA4" i="5" s="1"/>
  <c r="G19" i="5" s="1"/>
  <c r="AA19" i="5" s="1"/>
  <c r="E4" i="5"/>
  <c r="Y4" i="5" s="1"/>
  <c r="E19" i="5" s="1"/>
  <c r="Y19" i="5" s="1"/>
  <c r="AO3" i="5"/>
  <c r="AN3" i="5"/>
  <c r="T18" i="5" s="1"/>
  <c r="AM3" i="5"/>
  <c r="S18" i="5" s="1"/>
  <c r="AM18" i="5" s="1"/>
  <c r="AL3" i="5"/>
  <c r="AK3" i="5"/>
  <c r="Q18" i="5" s="1"/>
  <c r="AK18" i="5" s="1"/>
  <c r="AJ3" i="5"/>
  <c r="P18" i="5" s="1"/>
  <c r="AJ18" i="5" s="1"/>
  <c r="AI3" i="5"/>
  <c r="O18" i="5" s="1"/>
  <c r="AI18" i="5" s="1"/>
  <c r="AH3" i="5"/>
  <c r="AB3" i="5"/>
  <c r="H18" i="5" s="1"/>
  <c r="AB18" i="5" s="1"/>
  <c r="V3" i="5"/>
  <c r="AE4" i="2" s="1"/>
  <c r="N3" i="5"/>
  <c r="M3" i="5"/>
  <c r="AG3" i="5" s="1"/>
  <c r="M18" i="5" s="1"/>
  <c r="L3" i="5"/>
  <c r="AF3" i="5" s="1"/>
  <c r="L18" i="5" s="1"/>
  <c r="AF18" i="5" s="1"/>
  <c r="K3" i="5"/>
  <c r="AE3" i="5" s="1"/>
  <c r="K18" i="5" s="1"/>
  <c r="AE18" i="5" s="1"/>
  <c r="J3" i="5"/>
  <c r="AD3" i="5" s="1"/>
  <c r="J18" i="5" s="1"/>
  <c r="AD18" i="5" s="1"/>
  <c r="I3" i="5"/>
  <c r="AC3" i="5" s="1"/>
  <c r="I18" i="5" s="1"/>
  <c r="AC18" i="5" s="1"/>
  <c r="G3" i="5"/>
  <c r="AA3" i="5" s="1"/>
  <c r="G18" i="5" s="1"/>
  <c r="AA18" i="5" s="1"/>
  <c r="E3" i="5"/>
  <c r="Y3" i="5" s="1"/>
  <c r="E18" i="5" s="1"/>
  <c r="Y18" i="5" s="1"/>
  <c r="U19" i="4"/>
  <c r="U18" i="4"/>
  <c r="U17" i="4"/>
  <c r="U16" i="4"/>
  <c r="U15" i="4"/>
  <c r="U14" i="4"/>
  <c r="U13" i="4"/>
  <c r="U12" i="4"/>
  <c r="U9" i="4"/>
  <c r="U8" i="4"/>
  <c r="U7" i="4"/>
  <c r="U6" i="4"/>
  <c r="U5" i="4"/>
  <c r="U4" i="4"/>
  <c r="U3" i="4"/>
  <c r="U2" i="4"/>
  <c r="AM115" i="3"/>
  <c r="AM114" i="3"/>
  <c r="AM113" i="3"/>
  <c r="AM112" i="3"/>
  <c r="AM111" i="3"/>
  <c r="AM110" i="3"/>
  <c r="AM109" i="3"/>
  <c r="AM108" i="3"/>
  <c r="AM107" i="3"/>
  <c r="AM106" i="3"/>
  <c r="AM105" i="3"/>
  <c r="AM104" i="3"/>
  <c r="AM103" i="3"/>
  <c r="AM102" i="3"/>
  <c r="AM101" i="3"/>
  <c r="AM100" i="3"/>
  <c r="AM99" i="3"/>
  <c r="AM98" i="3"/>
  <c r="A32" i="3"/>
  <c r="A36" i="3" s="1"/>
  <c r="A33" i="3" s="1"/>
  <c r="Y28" i="3"/>
  <c r="X28" i="3"/>
  <c r="F28" i="3"/>
  <c r="E28" i="3" s="1"/>
  <c r="Y27" i="3"/>
  <c r="X27" i="3"/>
  <c r="F27" i="3"/>
  <c r="E27" i="3" s="1"/>
  <c r="Y26" i="3"/>
  <c r="X26" i="3"/>
  <c r="Y25" i="3"/>
  <c r="X25" i="3"/>
  <c r="F25" i="3"/>
  <c r="E25" i="3" s="1"/>
  <c r="Y24" i="3"/>
  <c r="X24" i="3"/>
  <c r="F24" i="3"/>
  <c r="E24" i="3" s="1"/>
  <c r="Y23" i="3"/>
  <c r="X23" i="3"/>
  <c r="E23" i="3"/>
  <c r="Y22" i="3"/>
  <c r="X22" i="3"/>
  <c r="E22" i="3"/>
  <c r="Y21" i="3"/>
  <c r="X21" i="3"/>
  <c r="E21" i="3"/>
  <c r="Y20" i="3"/>
  <c r="X20" i="3"/>
  <c r="E20" i="3"/>
  <c r="Y17" i="3"/>
  <c r="X17" i="3"/>
  <c r="E17" i="3"/>
  <c r="Y16" i="3"/>
  <c r="X16" i="3"/>
  <c r="E16" i="3"/>
  <c r="Y15" i="3"/>
  <c r="X15" i="3"/>
  <c r="E15" i="3"/>
  <c r="Y14" i="3"/>
  <c r="X14" i="3"/>
  <c r="E14" i="3"/>
  <c r="Y13" i="3"/>
  <c r="X13" i="3"/>
  <c r="E13" i="3"/>
  <c r="Y12" i="3"/>
  <c r="X12" i="3"/>
  <c r="E12" i="3"/>
  <c r="AE11" i="3"/>
  <c r="AE19" i="3" s="1"/>
  <c r="AD11" i="3"/>
  <c r="AD19" i="3" s="1"/>
  <c r="AC11" i="3"/>
  <c r="AC19" i="3" s="1"/>
  <c r="AB11" i="3"/>
  <c r="AB19" i="3" s="1"/>
  <c r="V11" i="3"/>
  <c r="V19" i="3" s="1"/>
  <c r="U11" i="3"/>
  <c r="U19" i="3" s="1"/>
  <c r="T11" i="3"/>
  <c r="T19" i="3" s="1"/>
  <c r="S11" i="3"/>
  <c r="S19" i="3" s="1"/>
  <c r="N11" i="3"/>
  <c r="N19" i="3" s="1"/>
  <c r="M11" i="3"/>
  <c r="M19" i="3" s="1"/>
  <c r="L11" i="3"/>
  <c r="L19" i="3" s="1"/>
  <c r="K11" i="3"/>
  <c r="K19" i="3" s="1"/>
  <c r="Y8" i="3"/>
  <c r="X8" i="3"/>
  <c r="E8" i="3"/>
  <c r="Y7" i="3"/>
  <c r="X7" i="3"/>
  <c r="E7" i="3"/>
  <c r="AI6" i="3"/>
  <c r="AI11" i="3" s="1"/>
  <c r="AI19" i="3" s="1"/>
  <c r="AH6" i="3"/>
  <c r="AH11" i="3" s="1"/>
  <c r="AH19" i="3" s="1"/>
  <c r="AG6" i="3"/>
  <c r="AG11" i="3" s="1"/>
  <c r="AG19" i="3" s="1"/>
  <c r="AF6" i="3"/>
  <c r="AF11" i="3" s="1"/>
  <c r="AF19" i="3" s="1"/>
  <c r="AE6" i="3"/>
  <c r="AD6" i="3"/>
  <c r="AC6" i="3"/>
  <c r="AB6" i="3"/>
  <c r="Z6" i="3"/>
  <c r="Z11" i="3" s="1"/>
  <c r="Z19" i="3" s="1"/>
  <c r="Y6" i="3"/>
  <c r="Y11" i="3" s="1"/>
  <c r="Y19" i="3" s="1"/>
  <c r="X6" i="3"/>
  <c r="X11" i="3" s="1"/>
  <c r="X19" i="3" s="1"/>
  <c r="W6" i="3"/>
  <c r="W11" i="3" s="1"/>
  <c r="W19" i="3" s="1"/>
  <c r="V6" i="3"/>
  <c r="U6" i="3"/>
  <c r="T6" i="3"/>
  <c r="S6" i="3"/>
  <c r="R6" i="3"/>
  <c r="R11" i="3" s="1"/>
  <c r="R19" i="3" s="1"/>
  <c r="Q6" i="3"/>
  <c r="Q11" i="3" s="1"/>
  <c r="Q19" i="3" s="1"/>
  <c r="P6" i="3"/>
  <c r="P11" i="3" s="1"/>
  <c r="P19" i="3" s="1"/>
  <c r="O6" i="3"/>
  <c r="O11" i="3" s="1"/>
  <c r="O19" i="3" s="1"/>
  <c r="N6" i="3"/>
  <c r="M6" i="3"/>
  <c r="L6" i="3"/>
  <c r="K6" i="3"/>
  <c r="I6" i="3"/>
  <c r="I11" i="3" s="1"/>
  <c r="I19" i="3" s="1"/>
  <c r="H6" i="3"/>
  <c r="H11" i="3" s="1"/>
  <c r="H19" i="3" s="1"/>
  <c r="G6" i="3"/>
  <c r="G11" i="3" s="1"/>
  <c r="G19" i="3" s="1"/>
  <c r="F6" i="3"/>
  <c r="F11" i="3" s="1"/>
  <c r="F19" i="3" s="1"/>
  <c r="Y3" i="3"/>
  <c r="X3" i="3"/>
  <c r="E3" i="3"/>
  <c r="AR20" i="2"/>
  <c r="W20" i="2"/>
  <c r="U20" i="2"/>
  <c r="S20" i="2"/>
  <c r="R20" i="2"/>
  <c r="P20" i="2"/>
  <c r="N20" i="2"/>
  <c r="I19" i="13" s="1"/>
  <c r="L20" i="2"/>
  <c r="K20" i="2"/>
  <c r="J20" i="2"/>
  <c r="AR19" i="2"/>
  <c r="W19" i="2"/>
  <c r="S19" i="2"/>
  <c r="R19" i="2"/>
  <c r="P19" i="2"/>
  <c r="N19" i="2"/>
  <c r="I18" i="13" s="1"/>
  <c r="L19" i="2"/>
  <c r="K19" i="2"/>
  <c r="J19" i="2"/>
  <c r="AR18" i="2"/>
  <c r="W18" i="2"/>
  <c r="U18" i="2"/>
  <c r="S18" i="2"/>
  <c r="R18" i="2"/>
  <c r="P18" i="2"/>
  <c r="N18" i="2"/>
  <c r="I17" i="13" s="1"/>
  <c r="L18" i="2"/>
  <c r="K18" i="2"/>
  <c r="J18" i="2"/>
  <c r="AR16" i="2"/>
  <c r="W16" i="2"/>
  <c r="U16" i="2"/>
  <c r="S16" i="2"/>
  <c r="R16" i="2"/>
  <c r="P16" i="2"/>
  <c r="N16" i="2"/>
  <c r="I16" i="13" s="1"/>
  <c r="L16" i="2"/>
  <c r="K16" i="2"/>
  <c r="J16" i="2"/>
  <c r="AR15" i="2"/>
  <c r="K11" i="5"/>
  <c r="AE11" i="5" s="1"/>
  <c r="K26" i="5" s="1"/>
  <c r="H11" i="5"/>
  <c r="AB11" i="5" s="1"/>
  <c r="H26" i="5" s="1"/>
  <c r="AB26" i="5" s="1"/>
  <c r="W15" i="2"/>
  <c r="U15" i="2"/>
  <c r="S15" i="2"/>
  <c r="R15" i="2"/>
  <c r="P15" i="2"/>
  <c r="N15" i="2"/>
  <c r="I15" i="13" s="1"/>
  <c r="L15" i="2"/>
  <c r="K15" i="2"/>
  <c r="J15" i="2"/>
  <c r="AR14" i="2"/>
  <c r="AE14" i="2"/>
  <c r="W14" i="2"/>
  <c r="U14" i="2"/>
  <c r="S14" i="2"/>
  <c r="R14" i="2"/>
  <c r="P14" i="2"/>
  <c r="N14" i="2"/>
  <c r="I14" i="13" s="1"/>
  <c r="L14" i="2"/>
  <c r="K14" i="2"/>
  <c r="J14" i="2"/>
  <c r="AR13" i="2"/>
  <c r="AN13" i="2"/>
  <c r="AM13" i="2"/>
  <c r="AL13" i="2"/>
  <c r="AK13" i="2"/>
  <c r="AJ13" i="2"/>
  <c r="O13" i="13"/>
  <c r="J13" i="5"/>
  <c r="W13" i="2"/>
  <c r="U13" i="2"/>
  <c r="S13" i="2"/>
  <c r="R13" i="2"/>
  <c r="P13" i="2"/>
  <c r="L13" i="2"/>
  <c r="K13" i="2"/>
  <c r="J13" i="2"/>
  <c r="AH13" i="2" s="1"/>
  <c r="AR12" i="2"/>
  <c r="AE12" i="2"/>
  <c r="Q12" i="13"/>
  <c r="T12" i="13" s="1"/>
  <c r="AC12" i="2"/>
  <c r="P12" i="13" s="1"/>
  <c r="K10" i="5"/>
  <c r="AE10" i="5" s="1"/>
  <c r="K25" i="5" s="1"/>
  <c r="J10" i="5"/>
  <c r="W12" i="2"/>
  <c r="U12" i="2"/>
  <c r="S12" i="2"/>
  <c r="R12" i="2"/>
  <c r="P12" i="2"/>
  <c r="N12" i="2"/>
  <c r="I12" i="13" s="1"/>
  <c r="L12" i="2"/>
  <c r="K12" i="2"/>
  <c r="J12" i="2"/>
  <c r="AR11" i="2"/>
  <c r="Q11" i="13"/>
  <c r="T11" i="13" s="1"/>
  <c r="AC11" i="2"/>
  <c r="P11" i="13" s="1"/>
  <c r="S11" i="13" s="1"/>
  <c r="J14" i="5"/>
  <c r="W11" i="2"/>
  <c r="U11" i="2"/>
  <c r="S11" i="2"/>
  <c r="R11" i="2"/>
  <c r="P11" i="2"/>
  <c r="N11" i="2"/>
  <c r="I11" i="13" s="1"/>
  <c r="L11" i="2"/>
  <c r="K11" i="2"/>
  <c r="J11" i="2"/>
  <c r="AR10" i="2"/>
  <c r="AC10" i="2"/>
  <c r="P10" i="13" s="1"/>
  <c r="S10" i="13" s="1"/>
  <c r="K9" i="5"/>
  <c r="AE9" i="5" s="1"/>
  <c r="K24" i="5" s="1"/>
  <c r="H9" i="5"/>
  <c r="W10" i="2"/>
  <c r="U10" i="2"/>
  <c r="S10" i="2"/>
  <c r="R10" i="2"/>
  <c r="P10" i="2"/>
  <c r="N10" i="2"/>
  <c r="I10" i="13" s="1"/>
  <c r="L10" i="2"/>
  <c r="K10" i="2"/>
  <c r="J10" i="2"/>
  <c r="AR9" i="2"/>
  <c r="AE9" i="2"/>
  <c r="Q9" i="13"/>
  <c r="K8" i="5"/>
  <c r="AE8" i="5" s="1"/>
  <c r="K23" i="5" s="1"/>
  <c r="W9" i="2"/>
  <c r="U9" i="2"/>
  <c r="S9" i="2"/>
  <c r="R9" i="2"/>
  <c r="P9" i="2"/>
  <c r="N9" i="2"/>
  <c r="I9" i="13" s="1"/>
  <c r="L9" i="2"/>
  <c r="K9" i="2"/>
  <c r="J9" i="2"/>
  <c r="AR8" i="2"/>
  <c r="AE8" i="2"/>
  <c r="Q8" i="13"/>
  <c r="S8" i="13" s="1"/>
  <c r="K7" i="5"/>
  <c r="AE7" i="5" s="1"/>
  <c r="K22" i="5" s="1"/>
  <c r="L8" i="13"/>
  <c r="W8" i="2"/>
  <c r="U8" i="2"/>
  <c r="S8" i="2"/>
  <c r="R8" i="2"/>
  <c r="P8" i="2"/>
  <c r="N8" i="2"/>
  <c r="I8" i="13" s="1"/>
  <c r="L8" i="2"/>
  <c r="K8" i="2"/>
  <c r="J8" i="2"/>
  <c r="AR7" i="2"/>
  <c r="J5" i="5"/>
  <c r="W7" i="2"/>
  <c r="U7" i="2"/>
  <c r="S7" i="2"/>
  <c r="R7" i="2"/>
  <c r="P7" i="2"/>
  <c r="N7" i="2"/>
  <c r="I7" i="13" s="1"/>
  <c r="L7" i="2"/>
  <c r="K7" i="2"/>
  <c r="J7" i="2"/>
  <c r="AR6" i="2"/>
  <c r="AE6" i="2"/>
  <c r="H6" i="5"/>
  <c r="W6" i="2"/>
  <c r="U6" i="2"/>
  <c r="S6" i="2"/>
  <c r="R6" i="2"/>
  <c r="P6" i="2"/>
  <c r="N6" i="2"/>
  <c r="I6" i="13" s="1"/>
  <c r="L6" i="2"/>
  <c r="K6" i="2"/>
  <c r="J6" i="2"/>
  <c r="AR17" i="2"/>
  <c r="K4" i="5"/>
  <c r="AE4" i="5" s="1"/>
  <c r="K19" i="5" s="1"/>
  <c r="J4" i="5"/>
  <c r="W17" i="2"/>
  <c r="U17" i="2"/>
  <c r="S17" i="2"/>
  <c r="R17" i="2"/>
  <c r="P17" i="2"/>
  <c r="N17" i="2"/>
  <c r="I5" i="13" s="1"/>
  <c r="L17" i="2"/>
  <c r="K17" i="2"/>
  <c r="J17" i="2"/>
  <c r="AR5" i="2"/>
  <c r="AE5" i="2"/>
  <c r="L4" i="13"/>
  <c r="W5" i="2"/>
  <c r="U5" i="2"/>
  <c r="S5" i="2"/>
  <c r="R5" i="2"/>
  <c r="P5" i="2"/>
  <c r="N5" i="2"/>
  <c r="I4" i="13" s="1"/>
  <c r="L5" i="2"/>
  <c r="K5" i="2"/>
  <c r="J5" i="2"/>
  <c r="AR4" i="2"/>
  <c r="W4" i="2"/>
  <c r="U4" i="2"/>
  <c r="S4" i="2"/>
  <c r="R4" i="2"/>
  <c r="P4" i="2"/>
  <c r="N4" i="2"/>
  <c r="AL4" i="2" s="1"/>
  <c r="L4" i="2"/>
  <c r="K4" i="2"/>
  <c r="J4" i="2"/>
  <c r="V2" i="2"/>
  <c r="T2" i="2"/>
  <c r="Q2" i="2"/>
  <c r="O2" i="2"/>
  <c r="I2" i="2"/>
  <c r="D2" i="2"/>
  <c r="F4" i="2" l="1"/>
  <c r="F5" i="2"/>
  <c r="C4" i="13" s="1"/>
  <c r="F18" i="2"/>
  <c r="C17" i="13" s="1"/>
  <c r="F19" i="2"/>
  <c r="C18" i="13" s="1"/>
  <c r="F20" i="2"/>
  <c r="C19" i="13" s="1"/>
  <c r="F17" i="2"/>
  <c r="F16" i="2"/>
  <c r="C16" i="13" s="1"/>
  <c r="T4" i="13"/>
  <c r="R4" i="13"/>
  <c r="AO4" i="13" s="1"/>
  <c r="T8" i="13"/>
  <c r="R8" i="13"/>
  <c r="BH13" i="13"/>
  <c r="BQ13" i="13"/>
  <c r="BW13" i="13"/>
  <c r="BL13" i="13"/>
  <c r="BM13" i="13"/>
  <c r="BA13" i="13"/>
  <c r="BC13" i="13" s="1"/>
  <c r="AU13" i="13"/>
  <c r="AT13" i="13"/>
  <c r="AV13" i="13" s="1"/>
  <c r="BR13" i="13"/>
  <c r="CC13" i="13"/>
  <c r="BV13" i="13"/>
  <c r="BZ13" i="13"/>
  <c r="BG13" i="13"/>
  <c r="R13" i="13"/>
  <c r="AO13" i="13" s="1"/>
  <c r="BY13" i="13"/>
  <c r="CA13" i="13" s="1"/>
  <c r="CB13" i="13"/>
  <c r="CD13" i="13" s="1"/>
  <c r="BB13" i="13"/>
  <c r="AD2" i="2"/>
  <c r="Q5" i="13"/>
  <c r="V5" i="13" s="1"/>
  <c r="S9" i="13"/>
  <c r="T9" i="13"/>
  <c r="S12" i="13"/>
  <c r="F14" i="2"/>
  <c r="C14" i="13" s="1"/>
  <c r="F15" i="2"/>
  <c r="C15" i="13" s="1"/>
  <c r="F6" i="2"/>
  <c r="C6" i="13" s="1"/>
  <c r="F13" i="2"/>
  <c r="C13" i="13" s="1"/>
  <c r="F7" i="2"/>
  <c r="C7" i="13" s="1"/>
  <c r="F9" i="2"/>
  <c r="C9" i="13" s="1"/>
  <c r="F10" i="2"/>
  <c r="C10" i="13" s="1"/>
  <c r="F8" i="2"/>
  <c r="C8" i="13" s="1"/>
  <c r="F11" i="2"/>
  <c r="C11" i="13" s="1"/>
  <c r="F12" i="2"/>
  <c r="C12" i="13" s="1"/>
  <c r="AG19" i="15"/>
  <c r="AJ19" i="15" s="1"/>
  <c r="AH19" i="15"/>
  <c r="AK19" i="15" s="1"/>
  <c r="Q26" i="18"/>
  <c r="I33" i="18" s="1"/>
  <c r="L16" i="18" s="1"/>
  <c r="AG26" i="18"/>
  <c r="J8" i="10"/>
  <c r="C10" i="10"/>
  <c r="B30" i="10"/>
  <c r="C30" i="10" s="1"/>
  <c r="K8" i="10"/>
  <c r="B12" i="10"/>
  <c r="D16" i="10"/>
  <c r="C21" i="10"/>
  <c r="C25" i="10" s="1"/>
  <c r="AP6" i="5"/>
  <c r="G3" i="13"/>
  <c r="AI13" i="2"/>
  <c r="B12" i="8"/>
  <c r="C12" i="8"/>
  <c r="AP7" i="5"/>
  <c r="AP5" i="5"/>
  <c r="R20" i="5"/>
  <c r="AL20" i="5" s="1"/>
  <c r="AP20" i="5" s="1"/>
  <c r="AP10" i="5"/>
  <c r="AF5" i="15"/>
  <c r="AI5" i="15" s="1"/>
  <c r="AF22" i="15"/>
  <c r="AI22" i="15" s="1"/>
  <c r="AG5" i="15"/>
  <c r="AJ5" i="15" s="1"/>
  <c r="AG22" i="15"/>
  <c r="AJ22" i="15" s="1"/>
  <c r="AC10" i="13"/>
  <c r="AS10" i="13"/>
  <c r="AZ10" i="13"/>
  <c r="CB10" i="13"/>
  <c r="CD10" i="13" s="1"/>
  <c r="BB10" i="13"/>
  <c r="BK10" i="13"/>
  <c r="CC10" i="13"/>
  <c r="AJ10" i="13"/>
  <c r="BU10" i="13"/>
  <c r="BF10" i="13"/>
  <c r="BX10" i="13"/>
  <c r="BP10" i="13"/>
  <c r="AG10" i="13"/>
  <c r="BR10" i="13"/>
  <c r="BM10" i="13"/>
  <c r="AU10" i="13"/>
  <c r="CE10" i="13"/>
  <c r="AM10" i="13"/>
  <c r="W10" i="13"/>
  <c r="Y10" i="13" s="1"/>
  <c r="X10" i="13"/>
  <c r="BH10" i="13"/>
  <c r="BW10" i="13"/>
  <c r="Z10" i="13"/>
  <c r="AB10" i="13" s="1"/>
  <c r="BN10" i="13"/>
  <c r="AK10" i="13"/>
  <c r="BZ10" i="13"/>
  <c r="AT10" i="13"/>
  <c r="AV10" i="13" s="1"/>
  <c r="AI10" i="13"/>
  <c r="AX10" i="13"/>
  <c r="BQ10" i="13"/>
  <c r="BA10" i="13"/>
  <c r="BC10" i="13" s="1"/>
  <c r="BS10" i="13"/>
  <c r="BT10" i="13"/>
  <c r="AL10" i="13"/>
  <c r="BL10" i="13"/>
  <c r="BG10" i="13"/>
  <c r="BI10" i="13"/>
  <c r="AA10" i="13"/>
  <c r="BD10" i="13"/>
  <c r="BV10" i="13"/>
  <c r="BE10" i="13"/>
  <c r="V10" i="13"/>
  <c r="AH10" i="13"/>
  <c r="AE10" i="13"/>
  <c r="BO10" i="13"/>
  <c r="AD10" i="13"/>
  <c r="AF10" i="13" s="1"/>
  <c r="AP10" i="13"/>
  <c r="AR10" i="13" s="1"/>
  <c r="AQ10" i="13"/>
  <c r="AW10" i="13"/>
  <c r="AY10" i="13" s="1"/>
  <c r="BY10" i="13"/>
  <c r="CA10" i="13" s="1"/>
  <c r="AN10" i="13"/>
  <c r="U10" i="13"/>
  <c r="BJ10" i="13"/>
  <c r="AO10" i="13"/>
  <c r="AJ18" i="13"/>
  <c r="AZ18" i="13"/>
  <c r="BP18" i="13"/>
  <c r="BX18" i="13"/>
  <c r="AC18" i="13"/>
  <c r="AS18" i="13"/>
  <c r="AP18" i="13"/>
  <c r="AR18" i="13" s="1"/>
  <c r="BL18" i="13"/>
  <c r="BV18" i="13"/>
  <c r="CC18" i="13"/>
  <c r="AD18" i="13"/>
  <c r="AF18" i="13" s="1"/>
  <c r="CE18" i="13"/>
  <c r="AG18" i="13"/>
  <c r="AQ18" i="13"/>
  <c r="BD18" i="13"/>
  <c r="BZ18" i="13"/>
  <c r="AW18" i="13"/>
  <c r="AY18" i="13" s="1"/>
  <c r="BJ18" i="13"/>
  <c r="AH18" i="13"/>
  <c r="BN18" i="13"/>
  <c r="BG18" i="13"/>
  <c r="AN18" i="13"/>
  <c r="BK18" i="13"/>
  <c r="AI18" i="13"/>
  <c r="AU18" i="13"/>
  <c r="BE18" i="13"/>
  <c r="BO18" i="13"/>
  <c r="AM18" i="13"/>
  <c r="AO18" i="13"/>
  <c r="Z18" i="13"/>
  <c r="AB18" i="13" s="1"/>
  <c r="AL18" i="13"/>
  <c r="BF18" i="13"/>
  <c r="BR18" i="13"/>
  <c r="CB18" i="13"/>
  <c r="CD18" i="13" s="1"/>
  <c r="AX18" i="13"/>
  <c r="AE18" i="13"/>
  <c r="AA18" i="13"/>
  <c r="BS18" i="13"/>
  <c r="BT18" i="13"/>
  <c r="BU18" i="13"/>
  <c r="BB18" i="13"/>
  <c r="BH18" i="13"/>
  <c r="AK18" i="13"/>
  <c r="BM18" i="13"/>
  <c r="BW18" i="13"/>
  <c r="BA18" i="13"/>
  <c r="BC18" i="13" s="1"/>
  <c r="BQ18" i="13"/>
  <c r="V18" i="13"/>
  <c r="AT18" i="13"/>
  <c r="AV18" i="13" s="1"/>
  <c r="U18" i="13"/>
  <c r="X18" i="13"/>
  <c r="BI18" i="13"/>
  <c r="BY18" i="13"/>
  <c r="CA18" i="13" s="1"/>
  <c r="W18" i="13"/>
  <c r="Y18" i="13" s="1"/>
  <c r="AX14" i="13"/>
  <c r="BI14" i="13"/>
  <c r="BT14" i="13"/>
  <c r="AE14" i="13"/>
  <c r="AP14" i="13"/>
  <c r="AR14" i="13" s="1"/>
  <c r="BL14" i="13"/>
  <c r="BV14" i="13"/>
  <c r="W14" i="13"/>
  <c r="Y14" i="13" s="1"/>
  <c r="AK14" i="13"/>
  <c r="BD14" i="13"/>
  <c r="BS14" i="13"/>
  <c r="X14" i="13"/>
  <c r="AM14" i="13"/>
  <c r="BE14" i="13"/>
  <c r="AH14" i="13"/>
  <c r="AQ14" i="13"/>
  <c r="BY14" i="13"/>
  <c r="CA14" i="13" s="1"/>
  <c r="Z14" i="13"/>
  <c r="AB14" i="13" s="1"/>
  <c r="AS14" i="13"/>
  <c r="BG14" i="13"/>
  <c r="AW14" i="13"/>
  <c r="AY14" i="13" s="1"/>
  <c r="AI14" i="13"/>
  <c r="AA14" i="13"/>
  <c r="BQ14" i="13"/>
  <c r="AG14" i="13"/>
  <c r="BN14" i="13"/>
  <c r="BO14" i="13"/>
  <c r="AU14" i="13"/>
  <c r="CE14" i="13"/>
  <c r="BW14" i="13"/>
  <c r="BM14" i="13"/>
  <c r="BU14" i="13"/>
  <c r="BA14" i="13"/>
  <c r="BC14" i="13" s="1"/>
  <c r="AJ14" i="13"/>
  <c r="BJ14" i="13"/>
  <c r="AL14" i="13"/>
  <c r="CB14" i="13"/>
  <c r="CD14" i="13" s="1"/>
  <c r="AZ14" i="13"/>
  <c r="V14" i="13"/>
  <c r="CC14" i="13"/>
  <c r="BP14" i="13"/>
  <c r="AN14" i="13"/>
  <c r="BR14" i="13"/>
  <c r="BB14" i="13"/>
  <c r="BH14" i="13"/>
  <c r="BX14" i="13"/>
  <c r="BF14" i="13"/>
  <c r="U14" i="13"/>
  <c r="AD14" i="13"/>
  <c r="AF14" i="13" s="1"/>
  <c r="AT14" i="13"/>
  <c r="AV14" i="13" s="1"/>
  <c r="AC14" i="13"/>
  <c r="BK14" i="13"/>
  <c r="BZ14" i="13"/>
  <c r="AO14" i="13"/>
  <c r="BW6" i="13"/>
  <c r="BM6" i="13"/>
  <c r="BH6" i="13"/>
  <c r="BY6" i="13"/>
  <c r="CA6" i="13" s="1"/>
  <c r="AT6" i="13"/>
  <c r="AV6" i="13" s="1"/>
  <c r="BZ6" i="13"/>
  <c r="U6" i="13"/>
  <c r="AK6" i="13"/>
  <c r="BA6" i="13"/>
  <c r="BC6" i="13" s="1"/>
  <c r="BQ6" i="13"/>
  <c r="BR6" i="13"/>
  <c r="AN6" i="13"/>
  <c r="CB6" i="13"/>
  <c r="CD6" i="13" s="1"/>
  <c r="V6" i="13"/>
  <c r="X6" i="13"/>
  <c r="BB6" i="13"/>
  <c r="BD6" i="13"/>
  <c r="BL6" i="13"/>
  <c r="BU6" i="13"/>
  <c r="AA6" i="13"/>
  <c r="BE6" i="13"/>
  <c r="AD6" i="13"/>
  <c r="AF6" i="13" s="1"/>
  <c r="W6" i="13"/>
  <c r="Y6" i="13" s="1"/>
  <c r="BP6" i="13"/>
  <c r="BN6" i="13"/>
  <c r="AW6" i="13"/>
  <c r="AY6" i="13" s="1"/>
  <c r="BF6" i="13"/>
  <c r="AI6" i="13"/>
  <c r="BJ6" i="13"/>
  <c r="BS6" i="13"/>
  <c r="AZ6" i="13"/>
  <c r="BX6" i="13"/>
  <c r="AQ6" i="13"/>
  <c r="Z6" i="13"/>
  <c r="AB6" i="13" s="1"/>
  <c r="AL6" i="13"/>
  <c r="AC6" i="13"/>
  <c r="BO6" i="13"/>
  <c r="AH6" i="13"/>
  <c r="BT6" i="13"/>
  <c r="AU6" i="13"/>
  <c r="BV6" i="13"/>
  <c r="AS6" i="13"/>
  <c r="AE6" i="13"/>
  <c r="AP6" i="13"/>
  <c r="AR6" i="13" s="1"/>
  <c r="CC6" i="13"/>
  <c r="BG6" i="13"/>
  <c r="BK6" i="13"/>
  <c r="BI6" i="13"/>
  <c r="CE6" i="13"/>
  <c r="AJ6" i="13"/>
  <c r="AM6" i="13"/>
  <c r="AX6" i="13"/>
  <c r="AG6" i="13"/>
  <c r="AO6" i="13"/>
  <c r="CB9" i="13"/>
  <c r="CD9" i="13" s="1"/>
  <c r="AL9" i="13"/>
  <c r="AU9" i="13"/>
  <c r="BE9" i="13"/>
  <c r="BN9" i="13"/>
  <c r="AD9" i="13"/>
  <c r="AF9" i="13" s="1"/>
  <c r="AM9" i="13"/>
  <c r="AW9" i="13"/>
  <c r="AY9" i="13" s="1"/>
  <c r="BF9" i="13"/>
  <c r="BO9" i="13"/>
  <c r="BX9" i="13"/>
  <c r="AH9" i="13"/>
  <c r="AQ9" i="13"/>
  <c r="AZ9" i="13"/>
  <c r="BI9" i="13"/>
  <c r="W9" i="13"/>
  <c r="Y9" i="13" s="1"/>
  <c r="AP9" i="13"/>
  <c r="AR9" i="13" s="1"/>
  <c r="Z9" i="13"/>
  <c r="AB9" i="13" s="1"/>
  <c r="BJ9" i="13"/>
  <c r="CC9" i="13"/>
  <c r="AA9" i="13"/>
  <c r="AS9" i="13"/>
  <c r="BK9" i="13"/>
  <c r="AE9" i="13"/>
  <c r="BP9" i="13"/>
  <c r="AG9" i="13"/>
  <c r="BQ9" i="13"/>
  <c r="AI9" i="13"/>
  <c r="BS9" i="13"/>
  <c r="AJ9" i="13"/>
  <c r="BU9" i="13"/>
  <c r="AX9" i="13"/>
  <c r="BA9" i="13"/>
  <c r="BC9" i="13" s="1"/>
  <c r="BB9" i="13"/>
  <c r="BH9" i="13"/>
  <c r="BV9" i="13"/>
  <c r="BT9" i="13"/>
  <c r="BG9" i="13"/>
  <c r="BW9" i="13"/>
  <c r="BL9" i="13"/>
  <c r="AC9" i="13"/>
  <c r="BR9" i="13"/>
  <c r="BD9" i="13"/>
  <c r="BZ9" i="13"/>
  <c r="U9" i="13"/>
  <c r="BY9" i="13"/>
  <c r="CA9" i="13" s="1"/>
  <c r="X9" i="13"/>
  <c r="CE9" i="13"/>
  <c r="AN9" i="13"/>
  <c r="AK9" i="13"/>
  <c r="V9" i="13"/>
  <c r="AT9" i="13"/>
  <c r="AV9" i="13" s="1"/>
  <c r="BM9" i="13"/>
  <c r="AO9" i="13"/>
  <c r="BF16" i="13"/>
  <c r="BV16" i="13"/>
  <c r="BG16" i="13"/>
  <c r="AG16" i="13"/>
  <c r="BH16" i="13"/>
  <c r="BP16" i="13"/>
  <c r="BX16" i="13"/>
  <c r="BQ16" i="13"/>
  <c r="CB16" i="13"/>
  <c r="CD16" i="13" s="1"/>
  <c r="BM16" i="13"/>
  <c r="BR16" i="13"/>
  <c r="BZ16" i="13"/>
  <c r="AC16" i="13"/>
  <c r="AS16" i="13"/>
  <c r="BL16" i="13"/>
  <c r="AU16" i="13"/>
  <c r="BU16" i="13"/>
  <c r="AJ16" i="13"/>
  <c r="AK16" i="13"/>
  <c r="BK16" i="13"/>
  <c r="AZ16" i="13"/>
  <c r="BA16" i="13"/>
  <c r="BC16" i="13" s="1"/>
  <c r="BY16" i="13"/>
  <c r="CA16" i="13" s="1"/>
  <c r="AI16" i="13"/>
  <c r="AE16" i="13"/>
  <c r="BD16" i="13"/>
  <c r="CE16" i="13"/>
  <c r="AL16" i="13"/>
  <c r="W16" i="13"/>
  <c r="Y16" i="13" s="1"/>
  <c r="AW16" i="13"/>
  <c r="AY16" i="13" s="1"/>
  <c r="AQ16" i="13"/>
  <c r="BW16" i="13"/>
  <c r="AN16" i="13"/>
  <c r="AD16" i="13"/>
  <c r="AF16" i="13" s="1"/>
  <c r="AM16" i="13"/>
  <c r="AT16" i="13"/>
  <c r="AV16" i="13" s="1"/>
  <c r="BI16" i="13"/>
  <c r="X16" i="13"/>
  <c r="BN16" i="13"/>
  <c r="AA16" i="13"/>
  <c r="BJ16" i="13"/>
  <c r="AX16" i="13"/>
  <c r="AH16" i="13"/>
  <c r="BT16" i="13"/>
  <c r="BO16" i="13"/>
  <c r="BS16" i="13"/>
  <c r="BB16" i="13"/>
  <c r="Z16" i="13"/>
  <c r="AB16" i="13" s="1"/>
  <c r="U16" i="13"/>
  <c r="V16" i="13" s="1"/>
  <c r="AP16" i="13"/>
  <c r="AR16" i="13" s="1"/>
  <c r="BE16" i="13"/>
  <c r="CC16" i="13"/>
  <c r="AO16" i="13"/>
  <c r="AG4" i="13"/>
  <c r="AW4" i="13"/>
  <c r="AY4" i="13" s="1"/>
  <c r="BE4" i="13"/>
  <c r="BM4" i="13"/>
  <c r="BU4" i="13"/>
  <c r="CC4" i="13"/>
  <c r="AC4" i="13"/>
  <c r="AK4" i="13"/>
  <c r="AS4" i="13"/>
  <c r="BA4" i="13"/>
  <c r="BC4" i="13" s="1"/>
  <c r="BI4" i="13"/>
  <c r="BQ4" i="13"/>
  <c r="BY4" i="13"/>
  <c r="CA4" i="13" s="1"/>
  <c r="AE4" i="13"/>
  <c r="AM4" i="13"/>
  <c r="BK4" i="13"/>
  <c r="BS4" i="13"/>
  <c r="BD4" i="13"/>
  <c r="BL4" i="13"/>
  <c r="BT4" i="13"/>
  <c r="CB4" i="13"/>
  <c r="CD4" i="13" s="1"/>
  <c r="BH4" i="13"/>
  <c r="BX4" i="13"/>
  <c r="AD4" i="13"/>
  <c r="AF4" i="13" s="1"/>
  <c r="AT4" i="13"/>
  <c r="AV4" i="13" s="1"/>
  <c r="BJ4" i="13"/>
  <c r="BZ4" i="13"/>
  <c r="AH4" i="13"/>
  <c r="AX4" i="13"/>
  <c r="BN4" i="13"/>
  <c r="AL4" i="13"/>
  <c r="BB4" i="13"/>
  <c r="BR4" i="13"/>
  <c r="AI4" i="13"/>
  <c r="BO4" i="13"/>
  <c r="AJ4" i="13"/>
  <c r="BP4" i="13"/>
  <c r="AP4" i="13"/>
  <c r="AR4" i="13" s="1"/>
  <c r="BV4" i="13"/>
  <c r="AQ4" i="13"/>
  <c r="BW4" i="13"/>
  <c r="CE4" i="13"/>
  <c r="AZ4" i="13"/>
  <c r="AA4" i="13"/>
  <c r="BF4" i="13"/>
  <c r="BG4" i="13"/>
  <c r="Z4" i="13"/>
  <c r="AB4" i="13" s="1"/>
  <c r="V4" i="13"/>
  <c r="U4" i="13"/>
  <c r="W4" i="13"/>
  <c r="Y4" i="13" s="1"/>
  <c r="X4" i="13"/>
  <c r="AN4" i="13"/>
  <c r="AU4" i="13"/>
  <c r="AD5" i="13"/>
  <c r="AF5" i="13" s="1"/>
  <c r="AL5" i="13"/>
  <c r="BJ5" i="13"/>
  <c r="Z5" i="13"/>
  <c r="AB5" i="13" s="1"/>
  <c r="AH5" i="13"/>
  <c r="AP5" i="13"/>
  <c r="AR5" i="13" s="1"/>
  <c r="AX5" i="13"/>
  <c r="BN5" i="13"/>
  <c r="AC5" i="13"/>
  <c r="AS5" i="13"/>
  <c r="BI5" i="13"/>
  <c r="BE5" i="13"/>
  <c r="BU5" i="13"/>
  <c r="AA5" i="13"/>
  <c r="AQ5" i="13"/>
  <c r="BG5" i="13"/>
  <c r="AE5" i="13"/>
  <c r="BK5" i="13"/>
  <c r="AI5" i="13"/>
  <c r="BO5" i="13"/>
  <c r="CE5" i="13"/>
  <c r="BL5" i="13"/>
  <c r="AG5" i="13"/>
  <c r="BM5" i="13"/>
  <c r="AM5" i="13"/>
  <c r="BS5" i="13"/>
  <c r="BT5" i="13"/>
  <c r="CB5" i="13"/>
  <c r="CD5" i="13" s="1"/>
  <c r="BD5" i="13"/>
  <c r="CC5" i="13"/>
  <c r="AW5" i="13"/>
  <c r="AY5" i="13" s="1"/>
  <c r="W5" i="13"/>
  <c r="Y5" i="13" s="1"/>
  <c r="X5" i="13"/>
  <c r="AT5" i="13"/>
  <c r="AV5" i="13" s="1"/>
  <c r="BH5" i="13"/>
  <c r="BX5" i="13"/>
  <c r="BA5" i="13"/>
  <c r="BC5" i="13" s="1"/>
  <c r="BP5" i="13"/>
  <c r="AJ5" i="13"/>
  <c r="BV5" i="13"/>
  <c r="BR5" i="13"/>
  <c r="BB5" i="13"/>
  <c r="AZ5" i="13"/>
  <c r="BZ5" i="13"/>
  <c r="AU5" i="13"/>
  <c r="BW5" i="13"/>
  <c r="BY5" i="13"/>
  <c r="CA5" i="13" s="1"/>
  <c r="BQ5" i="13"/>
  <c r="AK5" i="13"/>
  <c r="BF5" i="13"/>
  <c r="AO5" i="13"/>
  <c r="BS19" i="13"/>
  <c r="BP19" i="13"/>
  <c r="AK19" i="13"/>
  <c r="CB19" i="13"/>
  <c r="CD19" i="13" s="1"/>
  <c r="AN19" i="13"/>
  <c r="U19" i="13"/>
  <c r="AQ19" i="13"/>
  <c r="AJ19" i="13"/>
  <c r="BH19" i="13"/>
  <c r="AE19" i="13"/>
  <c r="BX19" i="13"/>
  <c r="AU19" i="13"/>
  <c r="BR19" i="13"/>
  <c r="BL19" i="13"/>
  <c r="X19" i="13"/>
  <c r="BQ19" i="13"/>
  <c r="AL19" i="13"/>
  <c r="W19" i="13"/>
  <c r="Y19" i="13" s="1"/>
  <c r="AI19" i="13"/>
  <c r="AS19" i="13"/>
  <c r="BO19" i="13"/>
  <c r="BY19" i="13"/>
  <c r="CA19" i="13" s="1"/>
  <c r="BG19" i="13"/>
  <c r="BD19" i="13"/>
  <c r="BZ19" i="13"/>
  <c r="AA19" i="13"/>
  <c r="BE19" i="13"/>
  <c r="BK19" i="13"/>
  <c r="AC19" i="13"/>
  <c r="BU19" i="13"/>
  <c r="BA19" i="13"/>
  <c r="BC19" i="13" s="1"/>
  <c r="BI19" i="13"/>
  <c r="V19" i="13"/>
  <c r="AM19" i="13"/>
  <c r="BV19" i="13"/>
  <c r="Z19" i="13"/>
  <c r="AB19" i="13" s="1"/>
  <c r="CE19" i="13"/>
  <c r="BW19" i="13"/>
  <c r="AH19" i="13"/>
  <c r="BT19" i="13"/>
  <c r="AP19" i="13"/>
  <c r="AR19" i="13" s="1"/>
  <c r="BJ19" i="13"/>
  <c r="BB19" i="13"/>
  <c r="AX19" i="13"/>
  <c r="AZ19" i="13"/>
  <c r="AT19" i="13"/>
  <c r="AV19" i="13" s="1"/>
  <c r="BM19" i="13"/>
  <c r="BF19" i="13"/>
  <c r="AW19" i="13"/>
  <c r="AY19" i="13" s="1"/>
  <c r="AG19" i="13"/>
  <c r="BN19" i="13"/>
  <c r="AD19" i="13"/>
  <c r="AF19" i="13" s="1"/>
  <c r="CC19" i="13"/>
  <c r="AO19" i="13"/>
  <c r="BD7" i="13"/>
  <c r="BL7" i="13"/>
  <c r="BT7" i="13"/>
  <c r="CB7" i="13"/>
  <c r="CD7" i="13" s="1"/>
  <c r="AD7" i="13"/>
  <c r="AF7" i="13" s="1"/>
  <c r="AL7" i="13"/>
  <c r="AT7" i="13"/>
  <c r="AV7" i="13" s="1"/>
  <c r="BJ7" i="13"/>
  <c r="BR7" i="13"/>
  <c r="BZ7" i="13"/>
  <c r="AE7" i="13"/>
  <c r="AM7" i="13"/>
  <c r="BS7" i="13"/>
  <c r="Z7" i="13"/>
  <c r="AB7" i="13" s="1"/>
  <c r="AP7" i="13"/>
  <c r="AR7" i="13" s="1"/>
  <c r="BV7" i="13"/>
  <c r="AA7" i="13"/>
  <c r="AQ7" i="13"/>
  <c r="BG7" i="13"/>
  <c r="BW7" i="13"/>
  <c r="BI7" i="13"/>
  <c r="BY7" i="13"/>
  <c r="CA7" i="13" s="1"/>
  <c r="AI7" i="13"/>
  <c r="BO7" i="13"/>
  <c r="AH7" i="13"/>
  <c r="BN7" i="13"/>
  <c r="AK7" i="13"/>
  <c r="BQ7" i="13"/>
  <c r="AW7" i="13"/>
  <c r="AY7" i="13" s="1"/>
  <c r="CC7" i="13"/>
  <c r="AG7" i="13"/>
  <c r="AX7" i="13"/>
  <c r="BA7" i="13"/>
  <c r="BC7" i="13" s="1"/>
  <c r="BE7" i="13"/>
  <c r="BM7" i="13"/>
  <c r="U7" i="13"/>
  <c r="AS7" i="13"/>
  <c r="AU7" i="13"/>
  <c r="AO7" i="13"/>
  <c r="W7" i="13"/>
  <c r="Y7" i="13" s="1"/>
  <c r="AJ7" i="13"/>
  <c r="CE7" i="13"/>
  <c r="AN7" i="13"/>
  <c r="BB7" i="13"/>
  <c r="AC7" i="13"/>
  <c r="AZ7" i="13"/>
  <c r="BU7" i="13"/>
  <c r="BP7" i="13"/>
  <c r="V7" i="13"/>
  <c r="BH7" i="13"/>
  <c r="BX7" i="13"/>
  <c r="BK7" i="13"/>
  <c r="BF7" i="13"/>
  <c r="X7" i="13"/>
  <c r="AC8" i="13"/>
  <c r="AS8" i="13"/>
  <c r="BI8" i="13"/>
  <c r="AA8" i="13"/>
  <c r="AI8" i="13"/>
  <c r="AQ8" i="13"/>
  <c r="BO8" i="13"/>
  <c r="W8" i="13"/>
  <c r="Y8" i="13" s="1"/>
  <c r="AH8" i="13"/>
  <c r="BJ8" i="13"/>
  <c r="BU8" i="13"/>
  <c r="X8" i="13"/>
  <c r="AL8" i="13"/>
  <c r="AW8" i="13"/>
  <c r="AY8" i="13" s="1"/>
  <c r="BK8" i="13"/>
  <c r="AM8" i="13"/>
  <c r="AX8" i="13"/>
  <c r="BL8" i="13"/>
  <c r="AE8" i="13"/>
  <c r="AP8" i="13"/>
  <c r="AR8" i="13" s="1"/>
  <c r="BD8" i="13"/>
  <c r="BE8" i="13"/>
  <c r="AG8" i="13"/>
  <c r="BF8" i="13"/>
  <c r="AN8" i="13"/>
  <c r="BM8" i="13"/>
  <c r="BN8" i="13"/>
  <c r="AD8" i="13"/>
  <c r="AF8" i="13" s="1"/>
  <c r="CB8" i="13"/>
  <c r="CD8" i="13" s="1"/>
  <c r="BT8" i="13"/>
  <c r="AT8" i="13"/>
  <c r="AV8" i="13" s="1"/>
  <c r="AU8" i="13"/>
  <c r="BB8" i="13"/>
  <c r="Z8" i="13"/>
  <c r="AB8" i="13" s="1"/>
  <c r="BS8" i="13"/>
  <c r="CC8" i="13"/>
  <c r="BA8" i="13"/>
  <c r="BC8" i="13" s="1"/>
  <c r="BG8" i="13"/>
  <c r="BP8" i="13"/>
  <c r="AJ8" i="13"/>
  <c r="BX8" i="13"/>
  <c r="BW8" i="13"/>
  <c r="BV8" i="13"/>
  <c r="AZ8" i="13"/>
  <c r="BH8" i="13"/>
  <c r="CE8" i="13"/>
  <c r="BQ8" i="13"/>
  <c r="BY8" i="13"/>
  <c r="CA8" i="13" s="1"/>
  <c r="BZ8" i="13"/>
  <c r="BR8" i="13"/>
  <c r="U8" i="13"/>
  <c r="V8" i="13" s="1"/>
  <c r="AO8" i="13"/>
  <c r="AK8" i="13"/>
  <c r="BP11" i="13"/>
  <c r="BH11" i="13"/>
  <c r="AG11" i="13"/>
  <c r="AZ11" i="13"/>
  <c r="BR11" i="13"/>
  <c r="AT11" i="13"/>
  <c r="AV11" i="13" s="1"/>
  <c r="BU11" i="13"/>
  <c r="CE11" i="13"/>
  <c r="AL11" i="13"/>
  <c r="BD11" i="13"/>
  <c r="BT11" i="13"/>
  <c r="BW11" i="13"/>
  <c r="BJ11" i="13"/>
  <c r="BX11" i="13"/>
  <c r="AU11" i="13"/>
  <c r="BS11" i="13"/>
  <c r="BZ11" i="13"/>
  <c r="AS11" i="13"/>
  <c r="AA11" i="13"/>
  <c r="BA11" i="13"/>
  <c r="BC11" i="13" s="1"/>
  <c r="AJ11" i="13"/>
  <c r="AC11" i="13"/>
  <c r="BB11" i="13"/>
  <c r="CC11" i="13"/>
  <c r="BQ11" i="13"/>
  <c r="AD11" i="13"/>
  <c r="AF11" i="13" s="1"/>
  <c r="BK11" i="13"/>
  <c r="AI11" i="13"/>
  <c r="BM11" i="13"/>
  <c r="BO11" i="13"/>
  <c r="BN11" i="13"/>
  <c r="BE11" i="13"/>
  <c r="AK11" i="13"/>
  <c r="AP11" i="13"/>
  <c r="AR11" i="13" s="1"/>
  <c r="BY11" i="13"/>
  <c r="CA11" i="13" s="1"/>
  <c r="AE11" i="13"/>
  <c r="BG11" i="13"/>
  <c r="BF11" i="13"/>
  <c r="U11" i="13"/>
  <c r="V11" i="13" s="1"/>
  <c r="CB11" i="13"/>
  <c r="CD11" i="13" s="1"/>
  <c r="AW11" i="13"/>
  <c r="AY11" i="13" s="1"/>
  <c r="AQ11" i="13"/>
  <c r="AM11" i="13"/>
  <c r="BL11" i="13"/>
  <c r="AN11" i="13"/>
  <c r="Z11" i="13"/>
  <c r="AB11" i="13" s="1"/>
  <c r="BI11" i="13"/>
  <c r="W11" i="13"/>
  <c r="Y11" i="13" s="1"/>
  <c r="BV11" i="13"/>
  <c r="AH11" i="13"/>
  <c r="X11" i="13"/>
  <c r="AX11" i="13"/>
  <c r="AO11" i="13"/>
  <c r="AL12" i="13"/>
  <c r="BE12" i="13"/>
  <c r="BN12" i="13"/>
  <c r="BW12" i="13"/>
  <c r="AX12" i="13"/>
  <c r="BG12" i="13"/>
  <c r="Z12" i="13"/>
  <c r="AB12" i="13" s="1"/>
  <c r="AI12" i="13"/>
  <c r="BA12" i="13"/>
  <c r="BC12" i="13" s="1"/>
  <c r="BJ12" i="13"/>
  <c r="BT12" i="13"/>
  <c r="AN12" i="13"/>
  <c r="BB12" i="13"/>
  <c r="BQ12" i="13"/>
  <c r="AA12" i="13"/>
  <c r="AP12" i="13"/>
  <c r="AR12" i="13" s="1"/>
  <c r="BD12" i="13"/>
  <c r="BR12" i="13"/>
  <c r="AQ12" i="13"/>
  <c r="AH12" i="13"/>
  <c r="BH12" i="13"/>
  <c r="CB12" i="13"/>
  <c r="CD12" i="13" s="1"/>
  <c r="AD12" i="13"/>
  <c r="AF12" i="13" s="1"/>
  <c r="BI12" i="13"/>
  <c r="BZ12" i="13"/>
  <c r="AK12" i="13"/>
  <c r="BL12" i="13"/>
  <c r="AZ12" i="13"/>
  <c r="BM12" i="13"/>
  <c r="AG12" i="13"/>
  <c r="U12" i="13"/>
  <c r="AT12" i="13"/>
  <c r="AV12" i="13" s="1"/>
  <c r="BO12" i="13"/>
  <c r="X12" i="13"/>
  <c r="AW12" i="13"/>
  <c r="AY12" i="13" s="1"/>
  <c r="BV12" i="13"/>
  <c r="BX12" i="13"/>
  <c r="BU12" i="13"/>
  <c r="AU12" i="13"/>
  <c r="BS12" i="13"/>
  <c r="AO12" i="13"/>
  <c r="AS12" i="13"/>
  <c r="CC12" i="13"/>
  <c r="AE12" i="13"/>
  <c r="AM12" i="13"/>
  <c r="W12" i="13"/>
  <c r="Y12" i="13" s="1"/>
  <c r="BK12" i="13"/>
  <c r="AJ12" i="13"/>
  <c r="V12" i="13"/>
  <c r="AC12" i="13"/>
  <c r="BF12" i="13"/>
  <c r="BP12" i="13"/>
  <c r="BY12" i="13"/>
  <c r="CA12" i="13" s="1"/>
  <c r="CE12" i="13"/>
  <c r="AN15" i="13"/>
  <c r="BY15" i="13"/>
  <c r="CA15" i="13" s="1"/>
  <c r="AT15" i="13"/>
  <c r="AV15" i="13" s="1"/>
  <c r="BZ15" i="13"/>
  <c r="BF15" i="13"/>
  <c r="AU15" i="13"/>
  <c r="BX15" i="13"/>
  <c r="BA15" i="13"/>
  <c r="BC15" i="13" s="1"/>
  <c r="W15" i="13"/>
  <c r="Y15" i="13" s="1"/>
  <c r="BW15" i="13"/>
  <c r="U15" i="13"/>
  <c r="V15" i="13" s="1"/>
  <c r="BB15" i="13"/>
  <c r="BQ15" i="13"/>
  <c r="AK15" i="13"/>
  <c r="BV15" i="13"/>
  <c r="X15" i="13"/>
  <c r="BE15" i="13"/>
  <c r="BI15" i="13"/>
  <c r="AH15" i="13"/>
  <c r="BN15" i="13"/>
  <c r="BK15" i="13"/>
  <c r="AM15" i="13"/>
  <c r="BR15" i="13"/>
  <c r="AW15" i="13"/>
  <c r="AY15" i="13" s="1"/>
  <c r="AX15" i="13"/>
  <c r="BD15" i="13"/>
  <c r="AA15" i="13"/>
  <c r="BS15" i="13"/>
  <c r="CC15" i="13"/>
  <c r="AS15" i="13"/>
  <c r="AJ15" i="13"/>
  <c r="AC15" i="13"/>
  <c r="AP15" i="13"/>
  <c r="AR15" i="13" s="1"/>
  <c r="AZ15" i="13"/>
  <c r="BL15" i="13"/>
  <c r="AI15" i="13"/>
  <c r="Z15" i="13"/>
  <c r="AB15" i="13" s="1"/>
  <c r="AQ15" i="13"/>
  <c r="AD15" i="13"/>
  <c r="AF15" i="13" s="1"/>
  <c r="CB15" i="13"/>
  <c r="CD15" i="13" s="1"/>
  <c r="AE15" i="13"/>
  <c r="BG15" i="13"/>
  <c r="BP15" i="13"/>
  <c r="CE15" i="13"/>
  <c r="BO15" i="13"/>
  <c r="BJ15" i="13"/>
  <c r="AG15" i="13"/>
  <c r="BM15" i="13"/>
  <c r="AL15" i="13"/>
  <c r="BT15" i="13"/>
  <c r="BU15" i="13"/>
  <c r="BH15" i="13"/>
  <c r="AO15" i="13"/>
  <c r="AU17" i="13"/>
  <c r="CB17" i="13"/>
  <c r="CD17" i="13" s="1"/>
  <c r="AQ17" i="13"/>
  <c r="BB17" i="13"/>
  <c r="BO17" i="13"/>
  <c r="AL17" i="13"/>
  <c r="BA17" i="13"/>
  <c r="BC17" i="13" s="1"/>
  <c r="AH17" i="13"/>
  <c r="CC17" i="13"/>
  <c r="U17" i="13"/>
  <c r="AI17" i="13"/>
  <c r="AT17" i="13"/>
  <c r="AV17" i="13" s="1"/>
  <c r="BH17" i="13"/>
  <c r="BR17" i="13"/>
  <c r="AZ17" i="13"/>
  <c r="BW17" i="13"/>
  <c r="BX17" i="13"/>
  <c r="AJ17" i="13"/>
  <c r="AX17" i="13"/>
  <c r="BI17" i="13"/>
  <c r="BU17" i="13"/>
  <c r="CE17" i="13"/>
  <c r="BN17" i="13"/>
  <c r="Z17" i="13"/>
  <c r="AB17" i="13" s="1"/>
  <c r="AK17" i="13"/>
  <c r="BJ17" i="13"/>
  <c r="BV17" i="13"/>
  <c r="AA17" i="13"/>
  <c r="BM17" i="13"/>
  <c r="AP17" i="13"/>
  <c r="AR17" i="13" s="1"/>
  <c r="BD17" i="13"/>
  <c r="BS17" i="13"/>
  <c r="V17" i="13"/>
  <c r="BT17" i="13"/>
  <c r="BZ17" i="13"/>
  <c r="BL17" i="13"/>
  <c r="BK17" i="13"/>
  <c r="BQ17" i="13"/>
  <c r="AW17" i="13"/>
  <c r="AY17" i="13" s="1"/>
  <c r="BP17" i="13"/>
  <c r="AG17" i="13"/>
  <c r="BG17" i="13"/>
  <c r="BE17" i="13"/>
  <c r="BF17" i="13"/>
  <c r="AN17" i="13"/>
  <c r="AS17" i="13"/>
  <c r="AD17" i="13"/>
  <c r="AF17" i="13" s="1"/>
  <c r="AC17" i="13"/>
  <c r="X17" i="13"/>
  <c r="BY17" i="13"/>
  <c r="CA17" i="13" s="1"/>
  <c r="AE17" i="13"/>
  <c r="W17" i="13"/>
  <c r="Y17" i="13" s="1"/>
  <c r="AM17" i="13"/>
  <c r="AO17" i="13"/>
  <c r="B7" i="8"/>
  <c r="I3" i="8" s="1"/>
  <c r="C7" i="8"/>
  <c r="AM20" i="2"/>
  <c r="C18" i="8"/>
  <c r="B18" i="8"/>
  <c r="AN15" i="2"/>
  <c r="B14" i="8"/>
  <c r="C14" i="8"/>
  <c r="AG5" i="2"/>
  <c r="C3" i="8"/>
  <c r="B3" i="8"/>
  <c r="AJ11" i="2"/>
  <c r="C10" i="8"/>
  <c r="J4" i="8" s="1"/>
  <c r="B10" i="8"/>
  <c r="I4" i="8" s="1"/>
  <c r="C11" i="8"/>
  <c r="B11" i="8"/>
  <c r="AN7" i="2"/>
  <c r="B6" i="8"/>
  <c r="I2" i="8" s="1"/>
  <c r="C6" i="8"/>
  <c r="B16" i="8"/>
  <c r="C16" i="8"/>
  <c r="B5" i="8"/>
  <c r="C5" i="8"/>
  <c r="B9" i="8"/>
  <c r="C9" i="8"/>
  <c r="AG19" i="2"/>
  <c r="B17" i="8"/>
  <c r="C17" i="8"/>
  <c r="AM14" i="2"/>
  <c r="B13" i="8"/>
  <c r="C13" i="8"/>
  <c r="C4" i="8"/>
  <c r="B4" i="8"/>
  <c r="I6" i="8" s="1"/>
  <c r="I17" i="8" s="1"/>
  <c r="C8" i="8"/>
  <c r="B8" i="8"/>
  <c r="I5" i="8" s="1"/>
  <c r="AJ16" i="2"/>
  <c r="C15" i="8"/>
  <c r="B15" i="8"/>
  <c r="N1" i="5"/>
  <c r="P19" i="7"/>
  <c r="P20" i="7" s="1"/>
  <c r="C5" i="13"/>
  <c r="W2" i="2"/>
  <c r="U2" i="2"/>
  <c r="H4" i="17"/>
  <c r="C8" i="3"/>
  <c r="C13" i="3"/>
  <c r="R2" i="2"/>
  <c r="H3" i="17"/>
  <c r="S2" i="2"/>
  <c r="AK14" i="2"/>
  <c r="AG14" i="2"/>
  <c r="AI8" i="2"/>
  <c r="AM15" i="2"/>
  <c r="AK19" i="2"/>
  <c r="AL12" i="2"/>
  <c r="AN19" i="2"/>
  <c r="C27" i="3"/>
  <c r="AI14" i="2"/>
  <c r="AJ15" i="2"/>
  <c r="AJ14" i="2"/>
  <c r="AK15" i="2"/>
  <c r="AM16" i="2"/>
  <c r="AI9" i="2"/>
  <c r="AN16" i="2"/>
  <c r="AL19" i="2"/>
  <c r="AL20" i="2"/>
  <c r="AG17" i="2"/>
  <c r="AN11" i="2"/>
  <c r="AL14" i="2"/>
  <c r="AL15" i="2"/>
  <c r="AM19" i="2"/>
  <c r="AL11" i="2"/>
  <c r="AN8" i="2"/>
  <c r="AH11" i="2"/>
  <c r="AJ12" i="2"/>
  <c r="AH16" i="2"/>
  <c r="AI20" i="2"/>
  <c r="AN5" i="2"/>
  <c r="AH17" i="2"/>
  <c r="AM9" i="2"/>
  <c r="AK17" i="2"/>
  <c r="AM4" i="2"/>
  <c r="AI7" i="2"/>
  <c r="AN4" i="2"/>
  <c r="AI17" i="2"/>
  <c r="AH12" i="2"/>
  <c r="AI19" i="2"/>
  <c r="AG16" i="2"/>
  <c r="V19" i="5"/>
  <c r="AJ19" i="5"/>
  <c r="N26" i="5"/>
  <c r="AH1" i="5"/>
  <c r="AI23" i="5"/>
  <c r="AP23" i="5" s="1"/>
  <c r="V23" i="5"/>
  <c r="C21" i="3"/>
  <c r="C14" i="3"/>
  <c r="C28" i="3"/>
  <c r="C26" i="3"/>
  <c r="C24" i="3"/>
  <c r="C22" i="3"/>
  <c r="C20" i="3"/>
  <c r="C17" i="3"/>
  <c r="C15" i="3"/>
  <c r="C7" i="3"/>
  <c r="C3" i="3"/>
  <c r="C25" i="3"/>
  <c r="C23" i="3"/>
  <c r="C16" i="3"/>
  <c r="C12" i="3"/>
  <c r="AP22" i="5"/>
  <c r="N16" i="5"/>
  <c r="M7" i="5"/>
  <c r="AG7" i="5" s="1"/>
  <c r="M22" i="5" s="1"/>
  <c r="AP8" i="5"/>
  <c r="V22" i="5"/>
  <c r="E31" i="6"/>
  <c r="O25" i="6"/>
  <c r="P15" i="6"/>
  <c r="M16" i="6"/>
  <c r="M19" i="6"/>
  <c r="M22" i="6"/>
  <c r="I3" i="7"/>
  <c r="H3" i="7"/>
  <c r="S5" i="7" s="1"/>
  <c r="AM17" i="2"/>
  <c r="I7" i="14"/>
  <c r="AM6" i="2"/>
  <c r="AM7" i="2"/>
  <c r="H21" i="14"/>
  <c r="M3" i="17"/>
  <c r="J3" i="16"/>
  <c r="F4" i="14"/>
  <c r="L3" i="13"/>
  <c r="B2" i="8"/>
  <c r="AN17" i="2"/>
  <c r="AN6" i="2"/>
  <c r="AN9" i="2"/>
  <c r="J11" i="14"/>
  <c r="AM10" i="2"/>
  <c r="I12" i="14"/>
  <c r="K14" i="5"/>
  <c r="AE14" i="5" s="1"/>
  <c r="K29" i="5" s="1"/>
  <c r="AK11" i="2"/>
  <c r="F13" i="14"/>
  <c r="AI12" i="2"/>
  <c r="AI18" i="2"/>
  <c r="I21" i="14"/>
  <c r="K6" i="5"/>
  <c r="AE6" i="5" s="1"/>
  <c r="K21" i="5" s="1"/>
  <c r="L9" i="5"/>
  <c r="AF9" i="5" s="1"/>
  <c r="L24" i="5" s="1"/>
  <c r="AF24" i="5" s="1"/>
  <c r="AI29" i="5"/>
  <c r="AP29" i="5" s="1"/>
  <c r="V29" i="5"/>
  <c r="H4" i="5"/>
  <c r="V4" i="5"/>
  <c r="AE2" i="2" s="1"/>
  <c r="E44" i="6"/>
  <c r="M58" i="6"/>
  <c r="P5" i="7"/>
  <c r="F3" i="7"/>
  <c r="Q5" i="7" s="1"/>
  <c r="B13" i="10"/>
  <c r="B10" i="10" s="1"/>
  <c r="I8" i="14"/>
  <c r="K9" i="14"/>
  <c r="J4" i="17"/>
  <c r="F4" i="16"/>
  <c r="AG6" i="2"/>
  <c r="AG8" i="2"/>
  <c r="AN10" i="2"/>
  <c r="K5" i="5"/>
  <c r="AE5" i="5" s="1"/>
  <c r="K20" i="5" s="1"/>
  <c r="H7" i="5"/>
  <c r="M10" i="5"/>
  <c r="AG10" i="5" s="1"/>
  <c r="M25" i="5" s="1"/>
  <c r="V25" i="5"/>
  <c r="AP13" i="5"/>
  <c r="V18" i="5"/>
  <c r="E15" i="6"/>
  <c r="AK20" i="10"/>
  <c r="B20" i="10"/>
  <c r="B24" i="10" s="1"/>
  <c r="B28" i="10" s="1"/>
  <c r="AH4" i="2"/>
  <c r="AJ5" i="2"/>
  <c r="AI6" i="2"/>
  <c r="AH10" i="2"/>
  <c r="J13" i="14"/>
  <c r="L10" i="5"/>
  <c r="AF10" i="5" s="1"/>
  <c r="L25" i="5" s="1"/>
  <c r="AF25" i="5" s="1"/>
  <c r="I14" i="14"/>
  <c r="K13" i="5"/>
  <c r="AE13" i="5" s="1"/>
  <c r="K28" i="5" s="1"/>
  <c r="H15" i="14"/>
  <c r="AI16" i="2"/>
  <c r="AL18" i="2"/>
  <c r="AH20" i="2"/>
  <c r="AP4" i="5"/>
  <c r="E30" i="6"/>
  <c r="P13" i="6"/>
  <c r="Q13" i="6" s="1"/>
  <c r="R13" i="6" s="1"/>
  <c r="S13" i="6" s="1"/>
  <c r="T13" i="6" s="1"/>
  <c r="U13" i="6" s="1"/>
  <c r="V13" i="6" s="1"/>
  <c r="W13" i="6" s="1"/>
  <c r="X13" i="6" s="1"/>
  <c r="Y13" i="6" s="1"/>
  <c r="Z13" i="6" s="1"/>
  <c r="AA13" i="6" s="1"/>
  <c r="AB13" i="6" s="1"/>
  <c r="AC13" i="6" s="1"/>
  <c r="R18" i="6"/>
  <c r="S18" i="6" s="1"/>
  <c r="T18" i="6" s="1"/>
  <c r="U18" i="6" s="1"/>
  <c r="V18" i="6" s="1"/>
  <c r="W18" i="6" s="1"/>
  <c r="X18" i="6" s="1"/>
  <c r="Y18" i="6" s="1"/>
  <c r="Z18" i="6" s="1"/>
  <c r="AA18" i="6" s="1"/>
  <c r="AB18" i="6" s="1"/>
  <c r="AC18" i="6" s="1"/>
  <c r="O43" i="6"/>
  <c r="P43" i="6" s="1"/>
  <c r="Q43" i="6" s="1"/>
  <c r="R43" i="6" s="1"/>
  <c r="E50" i="6"/>
  <c r="H13" i="14"/>
  <c r="AN20" i="2"/>
  <c r="AG4" i="2"/>
  <c r="AH7" i="2"/>
  <c r="AH8" i="2"/>
  <c r="AH9" i="2"/>
  <c r="K12" i="14"/>
  <c r="M14" i="5"/>
  <c r="AG14" i="5" s="1"/>
  <c r="M29" i="5" s="1"/>
  <c r="I13" i="14"/>
  <c r="AK12" i="2"/>
  <c r="H14" i="14"/>
  <c r="AG20" i="2"/>
  <c r="AI4" i="2"/>
  <c r="AK5" i="2"/>
  <c r="F6" i="14"/>
  <c r="AJ17" i="2"/>
  <c r="AJ6" i="2"/>
  <c r="AJ7" i="2"/>
  <c r="AJ8" i="2"/>
  <c r="AJ9" i="2"/>
  <c r="AI10" i="2"/>
  <c r="AG11" i="2"/>
  <c r="K13" i="14"/>
  <c r="AM12" i="2"/>
  <c r="J14" i="14"/>
  <c r="L13" i="5"/>
  <c r="AF13" i="5" s="1"/>
  <c r="L28" i="5" s="1"/>
  <c r="AF28" i="5" s="1"/>
  <c r="AN14" i="2"/>
  <c r="AG15" i="2"/>
  <c r="AM18" i="2"/>
  <c r="AH19" i="2"/>
  <c r="H3" i="5"/>
  <c r="AP19" i="5"/>
  <c r="M8" i="5"/>
  <c r="AG8" i="5" s="1"/>
  <c r="M23" i="5" s="1"/>
  <c r="AP9" i="5"/>
  <c r="AP15" i="5"/>
  <c r="O30" i="5"/>
  <c r="M20" i="6"/>
  <c r="M23" i="6"/>
  <c r="M24" i="6"/>
  <c r="I11" i="14"/>
  <c r="AL10" i="2"/>
  <c r="H12" i="14"/>
  <c r="AH5" i="2"/>
  <c r="F14" i="14"/>
  <c r="H13" i="5"/>
  <c r="AJ18" i="2"/>
  <c r="J3" i="17"/>
  <c r="F3" i="16"/>
  <c r="I3" i="13"/>
  <c r="BB3" i="13" s="1"/>
  <c r="C2" i="8"/>
  <c r="AK18" i="2"/>
  <c r="AK6" i="2"/>
  <c r="F8" i="14"/>
  <c r="AK7" i="2"/>
  <c r="F9" i="14"/>
  <c r="AK8" i="2"/>
  <c r="F10" i="14"/>
  <c r="AK9" i="2"/>
  <c r="F11" i="14"/>
  <c r="AJ10" i="2"/>
  <c r="AN12" i="2"/>
  <c r="AH15" i="2"/>
  <c r="AK16" i="2"/>
  <c r="AN18" i="2"/>
  <c r="AJ20" i="2"/>
  <c r="AP3" i="5"/>
  <c r="O21" i="5"/>
  <c r="V26" i="5"/>
  <c r="AI26" i="5"/>
  <c r="AP26" i="5" s="1"/>
  <c r="M50" i="6"/>
  <c r="R52" i="6"/>
  <c r="Q53" i="6"/>
  <c r="K6" i="14"/>
  <c r="AM8" i="2"/>
  <c r="K10" i="14"/>
  <c r="AH18" i="2"/>
  <c r="N2" i="2"/>
  <c r="AG7" i="2"/>
  <c r="AG9" i="2"/>
  <c r="J12" i="14"/>
  <c r="L14" i="5"/>
  <c r="AF14" i="5" s="1"/>
  <c r="L29" i="5" s="1"/>
  <c r="AF29" i="5" s="1"/>
  <c r="AI5" i="2"/>
  <c r="AH6" i="2"/>
  <c r="AG10" i="2"/>
  <c r="AM11" i="2"/>
  <c r="F15" i="14"/>
  <c r="H15" i="5"/>
  <c r="AJ4" i="2"/>
  <c r="AL5" i="2"/>
  <c r="H6" i="14"/>
  <c r="F7" i="14"/>
  <c r="AK4" i="2"/>
  <c r="M4" i="17"/>
  <c r="J4" i="16"/>
  <c r="F5" i="14"/>
  <c r="AM5" i="2"/>
  <c r="I6" i="14"/>
  <c r="AL17" i="2"/>
  <c r="H7" i="14"/>
  <c r="AL6" i="2"/>
  <c r="H8" i="14"/>
  <c r="AL7" i="2"/>
  <c r="I9" i="14"/>
  <c r="AL8" i="2"/>
  <c r="I10" i="14"/>
  <c r="AL9" i="2"/>
  <c r="H11" i="14"/>
  <c r="AK10" i="2"/>
  <c r="F12" i="14"/>
  <c r="H14" i="5"/>
  <c r="AI11" i="2"/>
  <c r="AG12" i="2"/>
  <c r="AG13" i="2"/>
  <c r="AH14" i="2"/>
  <c r="AI15" i="2"/>
  <c r="AL16" i="2"/>
  <c r="AG18" i="2"/>
  <c r="AJ19" i="2"/>
  <c r="AK20" i="2"/>
  <c r="AP18" i="5"/>
  <c r="M4" i="5"/>
  <c r="AG4" i="5" s="1"/>
  <c r="M19" i="5" s="1"/>
  <c r="J9" i="5"/>
  <c r="H10" i="5"/>
  <c r="AP12" i="5"/>
  <c r="O27" i="5"/>
  <c r="O24" i="5"/>
  <c r="AI25" i="5"/>
  <c r="AP25" i="5" s="1"/>
  <c r="V28" i="5"/>
  <c r="AI28" i="5"/>
  <c r="AP28" i="5" s="1"/>
  <c r="N25" i="6"/>
  <c r="E32" i="6"/>
  <c r="R59" i="6"/>
  <c r="S59" i="6" s="1"/>
  <c r="T59" i="6" s="1"/>
  <c r="AP14" i="5"/>
  <c r="M45" i="6"/>
  <c r="P10" i="6"/>
  <c r="M21" i="6"/>
  <c r="M57" i="6"/>
  <c r="Q60" i="6"/>
  <c r="R60" i="6" s="1"/>
  <c r="S60" i="6" s="1"/>
  <c r="T60" i="6" s="1"/>
  <c r="U60" i="6" s="1"/>
  <c r="V60" i="6" s="1"/>
  <c r="W60" i="6" s="1"/>
  <c r="X60" i="6" s="1"/>
  <c r="Y60" i="6" s="1"/>
  <c r="Z60" i="6" s="1"/>
  <c r="AA60" i="6" s="1"/>
  <c r="AB60" i="6" s="1"/>
  <c r="AC60" i="6" s="1"/>
  <c r="AD60" i="6" s="1"/>
  <c r="N44" i="6"/>
  <c r="H62" i="6"/>
  <c r="E5" i="6"/>
  <c r="P55" i="6"/>
  <c r="P63" i="6"/>
  <c r="Q63" i="6" s="1"/>
  <c r="R63" i="6" s="1"/>
  <c r="S63" i="6" s="1"/>
  <c r="T63" i="6" s="1"/>
  <c r="U63" i="6" s="1"/>
  <c r="V63" i="6" s="1"/>
  <c r="W63" i="6" s="1"/>
  <c r="X63" i="6" s="1"/>
  <c r="Y63" i="6" s="1"/>
  <c r="Z63" i="6" s="1"/>
  <c r="AA63" i="6" s="1"/>
  <c r="AB63" i="6" s="1"/>
  <c r="AC63" i="6" s="1"/>
  <c r="AD63" i="6" s="1"/>
  <c r="M62" i="6"/>
  <c r="C11" i="10"/>
  <c r="C9" i="10"/>
  <c r="U33" i="11"/>
  <c r="O3" i="8"/>
  <c r="U26" i="11"/>
  <c r="S3" i="13"/>
  <c r="I12" i="10"/>
  <c r="I10" i="10"/>
  <c r="L8" i="10"/>
  <c r="U24" i="11"/>
  <c r="D30" i="10"/>
  <c r="E30" i="10" s="1"/>
  <c r="C31" i="10"/>
  <c r="C20" i="10"/>
  <c r="C24" i="10" s="1"/>
  <c r="H16" i="8"/>
  <c r="O16" i="8" s="1"/>
  <c r="B22" i="10"/>
  <c r="B26" i="10" s="1"/>
  <c r="C18" i="10"/>
  <c r="U65" i="11"/>
  <c r="U67" i="11"/>
  <c r="D18" i="10"/>
  <c r="D20" i="10"/>
  <c r="D24" i="10" s="1"/>
  <c r="D28" i="10" s="1"/>
  <c r="U73" i="11"/>
  <c r="U75" i="11"/>
  <c r="N13" i="14"/>
  <c r="S13" i="14"/>
  <c r="R13" i="14"/>
  <c r="Q13" i="14"/>
  <c r="O13" i="14"/>
  <c r="U13" i="14" s="1"/>
  <c r="M13" i="14"/>
  <c r="T13" i="14"/>
  <c r="Q14" i="14"/>
  <c r="O14" i="14"/>
  <c r="N14" i="14"/>
  <c r="M14" i="14"/>
  <c r="T14" i="14"/>
  <c r="S14" i="14"/>
  <c r="U15" i="14"/>
  <c r="Q12" i="14"/>
  <c r="U12" i="14" s="1"/>
  <c r="T12" i="14"/>
  <c r="Q11" i="14"/>
  <c r="U11" i="14" s="1"/>
  <c r="M12" i="14"/>
  <c r="T3" i="17" l="1"/>
  <c r="AN5" i="13"/>
  <c r="U5" i="13"/>
  <c r="S4" i="17"/>
  <c r="T5" i="13"/>
  <c r="S5" i="13"/>
  <c r="D12" i="8"/>
  <c r="E12" i="8" s="1"/>
  <c r="V20" i="5"/>
  <c r="I31" i="18"/>
  <c r="B31" i="10"/>
  <c r="B32" i="10" s="1"/>
  <c r="C32" i="10" s="1"/>
  <c r="E16" i="10"/>
  <c r="D19" i="10"/>
  <c r="D23" i="10" s="1"/>
  <c r="D27" i="10" s="1"/>
  <c r="D21" i="10"/>
  <c r="D25" i="10" s="1"/>
  <c r="D29" i="10" s="1"/>
  <c r="D9" i="8"/>
  <c r="E9" i="8" s="1"/>
  <c r="D15" i="8"/>
  <c r="E15" i="8" s="1"/>
  <c r="D6" i="8"/>
  <c r="E6" i="8" s="1"/>
  <c r="D10" i="8"/>
  <c r="F10" i="8" s="1"/>
  <c r="M4" i="8" s="1"/>
  <c r="D13" i="8"/>
  <c r="E13" i="8" s="1"/>
  <c r="D5" i="8"/>
  <c r="E5" i="8" s="1"/>
  <c r="D8" i="8"/>
  <c r="D17" i="8"/>
  <c r="D16" i="8"/>
  <c r="D18" i="8"/>
  <c r="D4" i="8"/>
  <c r="D3" i="8"/>
  <c r="D7" i="8"/>
  <c r="D11" i="8"/>
  <c r="D14" i="8"/>
  <c r="C16" i="2"/>
  <c r="D17" i="14"/>
  <c r="Q4" i="16"/>
  <c r="T4" i="17"/>
  <c r="BG3" i="13"/>
  <c r="BQ3" i="13"/>
  <c r="BM3" i="13"/>
  <c r="BW3" i="13"/>
  <c r="D2" i="8"/>
  <c r="F2" i="8" s="1"/>
  <c r="T2" i="8" s="1"/>
  <c r="BH3" i="13"/>
  <c r="BY3" i="13"/>
  <c r="CA3" i="13" s="1"/>
  <c r="AS3" i="13"/>
  <c r="BX3" i="13"/>
  <c r="BA3" i="13"/>
  <c r="BC3" i="13" s="1"/>
  <c r="BP3" i="13"/>
  <c r="AT3" i="13"/>
  <c r="AV3" i="13" s="1"/>
  <c r="AU3" i="13"/>
  <c r="AZ3" i="13"/>
  <c r="BR3" i="13"/>
  <c r="U3" i="13"/>
  <c r="V3" i="13" s="1"/>
  <c r="CC3" i="13"/>
  <c r="AK3" i="13"/>
  <c r="AJ3" i="13"/>
  <c r="BZ3" i="13"/>
  <c r="AC3" i="13"/>
  <c r="P3" i="16"/>
  <c r="B33" i="10"/>
  <c r="Q14" i="7"/>
  <c r="Q16" i="7"/>
  <c r="Q17" i="7" s="1"/>
  <c r="D19" i="14"/>
  <c r="C18" i="2"/>
  <c r="H69" i="6"/>
  <c r="Q3" i="16"/>
  <c r="Q18" i="7"/>
  <c r="Q19" i="7" s="1"/>
  <c r="Q20" i="7" s="1"/>
  <c r="M59" i="6"/>
  <c r="D6" i="14"/>
  <c r="C17" i="2"/>
  <c r="F4" i="5"/>
  <c r="Z4" i="5" s="1"/>
  <c r="F19" i="5" s="1"/>
  <c r="Z19" i="5" s="1"/>
  <c r="AI21" i="5"/>
  <c r="AP21" i="5" s="1"/>
  <c r="V21" i="5"/>
  <c r="J6" i="8"/>
  <c r="D20" i="14"/>
  <c r="C19" i="2"/>
  <c r="H28" i="6"/>
  <c r="P14" i="6"/>
  <c r="Q10" i="6"/>
  <c r="E27" i="6"/>
  <c r="E13" i="6"/>
  <c r="H19" i="6"/>
  <c r="B17" i="10"/>
  <c r="H68" i="6"/>
  <c r="D13" i="14"/>
  <c r="C12" i="2"/>
  <c r="F10" i="5"/>
  <c r="Z10" i="5" s="1"/>
  <c r="F25" i="5" s="1"/>
  <c r="Z25" i="5" s="1"/>
  <c r="D4" i="14"/>
  <c r="C3" i="13"/>
  <c r="C4" i="2"/>
  <c r="F3" i="5"/>
  <c r="Z3" i="5" s="1"/>
  <c r="F18" i="5" s="1"/>
  <c r="Z18" i="5" s="1"/>
  <c r="I14" i="8"/>
  <c r="P14" i="8" s="1"/>
  <c r="P3" i="8"/>
  <c r="J2" i="8"/>
  <c r="P25" i="6"/>
  <c r="Q15" i="6"/>
  <c r="I13" i="8"/>
  <c r="P13" i="8" s="1"/>
  <c r="P2" i="8"/>
  <c r="D22" i="10"/>
  <c r="D26" i="10" s="1"/>
  <c r="D31" i="10" s="1"/>
  <c r="D17" i="10"/>
  <c r="C22" i="10"/>
  <c r="C17" i="10"/>
  <c r="M60" i="6"/>
  <c r="AI24" i="5"/>
  <c r="AP24" i="5" s="1"/>
  <c r="V24" i="5"/>
  <c r="R53" i="6"/>
  <c r="S52" i="6"/>
  <c r="D12" i="14"/>
  <c r="C11" i="2"/>
  <c r="F14" i="5"/>
  <c r="Z14" i="5" s="1"/>
  <c r="F29" i="5" s="1"/>
  <c r="Z29" i="5" s="1"/>
  <c r="S43" i="6"/>
  <c r="T43" i="6" s="1"/>
  <c r="D11" i="14"/>
  <c r="C10" i="2"/>
  <c r="F9" i="5"/>
  <c r="Z9" i="5" s="1"/>
  <c r="F24" i="5" s="1"/>
  <c r="Z24" i="5" s="1"/>
  <c r="M18" i="6"/>
  <c r="D15" i="14"/>
  <c r="F15" i="5"/>
  <c r="Z15" i="5" s="1"/>
  <c r="F30" i="5" s="1"/>
  <c r="Z30" i="5" s="1"/>
  <c r="C14" i="2"/>
  <c r="J3" i="7"/>
  <c r="J3" i="8"/>
  <c r="U14" i="14"/>
  <c r="F30" i="10"/>
  <c r="G30" i="10" s="1"/>
  <c r="E31" i="10"/>
  <c r="P64" i="6"/>
  <c r="Q55" i="6"/>
  <c r="M63" i="6"/>
  <c r="N65" i="6"/>
  <c r="O44" i="6" s="1"/>
  <c r="O65" i="6" s="1"/>
  <c r="P44" i="6" s="1"/>
  <c r="P65" i="6" s="1"/>
  <c r="Q44" i="6" s="1"/>
  <c r="E64" i="6"/>
  <c r="E71" i="6"/>
  <c r="AI27" i="5"/>
  <c r="AP27" i="5" s="1"/>
  <c r="V27" i="5"/>
  <c r="E69" i="6"/>
  <c r="D21" i="14"/>
  <c r="C20" i="2"/>
  <c r="AI30" i="5"/>
  <c r="AP30" i="5" s="1"/>
  <c r="V30" i="5"/>
  <c r="D10" i="14"/>
  <c r="F8" i="5"/>
  <c r="Z8" i="5" s="1"/>
  <c r="F23" i="5" s="1"/>
  <c r="Z23" i="5" s="1"/>
  <c r="C9" i="2"/>
  <c r="D14" i="14"/>
  <c r="F13" i="5"/>
  <c r="Z13" i="5" s="1"/>
  <c r="F28" i="5" s="1"/>
  <c r="Z28" i="5" s="1"/>
  <c r="C13" i="2"/>
  <c r="S3" i="17"/>
  <c r="P4" i="8"/>
  <c r="I15" i="8"/>
  <c r="P15" i="8" s="1"/>
  <c r="J5" i="8"/>
  <c r="CE3" i="13"/>
  <c r="BU3" i="13"/>
  <c r="AG3" i="13"/>
  <c r="BV3" i="13"/>
  <c r="X3" i="13"/>
  <c r="BL3" i="13"/>
  <c r="W3" i="13"/>
  <c r="Y3" i="13" s="1"/>
  <c r="CB3" i="13"/>
  <c r="CD3" i="13" s="1"/>
  <c r="BK3" i="13"/>
  <c r="BF3" i="13"/>
  <c r="AN3" i="13"/>
  <c r="D5" i="14"/>
  <c r="C5" i="2"/>
  <c r="D9" i="14"/>
  <c r="C8" i="2"/>
  <c r="F7" i="5"/>
  <c r="Z7" i="5" s="1"/>
  <c r="F22" i="5" s="1"/>
  <c r="Z22" i="5" s="1"/>
  <c r="M13" i="6"/>
  <c r="P4" i="16"/>
  <c r="E52" i="6"/>
  <c r="E66" i="6"/>
  <c r="H31" i="6"/>
  <c r="D7" i="14"/>
  <c r="C6" i="2"/>
  <c r="F6" i="5"/>
  <c r="Z6" i="5" s="1"/>
  <c r="F21" i="5" s="1"/>
  <c r="Z21" i="5" s="1"/>
  <c r="H30" i="6"/>
  <c r="H24" i="6"/>
  <c r="P14" i="7"/>
  <c r="I16" i="8"/>
  <c r="P16" i="8" s="1"/>
  <c r="P5" i="8"/>
  <c r="F9" i="16"/>
  <c r="F10" i="16"/>
  <c r="F8" i="16"/>
  <c r="F6" i="16"/>
  <c r="F5" i="16"/>
  <c r="F7" i="16"/>
  <c r="C15" i="2"/>
  <c r="F11" i="5"/>
  <c r="Z11" i="5" s="1"/>
  <c r="F26" i="5" s="1"/>
  <c r="Z26" i="5" s="1"/>
  <c r="H32" i="6"/>
  <c r="P16" i="7"/>
  <c r="P17" i="7" s="1"/>
  <c r="P21" i="7" s="1"/>
  <c r="D8" i="14"/>
  <c r="F5" i="5"/>
  <c r="Z5" i="5" s="1"/>
  <c r="F20" i="5" s="1"/>
  <c r="Z20" i="5" s="1"/>
  <c r="C7" i="2"/>
  <c r="BJ3" i="13"/>
  <c r="AL3" i="13"/>
  <c r="AD3" i="13"/>
  <c r="AF3" i="13" s="1"/>
  <c r="BI3" i="13"/>
  <c r="T3" i="13"/>
  <c r="BO3" i="13"/>
  <c r="AQ3" i="13"/>
  <c r="AI3" i="13"/>
  <c r="AA3" i="13"/>
  <c r="BE3" i="13"/>
  <c r="AW3" i="13"/>
  <c r="AY3" i="13" s="1"/>
  <c r="BT3" i="13"/>
  <c r="AX3" i="13"/>
  <c r="AE3" i="13"/>
  <c r="BS3" i="13"/>
  <c r="Z3" i="13"/>
  <c r="AB3" i="13" s="1"/>
  <c r="BN3" i="13"/>
  <c r="AP3" i="13"/>
  <c r="AR3" i="13" s="1"/>
  <c r="AH3" i="13"/>
  <c r="R3" i="13"/>
  <c r="AO3" i="13" s="1"/>
  <c r="BD3" i="13"/>
  <c r="AM3" i="13"/>
  <c r="F12" i="8" l="1"/>
  <c r="L10" i="18"/>
  <c r="I35" i="18"/>
  <c r="E19" i="10"/>
  <c r="E23" i="10" s="1"/>
  <c r="E21" i="10"/>
  <c r="E25" i="10" s="1"/>
  <c r="F16" i="10"/>
  <c r="E20" i="10"/>
  <c r="E24" i="10" s="1"/>
  <c r="E18" i="10"/>
  <c r="F9" i="8"/>
  <c r="F15" i="8"/>
  <c r="F13" i="8"/>
  <c r="F6" i="8"/>
  <c r="M2" i="8" s="1"/>
  <c r="E10" i="8"/>
  <c r="L4" i="8" s="1"/>
  <c r="F5" i="8"/>
  <c r="E11" i="8"/>
  <c r="F11" i="8"/>
  <c r="E17" i="8"/>
  <c r="F17" i="8"/>
  <c r="F7" i="8"/>
  <c r="E7" i="8"/>
  <c r="E8" i="8"/>
  <c r="L5" i="8" s="1"/>
  <c r="S5" i="8" s="1"/>
  <c r="F8" i="8"/>
  <c r="M5" i="8" s="1"/>
  <c r="T5" i="8" s="1"/>
  <c r="F3" i="8"/>
  <c r="E3" i="8"/>
  <c r="E18" i="8"/>
  <c r="F18" i="8"/>
  <c r="E4" i="8"/>
  <c r="F4" i="8"/>
  <c r="E14" i="8"/>
  <c r="F14" i="8"/>
  <c r="E16" i="8"/>
  <c r="F16" i="8"/>
  <c r="E2" i="8"/>
  <c r="S2" i="8" s="1"/>
  <c r="P10" i="16"/>
  <c r="Q10" i="16"/>
  <c r="J13" i="8"/>
  <c r="K2" i="8"/>
  <c r="Q2" i="8"/>
  <c r="R2" i="8" s="1"/>
  <c r="P8" i="16"/>
  <c r="Q8" i="16"/>
  <c r="G31" i="10"/>
  <c r="H30" i="10"/>
  <c r="I30" i="10" s="1"/>
  <c r="L2" i="8"/>
  <c r="Q9" i="16"/>
  <c r="P9" i="16"/>
  <c r="H58" i="6"/>
  <c r="Q21" i="7"/>
  <c r="E68" i="6"/>
  <c r="H63" i="6"/>
  <c r="H71" i="6"/>
  <c r="Q25" i="6"/>
  <c r="R15" i="6"/>
  <c r="Q7" i="16"/>
  <c r="P7" i="16"/>
  <c r="Q5" i="8"/>
  <c r="R5" i="8" s="1"/>
  <c r="J16" i="8"/>
  <c r="K5" i="8"/>
  <c r="R55" i="6"/>
  <c r="Q64" i="6"/>
  <c r="Q14" i="6"/>
  <c r="R10" i="6"/>
  <c r="J17" i="8"/>
  <c r="K17" i="8" s="1"/>
  <c r="K6" i="8"/>
  <c r="Q65" i="6"/>
  <c r="R44" i="6" s="1"/>
  <c r="H29" i="6"/>
  <c r="U43" i="6"/>
  <c r="T52" i="6"/>
  <c r="S53" i="6"/>
  <c r="H18" i="6"/>
  <c r="C33" i="10"/>
  <c r="D32" i="10"/>
  <c r="Q5" i="16"/>
  <c r="P5" i="16"/>
  <c r="H22" i="6"/>
  <c r="Q6" i="16"/>
  <c r="P6" i="16"/>
  <c r="E26" i="6"/>
  <c r="E12" i="6"/>
  <c r="Q3" i="8"/>
  <c r="R3" i="8" s="1"/>
  <c r="J14" i="8"/>
  <c r="K3" i="8"/>
  <c r="Q4" i="8"/>
  <c r="R4" i="8" s="1"/>
  <c r="J15" i="8"/>
  <c r="K4" i="8"/>
  <c r="J33" i="18" l="1"/>
  <c r="J28" i="18"/>
  <c r="J19" i="18"/>
  <c r="J25" i="18"/>
  <c r="J6" i="18"/>
  <c r="J8" i="18"/>
  <c r="J17" i="18"/>
  <c r="J27" i="18"/>
  <c r="J21" i="18"/>
  <c r="J10" i="18"/>
  <c r="J32" i="18"/>
  <c r="J29" i="18"/>
  <c r="J18" i="18"/>
  <c r="J11" i="18"/>
  <c r="J16" i="18"/>
  <c r="J15" i="18"/>
  <c r="J5" i="18"/>
  <c r="J7" i="18"/>
  <c r="J24" i="18"/>
  <c r="J13" i="18"/>
  <c r="J12" i="18"/>
  <c r="J26" i="18"/>
  <c r="J22" i="18"/>
  <c r="J31" i="18"/>
  <c r="L35" i="18"/>
  <c r="M10" i="18" s="1"/>
  <c r="E17" i="10"/>
  <c r="E22" i="10"/>
  <c r="F18" i="10"/>
  <c r="F21" i="10"/>
  <c r="F25" i="10" s="1"/>
  <c r="F29" i="10" s="1"/>
  <c r="F19" i="10"/>
  <c r="F23" i="10" s="1"/>
  <c r="F27" i="10" s="1"/>
  <c r="F20" i="10"/>
  <c r="F24" i="10" s="1"/>
  <c r="F28" i="10" s="1"/>
  <c r="G16" i="10"/>
  <c r="K15" i="8"/>
  <c r="Q15" i="8"/>
  <c r="R15" i="8" s="1"/>
  <c r="R25" i="6"/>
  <c r="S15" i="6"/>
  <c r="K13" i="8"/>
  <c r="Q13" i="8"/>
  <c r="R13" i="8" s="1"/>
  <c r="D33" i="10"/>
  <c r="E32" i="10"/>
  <c r="S10" i="6"/>
  <c r="R14" i="6"/>
  <c r="L6" i="8"/>
  <c r="S4" i="8"/>
  <c r="H57" i="6"/>
  <c r="Q14" i="8"/>
  <c r="R14" i="8" s="1"/>
  <c r="K14" i="8"/>
  <c r="S3" i="8"/>
  <c r="L3" i="8"/>
  <c r="K16" i="8"/>
  <c r="Q16" i="8"/>
  <c r="R16" i="8" s="1"/>
  <c r="M6" i="8"/>
  <c r="T4" i="8"/>
  <c r="J30" i="10"/>
  <c r="K30" i="10" s="1"/>
  <c r="I31" i="10"/>
  <c r="M3" i="8"/>
  <c r="T3" i="8"/>
  <c r="R65" i="6"/>
  <c r="S44" i="6" s="1"/>
  <c r="H61" i="6"/>
  <c r="R7" i="8"/>
  <c r="U52" i="6"/>
  <c r="V43" i="6" s="1"/>
  <c r="T53" i="6"/>
  <c r="R64" i="6"/>
  <c r="S55" i="6"/>
  <c r="K7" i="8"/>
  <c r="J35" i="18" l="1"/>
  <c r="M25" i="18"/>
  <c r="M11" i="18"/>
  <c r="M13" i="18"/>
  <c r="M14" i="18"/>
  <c r="M12" i="18"/>
  <c r="M21" i="18"/>
  <c r="M31" i="18"/>
  <c r="M15" i="18"/>
  <c r="M27" i="18"/>
  <c r="M28" i="18"/>
  <c r="M6" i="18"/>
  <c r="M22" i="18"/>
  <c r="M32" i="18"/>
  <c r="M16" i="18"/>
  <c r="M26" i="18"/>
  <c r="M29" i="18"/>
  <c r="M5" i="18"/>
  <c r="M30" i="18"/>
  <c r="M7" i="18"/>
  <c r="G18" i="10"/>
  <c r="H16" i="10"/>
  <c r="G21" i="10"/>
  <c r="G25" i="10" s="1"/>
  <c r="G19" i="10"/>
  <c r="G23" i="10" s="1"/>
  <c r="G20" i="10"/>
  <c r="G24" i="10" s="1"/>
  <c r="F22" i="10"/>
  <c r="F26" i="10" s="1"/>
  <c r="F31" i="10" s="1"/>
  <c r="F32" i="10" s="1"/>
  <c r="F17" i="10"/>
  <c r="T7" i="8"/>
  <c r="L7" i="8"/>
  <c r="L8" i="8" s="1"/>
  <c r="L17" i="8" s="1"/>
  <c r="M7" i="8"/>
  <c r="M8" i="8" s="1"/>
  <c r="R18" i="8"/>
  <c r="S7" i="8"/>
  <c r="K18" i="8"/>
  <c r="U53" i="6"/>
  <c r="V52" i="6"/>
  <c r="L30" i="10"/>
  <c r="M30" i="10" s="1"/>
  <c r="K31" i="10"/>
  <c r="S64" i="6"/>
  <c r="S65" i="6" s="1"/>
  <c r="T44" i="6" s="1"/>
  <c r="T55" i="6"/>
  <c r="T10" i="6"/>
  <c r="S14" i="6"/>
  <c r="S25" i="6"/>
  <c r="T15" i="6"/>
  <c r="E33" i="10"/>
  <c r="M35" i="18" l="1"/>
  <c r="I16" i="10"/>
  <c r="H20" i="10"/>
  <c r="H24" i="10" s="1"/>
  <c r="H28" i="10" s="1"/>
  <c r="H21" i="10"/>
  <c r="H25" i="10" s="1"/>
  <c r="H29" i="10" s="1"/>
  <c r="H19" i="10"/>
  <c r="H23" i="10" s="1"/>
  <c r="H27" i="10" s="1"/>
  <c r="H18" i="10"/>
  <c r="G17" i="10"/>
  <c r="G22" i="10"/>
  <c r="M17" i="8"/>
  <c r="M14" i="8"/>
  <c r="T14" i="8" s="1"/>
  <c r="M16" i="8"/>
  <c r="T16" i="8" s="1"/>
  <c r="U15" i="6"/>
  <c r="T25" i="6"/>
  <c r="M13" i="8"/>
  <c r="F33" i="10"/>
  <c r="G32" i="10"/>
  <c r="L13" i="8"/>
  <c r="W52" i="6"/>
  <c r="V53" i="6"/>
  <c r="L16" i="8"/>
  <c r="S16" i="8" s="1"/>
  <c r="U55" i="6"/>
  <c r="T64" i="6"/>
  <c r="T65" i="6" s="1"/>
  <c r="U44" i="6" s="1"/>
  <c r="M31" i="10"/>
  <c r="N30" i="10"/>
  <c r="O30" i="10" s="1"/>
  <c r="L15" i="8"/>
  <c r="S15" i="8" s="1"/>
  <c r="U10" i="6"/>
  <c r="T14" i="6"/>
  <c r="M15" i="8"/>
  <c r="T15" i="8" s="1"/>
  <c r="L14" i="8"/>
  <c r="S14" i="8" s="1"/>
  <c r="W43" i="6"/>
  <c r="X43" i="6" s="1"/>
  <c r="H17" i="10" l="1"/>
  <c r="H22" i="10"/>
  <c r="H26" i="10" s="1"/>
  <c r="H31" i="10" s="1"/>
  <c r="H32" i="10" s="1"/>
  <c r="I21" i="10"/>
  <c r="I25" i="10" s="1"/>
  <c r="I19" i="10"/>
  <c r="I23" i="10" s="1"/>
  <c r="I20" i="10"/>
  <c r="I24" i="10" s="1"/>
  <c r="I18" i="10"/>
  <c r="J16" i="10"/>
  <c r="U14" i="6"/>
  <c r="V10" i="6"/>
  <c r="X52" i="6"/>
  <c r="W53" i="6"/>
  <c r="O31" i="10"/>
  <c r="P30" i="10"/>
  <c r="Q30" i="10" s="1"/>
  <c r="S13" i="8"/>
  <c r="S18" i="8" s="1"/>
  <c r="L18" i="8"/>
  <c r="U64" i="6"/>
  <c r="U65" i="6" s="1"/>
  <c r="V44" i="6" s="1"/>
  <c r="V55" i="6"/>
  <c r="G33" i="10"/>
  <c r="U25" i="6"/>
  <c r="V15" i="6"/>
  <c r="T13" i="8"/>
  <c r="T18" i="8" s="1"/>
  <c r="M18" i="8"/>
  <c r="J20" i="10" l="1"/>
  <c r="J24" i="10" s="1"/>
  <c r="J28" i="10" s="1"/>
  <c r="J19" i="10"/>
  <c r="J23" i="10" s="1"/>
  <c r="J27" i="10" s="1"/>
  <c r="J18" i="10"/>
  <c r="J21" i="10"/>
  <c r="J25" i="10" s="1"/>
  <c r="J29" i="10" s="1"/>
  <c r="K16" i="10"/>
  <c r="I22" i="10"/>
  <c r="I17" i="10"/>
  <c r="Y52" i="6"/>
  <c r="X53" i="6"/>
  <c r="V64" i="6"/>
  <c r="V65" i="6" s="1"/>
  <c r="W55" i="6"/>
  <c r="I32" i="10"/>
  <c r="H33" i="10"/>
  <c r="Y43" i="6"/>
  <c r="Z43" i="6" s="1"/>
  <c r="Q31" i="10"/>
  <c r="R30" i="10"/>
  <c r="S30" i="10" s="1"/>
  <c r="V25" i="6"/>
  <c r="W15" i="6"/>
  <c r="V14" i="6"/>
  <c r="W10" i="6"/>
  <c r="L16" i="10" l="1"/>
  <c r="K20" i="10"/>
  <c r="K24" i="10" s="1"/>
  <c r="K18" i="10"/>
  <c r="K21" i="10"/>
  <c r="K25" i="10" s="1"/>
  <c r="K19" i="10"/>
  <c r="K23" i="10" s="1"/>
  <c r="J17" i="10"/>
  <c r="J22" i="10"/>
  <c r="J26" i="10" s="1"/>
  <c r="J31" i="10" s="1"/>
  <c r="J32" i="10" s="1"/>
  <c r="V80" i="6"/>
  <c r="W44" i="6"/>
  <c r="W14" i="6"/>
  <c r="X10" i="6"/>
  <c r="I33" i="10"/>
  <c r="W64" i="6"/>
  <c r="X55" i="6"/>
  <c r="W25" i="6"/>
  <c r="X15" i="6"/>
  <c r="T30" i="10"/>
  <c r="U30" i="10" s="1"/>
  <c r="S31" i="10"/>
  <c r="Z52" i="6"/>
  <c r="Y53" i="6"/>
  <c r="K22" i="10" l="1"/>
  <c r="K17" i="10"/>
  <c r="M16" i="10"/>
  <c r="L20" i="10"/>
  <c r="L24" i="10" s="1"/>
  <c r="L28" i="10" s="1"/>
  <c r="L18" i="10"/>
  <c r="L19" i="10"/>
  <c r="L23" i="10" s="1"/>
  <c r="L27" i="10" s="1"/>
  <c r="L21" i="10"/>
  <c r="L25" i="10" s="1"/>
  <c r="L29" i="10" s="1"/>
  <c r="U31" i="10"/>
  <c r="V30" i="10"/>
  <c r="W30" i="10" s="1"/>
  <c r="Z53" i="6"/>
  <c r="AA52" i="6"/>
  <c r="X25" i="6"/>
  <c r="Y15" i="6"/>
  <c r="AA43" i="6"/>
  <c r="AB43" i="6" s="1"/>
  <c r="X14" i="6"/>
  <c r="Y10" i="6"/>
  <c r="X64" i="6"/>
  <c r="Y55" i="6"/>
  <c r="W65" i="6"/>
  <c r="X44" i="6" s="1"/>
  <c r="K32" i="10"/>
  <c r="J33" i="10"/>
  <c r="L22" i="10" l="1"/>
  <c r="L26" i="10" s="1"/>
  <c r="L31" i="10" s="1"/>
  <c r="L32" i="10" s="1"/>
  <c r="L17" i="10"/>
  <c r="M20" i="10"/>
  <c r="M24" i="10" s="1"/>
  <c r="M18" i="10"/>
  <c r="M19" i="10"/>
  <c r="M23" i="10" s="1"/>
  <c r="N16" i="10"/>
  <c r="M21" i="10"/>
  <c r="M25" i="10" s="1"/>
  <c r="Z55" i="6"/>
  <c r="Y64" i="6"/>
  <c r="Y25" i="6"/>
  <c r="Z15" i="6"/>
  <c r="AA53" i="6"/>
  <c r="AB52" i="6"/>
  <c r="X65" i="6"/>
  <c r="Y44" i="6" s="1"/>
  <c r="Y65" i="6" s="1"/>
  <c r="Z44" i="6" s="1"/>
  <c r="K33" i="10"/>
  <c r="W31" i="10"/>
  <c r="X30" i="10"/>
  <c r="Y30" i="10" s="1"/>
  <c r="Y14" i="6"/>
  <c r="Z10" i="6"/>
  <c r="O16" i="10" l="1"/>
  <c r="N20" i="10"/>
  <c r="N24" i="10" s="1"/>
  <c r="N28" i="10" s="1"/>
  <c r="N19" i="10"/>
  <c r="N23" i="10" s="1"/>
  <c r="N27" i="10" s="1"/>
  <c r="N21" i="10"/>
  <c r="N25" i="10" s="1"/>
  <c r="N29" i="10" s="1"/>
  <c r="N18" i="10"/>
  <c r="M17" i="10"/>
  <c r="M22" i="10"/>
  <c r="Z14" i="6"/>
  <c r="AA10" i="6"/>
  <c r="AB53" i="6"/>
  <c r="AC52" i="6"/>
  <c r="Z64" i="6"/>
  <c r="Z65" i="6" s="1"/>
  <c r="AA44" i="6" s="1"/>
  <c r="AA55" i="6"/>
  <c r="Z25" i="6"/>
  <c r="AA15" i="6"/>
  <c r="Y31" i="10"/>
  <c r="Z30" i="10"/>
  <c r="AA30" i="10" s="1"/>
  <c r="L33" i="10"/>
  <c r="M32" i="10"/>
  <c r="AC43" i="6"/>
  <c r="N22" i="10" l="1"/>
  <c r="N26" i="10" s="1"/>
  <c r="N31" i="10" s="1"/>
  <c r="N32" i="10" s="1"/>
  <c r="N17" i="10"/>
  <c r="O21" i="10"/>
  <c r="O25" i="10" s="1"/>
  <c r="O20" i="10"/>
  <c r="O24" i="10" s="1"/>
  <c r="O19" i="10"/>
  <c r="O23" i="10" s="1"/>
  <c r="O18" i="10"/>
  <c r="P16" i="10"/>
  <c r="AA25" i="6"/>
  <c r="AB15" i="6"/>
  <c r="AA14" i="6"/>
  <c r="AB10" i="6"/>
  <c r="AC53" i="6"/>
  <c r="AD52" i="6"/>
  <c r="M33" i="10"/>
  <c r="AD43" i="6"/>
  <c r="AB30" i="10"/>
  <c r="AC30" i="10" s="1"/>
  <c r="AA31" i="10"/>
  <c r="AA64" i="6"/>
  <c r="AA65" i="6" s="1"/>
  <c r="AB44" i="6" s="1"/>
  <c r="AB55" i="6"/>
  <c r="P19" i="10" l="1"/>
  <c r="P23" i="10" s="1"/>
  <c r="P27" i="10" s="1"/>
  <c r="Q16" i="10"/>
  <c r="P20" i="10"/>
  <c r="P24" i="10" s="1"/>
  <c r="P28" i="10" s="1"/>
  <c r="P21" i="10"/>
  <c r="P25" i="10" s="1"/>
  <c r="P29" i="10" s="1"/>
  <c r="P18" i="10"/>
  <c r="O17" i="10"/>
  <c r="O22" i="10"/>
  <c r="AB64" i="6"/>
  <c r="AB65" i="6" s="1"/>
  <c r="AC44" i="6" s="1"/>
  <c r="AC55" i="6"/>
  <c r="AB14" i="6"/>
  <c r="AC10" i="6"/>
  <c r="AD30" i="10"/>
  <c r="AC31" i="10"/>
  <c r="AC15" i="6"/>
  <c r="AB25" i="6"/>
  <c r="AD53" i="6"/>
  <c r="M53" i="6" s="1"/>
  <c r="M52" i="6"/>
  <c r="M4" i="6"/>
  <c r="N4" i="6" s="1"/>
  <c r="N33" i="10"/>
  <c r="O32" i="10"/>
  <c r="P17" i="10" l="1"/>
  <c r="P22" i="10"/>
  <c r="P26" i="10" s="1"/>
  <c r="P31" i="10" s="1"/>
  <c r="Q20" i="10"/>
  <c r="Q24" i="10" s="1"/>
  <c r="Q18" i="10"/>
  <c r="Q19" i="10"/>
  <c r="Q23" i="10" s="1"/>
  <c r="Q21" i="10"/>
  <c r="Q25" i="10" s="1"/>
  <c r="R16" i="10"/>
  <c r="B51" i="6"/>
  <c r="B48" i="6"/>
  <c r="B8" i="6"/>
  <c r="B7" i="6"/>
  <c r="A54" i="6"/>
  <c r="B47" i="6"/>
  <c r="B49" i="6"/>
  <c r="B46" i="6"/>
  <c r="B9" i="6"/>
  <c r="B12" i="6"/>
  <c r="B6" i="6"/>
  <c r="B11" i="6"/>
  <c r="B45" i="6"/>
  <c r="B50" i="6"/>
  <c r="B13" i="6"/>
  <c r="P32" i="10"/>
  <c r="O33" i="10"/>
  <c r="AC14" i="6"/>
  <c r="M14" i="6" s="1"/>
  <c r="A15" i="6" s="1"/>
  <c r="M10" i="6"/>
  <c r="E51" i="6"/>
  <c r="E65" i="6"/>
  <c r="B52" i="6"/>
  <c r="AC25" i="6"/>
  <c r="M25" i="6" s="1"/>
  <c r="A35" i="6" s="1"/>
  <c r="M15" i="6"/>
  <c r="AC64" i="6"/>
  <c r="AC65" i="6" s="1"/>
  <c r="AD44" i="6" s="1"/>
  <c r="AD55" i="6"/>
  <c r="O4" i="6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E11" i="6"/>
  <c r="Q22" i="10" l="1"/>
  <c r="Q17" i="10"/>
  <c r="R19" i="10"/>
  <c r="R23" i="10" s="1"/>
  <c r="R27" i="10" s="1"/>
  <c r="R18" i="10"/>
  <c r="R21" i="10"/>
  <c r="R25" i="10" s="1"/>
  <c r="R29" i="10" s="1"/>
  <c r="S16" i="10"/>
  <c r="R20" i="10"/>
  <c r="R24" i="10" s="1"/>
  <c r="R28" i="10" s="1"/>
  <c r="B53" i="6"/>
  <c r="AD64" i="6"/>
  <c r="M64" i="6" s="1"/>
  <c r="M55" i="6"/>
  <c r="E10" i="6"/>
  <c r="B10" i="6"/>
  <c r="B14" i="6" s="1"/>
  <c r="E34" i="6"/>
  <c r="E63" i="6"/>
  <c r="E49" i="6"/>
  <c r="H27" i="6"/>
  <c r="B24" i="6"/>
  <c r="Q32" i="10"/>
  <c r="P33" i="10"/>
  <c r="S20" i="10" l="1"/>
  <c r="S24" i="10" s="1"/>
  <c r="S18" i="10"/>
  <c r="S21" i="10"/>
  <c r="S25" i="10" s="1"/>
  <c r="S19" i="10"/>
  <c r="S23" i="10" s="1"/>
  <c r="T16" i="10"/>
  <c r="R22" i="10"/>
  <c r="R26" i="10" s="1"/>
  <c r="R31" i="10" s="1"/>
  <c r="R32" i="10" s="1"/>
  <c r="R17" i="10"/>
  <c r="Q33" i="10"/>
  <c r="B64" i="6"/>
  <c r="H67" i="6"/>
  <c r="A74" i="6"/>
  <c r="B70" i="6"/>
  <c r="B63" i="6"/>
  <c r="B65" i="6"/>
  <c r="B26" i="6"/>
  <c r="B67" i="6"/>
  <c r="B29" i="6"/>
  <c r="B30" i="6"/>
  <c r="B33" i="6" s="1"/>
  <c r="B32" i="6"/>
  <c r="B31" i="6"/>
  <c r="B66" i="6"/>
  <c r="B28" i="6"/>
  <c r="B25" i="6"/>
  <c r="B27" i="6"/>
  <c r="B69" i="6"/>
  <c r="B68" i="6"/>
  <c r="B71" i="6"/>
  <c r="M65" i="6"/>
  <c r="F63" i="6"/>
  <c r="E29" i="6"/>
  <c r="H26" i="6"/>
  <c r="E74" i="6"/>
  <c r="AD65" i="6"/>
  <c r="M5" i="6" s="1"/>
  <c r="T21" i="10" l="1"/>
  <c r="T25" i="10" s="1"/>
  <c r="T29" i="10" s="1"/>
  <c r="U16" i="10"/>
  <c r="T20" i="10"/>
  <c r="T24" i="10" s="1"/>
  <c r="T28" i="10" s="1"/>
  <c r="T19" i="10"/>
  <c r="T23" i="10" s="1"/>
  <c r="T27" i="10" s="1"/>
  <c r="T18" i="10"/>
  <c r="S17" i="10"/>
  <c r="S22" i="10"/>
  <c r="F58" i="6"/>
  <c r="F57" i="6"/>
  <c r="F55" i="6"/>
  <c r="F45" i="6"/>
  <c r="F47" i="6"/>
  <c r="F54" i="6"/>
  <c r="F60" i="6"/>
  <c r="F70" i="6"/>
  <c r="F72" i="6"/>
  <c r="F61" i="6"/>
  <c r="F56" i="6"/>
  <c r="F73" i="6"/>
  <c r="F46" i="6"/>
  <c r="F50" i="6"/>
  <c r="F44" i="6"/>
  <c r="F69" i="6"/>
  <c r="F66" i="6"/>
  <c r="F52" i="6"/>
  <c r="F71" i="6"/>
  <c r="F64" i="6"/>
  <c r="F68" i="6"/>
  <c r="F51" i="6"/>
  <c r="F65" i="6"/>
  <c r="N5" i="6"/>
  <c r="M26" i="6"/>
  <c r="S32" i="10"/>
  <c r="R33" i="10"/>
  <c r="H16" i="6"/>
  <c r="H65" i="6"/>
  <c r="F49" i="6"/>
  <c r="B72" i="6"/>
  <c r="T22" i="10" l="1"/>
  <c r="T26" i="10" s="1"/>
  <c r="T31" i="10" s="1"/>
  <c r="T32" i="10" s="1"/>
  <c r="T17" i="10"/>
  <c r="U19" i="10"/>
  <c r="U23" i="10" s="1"/>
  <c r="U21" i="10"/>
  <c r="U25" i="10" s="1"/>
  <c r="U18" i="10"/>
  <c r="U20" i="10"/>
  <c r="U24" i="10" s="1"/>
  <c r="V16" i="10"/>
  <c r="E25" i="6"/>
  <c r="N26" i="6"/>
  <c r="O5" i="6" s="1"/>
  <c r="O26" i="6" s="1"/>
  <c r="P5" i="6" s="1"/>
  <c r="P26" i="6" s="1"/>
  <c r="Q5" i="6" s="1"/>
  <c r="Q26" i="6" s="1"/>
  <c r="R5" i="6" s="1"/>
  <c r="R26" i="6" s="1"/>
  <c r="S5" i="6" s="1"/>
  <c r="S26" i="6" s="1"/>
  <c r="T5" i="6" s="1"/>
  <c r="T26" i="6" s="1"/>
  <c r="U5" i="6" s="1"/>
  <c r="U26" i="6" s="1"/>
  <c r="V5" i="6" s="1"/>
  <c r="V26" i="6" s="1"/>
  <c r="W5" i="6" s="1"/>
  <c r="W26" i="6" s="1"/>
  <c r="X5" i="6" s="1"/>
  <c r="X26" i="6" s="1"/>
  <c r="Y5" i="6" s="1"/>
  <c r="Y26" i="6" s="1"/>
  <c r="Z5" i="6" s="1"/>
  <c r="Z26" i="6" s="1"/>
  <c r="AA5" i="6" s="1"/>
  <c r="AA26" i="6" s="1"/>
  <c r="AB5" i="6" s="1"/>
  <c r="AB26" i="6" s="1"/>
  <c r="AC5" i="6" s="1"/>
  <c r="AC26" i="6" s="1"/>
  <c r="F74" i="6"/>
  <c r="H55" i="6"/>
  <c r="H10" i="6"/>
  <c r="S33" i="10"/>
  <c r="V19" i="10" l="1"/>
  <c r="V23" i="10" s="1"/>
  <c r="V27" i="10" s="1"/>
  <c r="V20" i="10"/>
  <c r="V24" i="10" s="1"/>
  <c r="V28" i="10" s="1"/>
  <c r="W16" i="10"/>
  <c r="V18" i="10"/>
  <c r="V21" i="10"/>
  <c r="V25" i="10" s="1"/>
  <c r="V29" i="10" s="1"/>
  <c r="U17" i="10"/>
  <c r="U22" i="10"/>
  <c r="H35" i="6"/>
  <c r="H49" i="6"/>
  <c r="T33" i="10"/>
  <c r="U32" i="10"/>
  <c r="E24" i="6"/>
  <c r="V17" i="10" l="1"/>
  <c r="V22" i="10"/>
  <c r="V26" i="10" s="1"/>
  <c r="V31" i="10" s="1"/>
  <c r="V32" i="10" s="1"/>
  <c r="W20" i="10"/>
  <c r="W24" i="10" s="1"/>
  <c r="W18" i="10"/>
  <c r="X16" i="10"/>
  <c r="W21" i="10"/>
  <c r="W25" i="10" s="1"/>
  <c r="W19" i="10"/>
  <c r="W23" i="10" s="1"/>
  <c r="U33" i="10"/>
  <c r="E35" i="6"/>
  <c r="F24" i="6" s="1"/>
  <c r="H74" i="6"/>
  <c r="I49" i="6" s="1"/>
  <c r="X19" i="10" l="1"/>
  <c r="X23" i="10" s="1"/>
  <c r="X27" i="10" s="1"/>
  <c r="X18" i="10"/>
  <c r="Y16" i="10"/>
  <c r="X21" i="10"/>
  <c r="X25" i="10" s="1"/>
  <c r="X29" i="10" s="1"/>
  <c r="X20" i="10"/>
  <c r="X24" i="10" s="1"/>
  <c r="X28" i="10" s="1"/>
  <c r="W22" i="10"/>
  <c r="W17" i="10"/>
  <c r="V33" i="10"/>
  <c r="W32" i="10"/>
  <c r="I12" i="6"/>
  <c r="I6" i="6"/>
  <c r="I13" i="6"/>
  <c r="I74" i="6"/>
  <c r="I53" i="6"/>
  <c r="I50" i="6"/>
  <c r="I15" i="6"/>
  <c r="I11" i="6"/>
  <c r="I54" i="6"/>
  <c r="I14" i="6"/>
  <c r="I51" i="6"/>
  <c r="I45" i="6"/>
  <c r="I7" i="6"/>
  <c r="I5" i="6"/>
  <c r="I44" i="6"/>
  <c r="I46" i="6"/>
  <c r="I23" i="6"/>
  <c r="I52" i="6"/>
  <c r="I70" i="6"/>
  <c r="I66" i="6"/>
  <c r="I62" i="6"/>
  <c r="I32" i="6"/>
  <c r="I31" i="6"/>
  <c r="I28" i="6"/>
  <c r="I30" i="6"/>
  <c r="I68" i="6"/>
  <c r="I69" i="6"/>
  <c r="I19" i="6"/>
  <c r="I24" i="6"/>
  <c r="I29" i="6"/>
  <c r="I58" i="6"/>
  <c r="I63" i="6"/>
  <c r="I22" i="6"/>
  <c r="I71" i="6"/>
  <c r="I18" i="6"/>
  <c r="I57" i="6"/>
  <c r="I61" i="6"/>
  <c r="I27" i="6"/>
  <c r="H75" i="6"/>
  <c r="I26" i="6"/>
  <c r="I67" i="6"/>
  <c r="I16" i="6"/>
  <c r="I65" i="6"/>
  <c r="I10" i="6"/>
  <c r="I55" i="6"/>
  <c r="I35" i="6"/>
  <c r="H36" i="6"/>
  <c r="F8" i="6"/>
  <c r="F19" i="6"/>
  <c r="F16" i="6"/>
  <c r="F17" i="6"/>
  <c r="F22" i="6"/>
  <c r="F33" i="6"/>
  <c r="F18" i="6"/>
  <c r="F7" i="6"/>
  <c r="F21" i="6"/>
  <c r="F6" i="6"/>
  <c r="F30" i="6"/>
  <c r="F5" i="6"/>
  <c r="F15" i="6"/>
  <c r="F31" i="6"/>
  <c r="F32" i="6"/>
  <c r="F27" i="6"/>
  <c r="F13" i="6"/>
  <c r="F12" i="6"/>
  <c r="F26" i="6"/>
  <c r="F11" i="6"/>
  <c r="F34" i="6"/>
  <c r="F10" i="6"/>
  <c r="F29" i="6"/>
  <c r="F35" i="6" s="1"/>
  <c r="F25" i="6"/>
  <c r="Y21" i="10" l="1"/>
  <c r="Y25" i="10" s="1"/>
  <c r="Y19" i="10"/>
  <c r="Y23" i="10" s="1"/>
  <c r="Z16" i="10"/>
  <c r="Y18" i="10"/>
  <c r="Y20" i="10"/>
  <c r="Y24" i="10" s="1"/>
  <c r="X22" i="10"/>
  <c r="X26" i="10" s="1"/>
  <c r="X31" i="10" s="1"/>
  <c r="X32" i="10" s="1"/>
  <c r="X17" i="10"/>
  <c r="W33" i="10"/>
  <c r="Y22" i="10" l="1"/>
  <c r="Y17" i="10"/>
  <c r="Z18" i="10"/>
  <c r="Z21" i="10"/>
  <c r="Z25" i="10" s="1"/>
  <c r="Z29" i="10" s="1"/>
  <c r="AA16" i="10"/>
  <c r="Z20" i="10"/>
  <c r="Z24" i="10" s="1"/>
  <c r="Z28" i="10" s="1"/>
  <c r="Z19" i="10"/>
  <c r="Z23" i="10" s="1"/>
  <c r="Z27" i="10" s="1"/>
  <c r="Y32" i="10"/>
  <c r="X33" i="10"/>
  <c r="AB16" i="10" l="1"/>
  <c r="AA20" i="10"/>
  <c r="AA24" i="10" s="1"/>
  <c r="AA18" i="10"/>
  <c r="AA19" i="10"/>
  <c r="AA23" i="10" s="1"/>
  <c r="AA21" i="10"/>
  <c r="AA25" i="10" s="1"/>
  <c r="Z22" i="10"/>
  <c r="Z26" i="10" s="1"/>
  <c r="Z31" i="10" s="1"/>
  <c r="Z32" i="10" s="1"/>
  <c r="Z17" i="10"/>
  <c r="Y33" i="10"/>
  <c r="AA17" i="10" l="1"/>
  <c r="AA22" i="10"/>
  <c r="AC16" i="10"/>
  <c r="AB20" i="10"/>
  <c r="AB24" i="10" s="1"/>
  <c r="AB28" i="10" s="1"/>
  <c r="AB19" i="10"/>
  <c r="AB23" i="10" s="1"/>
  <c r="AB27" i="10" s="1"/>
  <c r="AB18" i="10"/>
  <c r="AB21" i="10"/>
  <c r="AB25" i="10" s="1"/>
  <c r="AB29" i="10" s="1"/>
  <c r="AA32" i="10"/>
  <c r="Z33" i="10"/>
  <c r="AB17" i="10" l="1"/>
  <c r="AB22" i="10"/>
  <c r="AB26" i="10" s="1"/>
  <c r="AB31" i="10" s="1"/>
  <c r="AB32" i="10" s="1"/>
  <c r="AC18" i="10"/>
  <c r="AC21" i="10"/>
  <c r="AC25" i="10" s="1"/>
  <c r="AD16" i="10"/>
  <c r="AC19" i="10"/>
  <c r="AC23" i="10" s="1"/>
  <c r="AC20" i="10"/>
  <c r="AC24" i="10" s="1"/>
  <c r="AA33" i="10"/>
  <c r="AD19" i="10" l="1"/>
  <c r="AD23" i="10" s="1"/>
  <c r="AD27" i="10" s="1"/>
  <c r="AE16" i="10"/>
  <c r="AD21" i="10"/>
  <c r="AD25" i="10" s="1"/>
  <c r="AD29" i="10" s="1"/>
  <c r="AD18" i="10"/>
  <c r="AD20" i="10"/>
  <c r="AD24" i="10" s="1"/>
  <c r="AD28" i="10" s="1"/>
  <c r="AC22" i="10"/>
  <c r="AC17" i="10"/>
  <c r="AB33" i="10"/>
  <c r="AC32" i="10"/>
  <c r="AE21" i="10" l="1"/>
  <c r="AE19" i="10"/>
  <c r="AE18" i="10"/>
  <c r="AE20" i="10"/>
  <c r="AF16" i="10"/>
  <c r="AD17" i="10"/>
  <c r="AD22" i="10"/>
  <c r="AD26" i="10" s="1"/>
  <c r="AD31" i="10" s="1"/>
  <c r="AD32" i="10" s="1"/>
  <c r="AD33" i="10" s="1"/>
  <c r="AC33" i="10"/>
  <c r="AF21" i="10" l="1"/>
  <c r="AF19" i="10"/>
  <c r="AF18" i="10"/>
  <c r="AG16" i="10"/>
  <c r="AF20" i="10"/>
  <c r="AG19" i="10" l="1"/>
  <c r="AH16" i="10"/>
  <c r="AG21" i="10"/>
  <c r="AG20" i="10"/>
  <c r="AG18" i="10"/>
  <c r="AI16" i="10" l="1"/>
  <c r="AH20" i="10"/>
  <c r="AH18" i="10"/>
  <c r="AH21" i="10"/>
  <c r="AH19" i="10"/>
  <c r="AI21" i="10" l="1"/>
  <c r="AI19" i="10"/>
  <c r="AJ16" i="10"/>
  <c r="AI20" i="10"/>
  <c r="AI18" i="10"/>
  <c r="AJ21" i="10" l="1"/>
  <c r="AJ20" i="10"/>
  <c r="AJ18" i="10"/>
  <c r="AJ19" i="10"/>
  <c r="E5" i="18" l="1"/>
  <c r="E35" i="18" l="1"/>
  <c r="F25" i="18" l="1"/>
  <c r="F30" i="18"/>
  <c r="F29" i="18"/>
  <c r="F10" i="18"/>
  <c r="F31" i="18"/>
  <c r="F7" i="18"/>
  <c r="F13" i="18"/>
  <c r="F22" i="18"/>
  <c r="F12" i="18"/>
  <c r="F6" i="18"/>
  <c r="F32" i="18"/>
  <c r="F26" i="18"/>
  <c r="F27" i="18"/>
  <c r="F11" i="18"/>
  <c r="F15" i="18"/>
  <c r="F16" i="18"/>
  <c r="F28" i="18"/>
  <c r="F23" i="18"/>
  <c r="F14" i="18"/>
  <c r="F21" i="18"/>
  <c r="F5" i="18"/>
  <c r="F35" i="1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K3" authorId="0" shapeId="0" xr:uid="{00000000-0006-0000-0100-000001000000}">
      <text>
        <r>
          <rPr>
            <sz val="8"/>
            <rFont val="Tahoma"/>
            <family val="2"/>
          </rPr>
          <t>Lid*Lid*Exp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U45" authorId="0" shapeId="0" xr:uid="{00000000-0006-0000-0200-000001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Hab Inicial
</t>
        </r>
      </text>
    </comment>
    <comment ref="AW45" authorId="0" shapeId="0" xr:uid="{00000000-0006-0000-0200-000002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Hab Inicial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D8" authorId="0" shapeId="0" xr:uid="{8AC689DE-EFE3-43DC-B3DA-9EE5D7EDB98A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Jugadores+Inmobilizado-Capital (año anterior todo)</t>
        </r>
      </text>
    </comment>
    <comment ref="K8" authorId="0" shapeId="0" xr:uid="{8D8E05F8-C234-4DD4-B765-B8D9C8155F2F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Jugadores+Inmobilizado-Capital (año anterior todo)</t>
        </r>
      </text>
    </comment>
    <comment ref="E10" authorId="0" shapeId="0" xr:uid="{49366EE7-754D-46B7-98C8-F24349D993BB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Se resta las amortizaciones, que se consideran perdida de activos y perdidas de beneficios</t>
        </r>
      </text>
    </comment>
    <comment ref="L10" authorId="0" shapeId="0" xr:uid="{42C748C5-C0D2-49EC-8D36-21D3DDDCD63C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Se resta las amortizaciones, que se consideran perdida de activos y perdidas de beneficios</t>
        </r>
      </text>
    </comment>
    <comment ref="D16" authorId="0" shapeId="0" xr:uid="{45A22F96-851E-4B70-B915-494F0ACEC209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Ingresos anuales - Pagos anuales</t>
        </r>
      </text>
    </comment>
    <comment ref="K16" authorId="0" shapeId="0" xr:uid="{1B76C932-D046-4DA8-8FBC-36F28D849F54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Ingresos anuales - Pagos anuales</t>
        </r>
      </text>
    </comment>
    <comment ref="Y22" authorId="0" shapeId="0" xr:uid="{538A32EB-8ADF-4E92-A4B7-483BC33BE6F6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Para cuadrar Caja...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G8" authorId="0" shapeId="0" xr:uid="{00000000-0006-0000-0500-000006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Jugadores+Inmobilizado-Capital (año anterior todo)</t>
        </r>
      </text>
    </comment>
    <comment ref="H10" authorId="0" shapeId="0" xr:uid="{00000000-0006-0000-0500-000007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Se resta las amortizaciones, que se consideran perdida de activos y perdidas de beneficios</t>
        </r>
      </text>
    </comment>
    <comment ref="G16" authorId="0" shapeId="0" xr:uid="{00000000-0006-0000-0500-000008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Ingresos anuales - Pagos anuales</t>
        </r>
      </text>
    </comment>
    <comment ref="H19" authorId="0" shapeId="0" xr:uid="{00000000-0006-0000-0500-000009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incluye sueldo primera semana</t>
        </r>
      </text>
    </comment>
    <comment ref="U22" authorId="0" shapeId="0" xr:uid="{00000000-0006-0000-0500-00000A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Para cuadrar Caja...</t>
        </r>
      </text>
    </comment>
    <comment ref="G47" authorId="0" shapeId="0" xr:uid="{00000000-0006-0000-0500-000001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Jugadores+Inmobilizado-Capital (año anterior todo)</t>
        </r>
      </text>
    </comment>
    <comment ref="H49" authorId="0" shapeId="0" xr:uid="{00000000-0006-0000-0500-000002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Se resta las amortizaciones, que se consideran perdida de activos y perdidas de beneficios</t>
        </r>
      </text>
    </comment>
    <comment ref="G55" authorId="0" shapeId="0" xr:uid="{00000000-0006-0000-0500-000003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Ingresos anuales - Pagos anuales</t>
        </r>
      </text>
    </comment>
    <comment ref="H58" authorId="0" shapeId="0" xr:uid="{00000000-0006-0000-0500-000004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incluye sueldo primera semana</t>
        </r>
      </text>
    </comment>
    <comment ref="U61" authorId="0" shapeId="0" xr:uid="{00000000-0006-0000-0500-000005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Para cuadrar Caja...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C21" authorId="0" shapeId="0" xr:uid="{00000000-0006-0000-0C00-000001000000}">
      <text>
        <r>
          <rPr>
            <b/>
            <sz val="8"/>
            <rFont val="Tahoma"/>
            <family val="2"/>
          </rPr>
          <t>Sacado del manual no escrito, no se sabe que son estos valores</t>
        </r>
      </text>
    </comment>
    <comment ref="D21" authorId="0" shapeId="0" xr:uid="{00000000-0006-0000-0C00-000002000000}">
      <text>
        <r>
          <rPr>
            <b/>
            <sz val="8"/>
            <rFont val="Tahoma"/>
            <family val="2"/>
          </rPr>
          <t>En partidos de Torneo con el predictor
-Campo neutral
-Espiritu: Ilusionats (6)
-Confiança: Alta (7)
Entrenador NEUTRO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I7" authorId="0" shapeId="0" xr:uid="{00000000-0006-0000-0F00-000001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por sueldo, minimo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L7" authorId="0" shapeId="0" xr:uid="{00000000-0006-0000-1000-000001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por sueldo, minimo</t>
        </r>
      </text>
    </comment>
  </commentList>
</comments>
</file>

<file path=xl/sharedStrings.xml><?xml version="1.0" encoding="utf-8"?>
<sst xmlns="http://schemas.openxmlformats.org/spreadsheetml/2006/main" count="2296" uniqueCount="1010">
  <si>
    <t>Actualitzacio</t>
  </si>
  <si>
    <t>Rank</t>
  </si>
  <si>
    <t>Millor Qualificació</t>
  </si>
  <si>
    <t>Més Partits Jugats</t>
  </si>
  <si>
    <t>Més vegades Capità</t>
  </si>
  <si>
    <t>Sául Piña</t>
  </si>
  <si>
    <t>14,5*</t>
  </si>
  <si>
    <t>Damián Sala</t>
  </si>
  <si>
    <t>Brunon Chuda</t>
  </si>
  <si>
    <t>Cosme Fonteboa</t>
  </si>
  <si>
    <t>Joãozinho do Mato</t>
  </si>
  <si>
    <t>13*</t>
  </si>
  <si>
    <t>Pere Beltran</t>
  </si>
  <si>
    <t>Andrin Bärtsch</t>
  </si>
  <si>
    <t>Enrique Cubas</t>
  </si>
  <si>
    <t>Millor partit</t>
  </si>
  <si>
    <t>Patrick Werner</t>
  </si>
  <si>
    <t>12,5*</t>
  </si>
  <si>
    <t>Adam Moss</t>
  </si>
  <si>
    <t>Leo Hilpinen</t>
  </si>
  <si>
    <t>Francesc Añigas</t>
  </si>
  <si>
    <t>CASA</t>
  </si>
  <si>
    <t>Vader - Rayitos</t>
  </si>
  <si>
    <t>487 HTS</t>
  </si>
  <si>
    <t>Rasheed Da'na</t>
  </si>
  <si>
    <t>12*</t>
  </si>
  <si>
    <t>Juan Garcia Peñuela</t>
  </si>
  <si>
    <t>Iván Real Figueroa</t>
  </si>
  <si>
    <t>FORA</t>
  </si>
  <si>
    <t>Xermade - Vader</t>
  </si>
  <si>
    <t>472 HTS</t>
  </si>
  <si>
    <t>Valeri Gomis</t>
  </si>
  <si>
    <t>11,5*</t>
  </si>
  <si>
    <t>Emilio Rojas</t>
  </si>
  <si>
    <t>Wil Duffill</t>
  </si>
  <si>
    <t>Porteria Imbatuda</t>
  </si>
  <si>
    <t>Kendor Nagiturri</t>
  </si>
  <si>
    <t>11*</t>
  </si>
  <si>
    <t>Leonardo Baltico</t>
  </si>
  <si>
    <t>Gianfranco Rezza</t>
  </si>
  <si>
    <t>10,5*</t>
  </si>
  <si>
    <t>Adamantios Fikias</t>
  </si>
  <si>
    <t>Alex Trantre</t>
  </si>
  <si>
    <t>Cornel Boicea</t>
  </si>
  <si>
    <t>Fernando Juárez Sierra</t>
  </si>
  <si>
    <t>Jorge Asúa</t>
  </si>
  <si>
    <t>Jorge Walter Whitaker</t>
  </si>
  <si>
    <t>Pasqual Vilar</t>
  </si>
  <si>
    <t>Horacy Dzienis</t>
  </si>
  <si>
    <t>Guillermo Pedrajas</t>
  </si>
  <si>
    <t>Antoine Dupré</t>
  </si>
  <si>
    <t>Co Wolbers</t>
  </si>
  <si>
    <t>Robert Kavcic</t>
  </si>
  <si>
    <t>Károly Serfel</t>
  </si>
  <si>
    <t>10*</t>
  </si>
  <si>
    <t>Alberto Ercilla</t>
  </si>
  <si>
    <t>Enrique Haro</t>
  </si>
  <si>
    <t>Gongotzon Ialdebere</t>
  </si>
  <si>
    <t>Augustin Demaison</t>
  </si>
  <si>
    <t>Fabian Fabre</t>
  </si>
  <si>
    <t>Giuseppe Peirolo</t>
  </si>
  <si>
    <t>Aimar Lasalde</t>
  </si>
  <si>
    <t>Adolfo Vizcaino</t>
  </si>
  <si>
    <t>Ibiur Altxakoa</t>
  </si>
  <si>
    <t>Venanci Oset</t>
  </si>
  <si>
    <t>Nicolae Hornet</t>
  </si>
  <si>
    <t>Ludwik Mojéscik</t>
  </si>
  <si>
    <t>Christophe Méjean</t>
  </si>
  <si>
    <t>Berto Abandero</t>
  </si>
  <si>
    <t>Ceferino Sava</t>
  </si>
  <si>
    <t>Emilio Mochelato</t>
  </si>
  <si>
    <t>9,5*</t>
  </si>
  <si>
    <t>Jos Pittors</t>
  </si>
  <si>
    <t>Aleksi Alarotu</t>
  </si>
  <si>
    <t>Miquel Fernandez</t>
  </si>
  <si>
    <t>Arnulfo Cuntis</t>
  </si>
  <si>
    <t>Pepijn Zwaan</t>
  </si>
  <si>
    <t>Malte Neulinger</t>
  </si>
  <si>
    <t>Armengol Cols</t>
  </si>
  <si>
    <t>Iyad Chaabo</t>
  </si>
  <si>
    <t>Manolo Negrín</t>
  </si>
  <si>
    <t>Pablo Goenaga</t>
  </si>
  <si>
    <t>Mario Omarini</t>
  </si>
  <si>
    <t>Morgan Thomas</t>
  </si>
  <si>
    <t>John Chung</t>
  </si>
  <si>
    <t>Pieter Pelleboer</t>
  </si>
  <si>
    <t>Wicher Ossedrijver</t>
  </si>
  <si>
    <t>Sergio Roca</t>
  </si>
  <si>
    <t>Arnold Kalckstein</t>
  </si>
  <si>
    <t>Jaakko Kalliovaara</t>
  </si>
  <si>
    <t>Ludvig Andreasson</t>
  </si>
  <si>
    <t>Melcior Calmet</t>
  </si>
  <si>
    <t>Patrice Saillet</t>
  </si>
  <si>
    <t>Jacek Ceislar</t>
  </si>
  <si>
    <t>Nicolai Stentoft</t>
  </si>
  <si>
    <t>Rafael Guiu</t>
  </si>
  <si>
    <t>Gino van Hoesel</t>
  </si>
  <si>
    <t>Ragip Övgü</t>
  </si>
  <si>
    <t>Alvino Cost</t>
  </si>
  <si>
    <t>Raffaele Sitter</t>
  </si>
  <si>
    <t>Nicolas Vannoorberghe</t>
  </si>
  <si>
    <t>Filiciano Becerril</t>
  </si>
  <si>
    <t>Jacobo Ferrueros</t>
  </si>
  <si>
    <t>Giulio Porcaccianti</t>
  </si>
  <si>
    <t>Juan Gabriel de Minaya</t>
  </si>
  <si>
    <t>Albert Fité</t>
  </si>
  <si>
    <t>Dolf Fohringer</t>
  </si>
  <si>
    <t>Eckardt Hagerling</t>
  </si>
  <si>
    <t>#</t>
  </si>
  <si>
    <t>POS</t>
  </si>
  <si>
    <t>h36</t>
  </si>
  <si>
    <t>Nombre</t>
  </si>
  <si>
    <t>Anys</t>
  </si>
  <si>
    <t>Dias</t>
  </si>
  <si>
    <t>PA</t>
  </si>
  <si>
    <t>Lid</t>
  </si>
  <si>
    <t>Exp</t>
  </si>
  <si>
    <t>HXP</t>
  </si>
  <si>
    <t>CMn</t>
  </si>
  <si>
    <t>CMx</t>
  </si>
  <si>
    <t>Fcompra</t>
  </si>
  <si>
    <t>FID</t>
  </si>
  <si>
    <t>Res</t>
  </si>
  <si>
    <t>m90</t>
  </si>
  <si>
    <t>For</t>
  </si>
  <si>
    <t>Fmin</t>
  </si>
  <si>
    <t>Fmax</t>
  </si>
  <si>
    <t>TSI</t>
  </si>
  <si>
    <t>Dif</t>
  </si>
  <si>
    <t>Sou</t>
  </si>
  <si>
    <t>Hib</t>
  </si>
  <si>
    <t>Po</t>
  </si>
  <si>
    <t>De</t>
  </si>
  <si>
    <t>Cr</t>
  </si>
  <si>
    <t>Ex</t>
  </si>
  <si>
    <t>Ps</t>
  </si>
  <si>
    <t>An</t>
  </si>
  <si>
    <t>Ent</t>
  </si>
  <si>
    <t>Hab</t>
  </si>
  <si>
    <t>NCA</t>
  </si>
  <si>
    <t>DfMn</t>
  </si>
  <si>
    <t>DfMx</t>
  </si>
  <si>
    <t>JgMn</t>
  </si>
  <si>
    <t>JgMx</t>
  </si>
  <si>
    <t>BPMn</t>
  </si>
  <si>
    <t>BPMx</t>
  </si>
  <si>
    <t>PEN</t>
  </si>
  <si>
    <t>Ca</t>
  </si>
  <si>
    <t>Ag</t>
  </si>
  <si>
    <t>Ho</t>
  </si>
  <si>
    <t>%_T</t>
  </si>
  <si>
    <t>TSI_A</t>
  </si>
  <si>
    <t>#1</t>
  </si>
  <si>
    <t>POR</t>
  </si>
  <si>
    <t>#17</t>
  </si>
  <si>
    <t>#2</t>
  </si>
  <si>
    <t>CEN</t>
  </si>
  <si>
    <t>#13</t>
  </si>
  <si>
    <t>#4</t>
  </si>
  <si>
    <t>#14</t>
  </si>
  <si>
    <t>#7</t>
  </si>
  <si>
    <t>#9</t>
  </si>
  <si>
    <t>EXT-LAT</t>
  </si>
  <si>
    <t>IMP</t>
  </si>
  <si>
    <t>#3</t>
  </si>
  <si>
    <t>Will Duffill</t>
  </si>
  <si>
    <t>RAP</t>
  </si>
  <si>
    <t>#5</t>
  </si>
  <si>
    <t>#8</t>
  </si>
  <si>
    <t>#11</t>
  </si>
  <si>
    <t>J. G. Peñuela</t>
  </si>
  <si>
    <t>#6</t>
  </si>
  <si>
    <t>MED</t>
  </si>
  <si>
    <t>Julian Gräbitz</t>
  </si>
  <si>
    <t>#16</t>
  </si>
  <si>
    <t>CAB</t>
  </si>
  <si>
    <t>#15</t>
  </si>
  <si>
    <t>DAV</t>
  </si>
  <si>
    <t>Renato Galeano</t>
  </si>
  <si>
    <t>Tommaso Niscola</t>
  </si>
  <si>
    <t>#19</t>
  </si>
  <si>
    <t>COMPLETAMENTE ENTRENADOS!</t>
  </si>
  <si>
    <t>PROMOCIONADOS</t>
  </si>
  <si>
    <t>Jugador</t>
  </si>
  <si>
    <t>Edad</t>
  </si>
  <si>
    <t>Esp</t>
  </si>
  <si>
    <t>Asc</t>
  </si>
  <si>
    <t>Promoción</t>
  </si>
  <si>
    <t>Gen</t>
  </si>
  <si>
    <t>u20</t>
  </si>
  <si>
    <t>Pot</t>
  </si>
  <si>
    <t>DEF</t>
  </si>
  <si>
    <t>JUG</t>
  </si>
  <si>
    <t>LAT</t>
  </si>
  <si>
    <t>PAS</t>
  </si>
  <si>
    <t>ANO</t>
  </si>
  <si>
    <t>BP</t>
  </si>
  <si>
    <t>HAB</t>
  </si>
  <si>
    <t>POT</t>
  </si>
  <si>
    <t>Cap</t>
  </si>
  <si>
    <t>HTMS</t>
  </si>
  <si>
    <t>PR</t>
  </si>
  <si>
    <t>DL</t>
  </si>
  <si>
    <t>DC</t>
  </si>
  <si>
    <t>In</t>
  </si>
  <si>
    <t>ExO</t>
  </si>
  <si>
    <t>DV</t>
  </si>
  <si>
    <t>Atributs</t>
  </si>
  <si>
    <t>Pot P</t>
  </si>
  <si>
    <t>Pot Def</t>
  </si>
  <si>
    <t>Pot Jug</t>
  </si>
  <si>
    <t>Pot Lat</t>
  </si>
  <si>
    <t>Pot Ano</t>
  </si>
  <si>
    <t>Pot Pas</t>
  </si>
  <si>
    <t>P_BP</t>
  </si>
  <si>
    <t>Fecha</t>
  </si>
  <si>
    <t>Joaquin Romero</t>
  </si>
  <si>
    <t>Acep</t>
  </si>
  <si>
    <t>no</t>
  </si>
  <si>
    <t>ns/nc</t>
  </si>
  <si>
    <t>Polèmic</t>
  </si>
  <si>
    <t>Servulo Matute Suso</t>
  </si>
  <si>
    <t>IMPORTANTES</t>
  </si>
  <si>
    <t>Raul Fonoll</t>
  </si>
  <si>
    <t>Info</t>
  </si>
  <si>
    <t>Habilidades</t>
  </si>
  <si>
    <t>Mejor Partido</t>
  </si>
  <si>
    <t>Sergio Lopez</t>
  </si>
  <si>
    <t>Pancracio Ribadulla</t>
  </si>
  <si>
    <t>Alejandro Camacho</t>
  </si>
  <si>
    <t>Agradable i Popular</t>
  </si>
  <si>
    <t>Manuel Garces de Marcilla</t>
  </si>
  <si>
    <t>Rap</t>
  </si>
  <si>
    <t>César Carrasquedo</t>
  </si>
  <si>
    <t>Emilio Olmos</t>
  </si>
  <si>
    <t>RELEVANTES</t>
  </si>
  <si>
    <t>Faustino Manene</t>
  </si>
  <si>
    <t>Miquel Barbarie</t>
  </si>
  <si>
    <t>Imp</t>
  </si>
  <si>
    <t>Michael Healy</t>
  </si>
  <si>
    <t>Cab</t>
  </si>
  <si>
    <t>Paulo Endara</t>
  </si>
  <si>
    <t>Insuf</t>
  </si>
  <si>
    <t>FF</t>
  </si>
  <si>
    <t>Aimar Koskarratza</t>
  </si>
  <si>
    <t>Ambrosio Solares</t>
  </si>
  <si>
    <t>Sergio Martin</t>
  </si>
  <si>
    <t>Mantxo Hokigarai</t>
  </si>
  <si>
    <t>FC</t>
  </si>
  <si>
    <t>Diego Gomez de la Torre</t>
  </si>
  <si>
    <t>David Inoso</t>
  </si>
  <si>
    <t>FC+2</t>
  </si>
  <si>
    <t>Emilio Cassana</t>
  </si>
  <si>
    <t>Erramu Errementaritegi</t>
  </si>
  <si>
    <t>Gundar Bugarin</t>
  </si>
  <si>
    <t>David Pallicera</t>
  </si>
  <si>
    <t>Guillermo Imperial</t>
  </si>
  <si>
    <t>José Caramillo</t>
  </si>
  <si>
    <t>Tec</t>
  </si>
  <si>
    <t>Julio Santolalla</t>
  </si>
  <si>
    <t>Juan Gabriel</t>
  </si>
  <si>
    <t>Julio Segura Puertas</t>
  </si>
  <si>
    <t>Filip Balkanski</t>
  </si>
  <si>
    <t>Adrià Moltó</t>
  </si>
  <si>
    <t>Avelino Paredes</t>
  </si>
  <si>
    <t>Rafael Veigas</t>
  </si>
  <si>
    <t>TEC</t>
  </si>
  <si>
    <t>Ricardo Corn</t>
  </si>
  <si>
    <t>Ibai Lanzas Manzanares</t>
  </si>
  <si>
    <t>Noelio Sevilla</t>
  </si>
  <si>
    <t>Javier Buelna</t>
  </si>
  <si>
    <t>David Subirà</t>
  </si>
  <si>
    <t>Heren Jaukikoa</t>
  </si>
  <si>
    <t>Tome Baldin</t>
  </si>
  <si>
    <t>Ramon Iñiguez Lafuente</t>
  </si>
  <si>
    <t>Abdennour Zoheir</t>
  </si>
  <si>
    <t>Babil Oruesagasti</t>
  </si>
  <si>
    <t>debil</t>
  </si>
  <si>
    <t>Francisco J. Maceda</t>
  </si>
  <si>
    <t>Milen Manoilov</t>
  </si>
  <si>
    <t>David Cabasés</t>
  </si>
  <si>
    <t>Ja</t>
  </si>
  <si>
    <t>Actualización</t>
  </si>
  <si>
    <t>Javier Colado</t>
  </si>
  <si>
    <t>ya</t>
  </si>
  <si>
    <t>Alberto Manzano Lopez</t>
  </si>
  <si>
    <t>Estebo da Capela</t>
  </si>
  <si>
    <t>Maruny Illarradi</t>
  </si>
  <si>
    <t xml:space="preserve">Alberto Roldán </t>
  </si>
  <si>
    <t>Damián Millán</t>
  </si>
  <si>
    <t>Jordi Esquerigüela</t>
  </si>
  <si>
    <t>Alex Perez Urbina</t>
  </si>
  <si>
    <t>Genis Barberà</t>
  </si>
  <si>
    <t>Gaizka Erretolatza</t>
  </si>
  <si>
    <t>Erkaitz Urriategi</t>
  </si>
  <si>
    <t>Adrian Gimenez</t>
  </si>
  <si>
    <t>Pol Esteve</t>
  </si>
  <si>
    <t>Guillermo Cea Bueno</t>
  </si>
  <si>
    <t>Pedro Ignacio Camacho</t>
  </si>
  <si>
    <t>Raúl Vázquez</t>
  </si>
  <si>
    <t>Luis Dávalos</t>
  </si>
  <si>
    <t>Rafael Valdes Velazquez</t>
  </si>
  <si>
    <t>Fernando Grachisi</t>
  </si>
  <si>
    <t>Ricard  Tarafa</t>
  </si>
  <si>
    <t>Eliseo Miranda</t>
  </si>
  <si>
    <t>Tomas Bello</t>
  </si>
  <si>
    <t>Antonio Marchena</t>
  </si>
  <si>
    <t>Raúl Esles</t>
  </si>
  <si>
    <t>Manuel Lopez Negredo</t>
  </si>
  <si>
    <t>Asuri Gorosurreta</t>
  </si>
  <si>
    <t>Fermin Belauntzarain</t>
  </si>
  <si>
    <t>Antón das Chas</t>
  </si>
  <si>
    <t>Juan Lecumberri</t>
  </si>
  <si>
    <t>David Gonzalez-Colloto</t>
  </si>
  <si>
    <t>Diego Gorostola</t>
  </si>
  <si>
    <t>Mauro Romerales</t>
  </si>
  <si>
    <t>Alfredo Caballero</t>
  </si>
  <si>
    <t>Dirio Sanin</t>
  </si>
  <si>
    <t>Pablo Luna</t>
  </si>
  <si>
    <t>Marcel Mill</t>
  </si>
  <si>
    <t>Hipólito Villamayor</t>
  </si>
  <si>
    <t>Manuel Desplà</t>
  </si>
  <si>
    <t>Paco Diustegui</t>
  </si>
  <si>
    <t>rap</t>
  </si>
  <si>
    <t>Huo Guangze</t>
  </si>
  <si>
    <t>Camilo Insurandiaga</t>
  </si>
  <si>
    <t>Julian Sander</t>
  </si>
  <si>
    <t>Arnatu Salaburu</t>
  </si>
  <si>
    <t>Ramon Estebanez</t>
  </si>
  <si>
    <t>Federico Zurica</t>
  </si>
  <si>
    <t>Alejandro Fernandez</t>
  </si>
  <si>
    <t>Macià Basseda</t>
  </si>
  <si>
    <t>Pedro Valderrama</t>
  </si>
  <si>
    <t>Luis Jorge Taboada Soto</t>
  </si>
  <si>
    <t>Jose Caminero</t>
  </si>
  <si>
    <t>Senén Pereira</t>
  </si>
  <si>
    <t>tec</t>
  </si>
  <si>
    <t>Josep Carles Jardi</t>
  </si>
  <si>
    <t>Erik Lowes</t>
  </si>
  <si>
    <t>Tancredo Ibañez Ibero</t>
  </si>
  <si>
    <t>Jesus Ballada</t>
  </si>
  <si>
    <t>Vador Divins</t>
  </si>
  <si>
    <t>Juan Antón Sánchez Dávila</t>
  </si>
  <si>
    <t>Rafael Pedroso</t>
  </si>
  <si>
    <t>Georgi Nakov</t>
  </si>
  <si>
    <t>Tomás Tejada Muro</t>
  </si>
  <si>
    <t>5,7-5,9</t>
  </si>
  <si>
    <t>Casildo Abraldes</t>
  </si>
  <si>
    <t>Manuel Parejo</t>
  </si>
  <si>
    <t>Mauro Vaz</t>
  </si>
  <si>
    <t>Óscar Durand</t>
  </si>
  <si>
    <t>Diego Rincón</t>
  </si>
  <si>
    <t>Xofre Taín</t>
  </si>
  <si>
    <t>3,0-3,9</t>
  </si>
  <si>
    <t>Felipe Agulló</t>
  </si>
  <si>
    <t>Manuel Ruiz Llera</t>
  </si>
  <si>
    <t>Jose de la Dehesa</t>
  </si>
  <si>
    <t>Bastián da Vila</t>
  </si>
  <si>
    <t>Aralar Arrotxa</t>
  </si>
  <si>
    <t>Venancio Lestegas</t>
  </si>
  <si>
    <t>Ignacio Sanseverino</t>
  </si>
  <si>
    <t>Seran Aranguren</t>
  </si>
  <si>
    <t>Luis Lama Alvarez</t>
  </si>
  <si>
    <t>Oscar Rufin</t>
  </si>
  <si>
    <t>Norberto Sepúlveda</t>
  </si>
  <si>
    <t>Aniceto Olivos</t>
  </si>
  <si>
    <t>Marcos Solana</t>
  </si>
  <si>
    <t>Simón Gil Negrete</t>
  </si>
  <si>
    <t>Francisco Pinedo Acevedo</t>
  </si>
  <si>
    <t>Mauro Entrena</t>
  </si>
  <si>
    <t>Marco Echecón</t>
  </si>
  <si>
    <t>Marco Antonio Corvinos</t>
  </si>
  <si>
    <t>Carlos Picabea</t>
  </si>
  <si>
    <t>Osián Mágoa</t>
  </si>
  <si>
    <t>Carlos Poncela</t>
  </si>
  <si>
    <t>Marc Marsal</t>
  </si>
  <si>
    <t>V.49</t>
  </si>
  <si>
    <t>Desde</t>
  </si>
  <si>
    <t>Region</t>
  </si>
  <si>
    <t>MejorLiga</t>
  </si>
  <si>
    <t>Compres</t>
  </si>
  <si>
    <t>Vendes</t>
  </si>
  <si>
    <t>Trans</t>
  </si>
  <si>
    <t>Sueldos</t>
  </si>
  <si>
    <t>TSI11</t>
  </si>
  <si>
    <t>Sueldo11</t>
  </si>
  <si>
    <t>Forma11</t>
  </si>
  <si>
    <t>Res11</t>
  </si>
  <si>
    <t>Exp11</t>
  </si>
  <si>
    <t>Edad11</t>
  </si>
  <si>
    <t>Tot</t>
  </si>
  <si>
    <t>Entrenador</t>
  </si>
  <si>
    <t>Tacticas</t>
  </si>
  <si>
    <t>Real club de la Aviación</t>
  </si>
  <si>
    <t>Ceuta y Melilla</t>
  </si>
  <si>
    <t>V (8)</t>
  </si>
  <si>
    <t>27(44)</t>
  </si>
  <si>
    <t>Notable - Neutro - Aceptable</t>
  </si>
  <si>
    <t>352-253</t>
  </si>
  <si>
    <t>GLADIATORS 96</t>
  </si>
  <si>
    <t>La Rioja</t>
  </si>
  <si>
    <t>IV (1)</t>
  </si>
  <si>
    <t>26(4)</t>
  </si>
  <si>
    <t>Excelent - Def - Notable</t>
  </si>
  <si>
    <t>541 - 442 CA</t>
  </si>
  <si>
    <t>FormigonArmado2.0</t>
  </si>
  <si>
    <t>Galicia</t>
  </si>
  <si>
    <t>V (5)</t>
  </si>
  <si>
    <t>27(83)</t>
  </si>
  <si>
    <t>Notable - Def - Debil</t>
  </si>
  <si>
    <t>352-253-343</t>
  </si>
  <si>
    <t>R.C. Deportivo da Coruña</t>
  </si>
  <si>
    <t>V (4)</t>
  </si>
  <si>
    <t>28(108)</t>
  </si>
  <si>
    <t>Notable - Neutro - Insuf</t>
  </si>
  <si>
    <t>253-343</t>
  </si>
  <si>
    <t>Squandrago C.F.</t>
  </si>
  <si>
    <t>Andalucia</t>
  </si>
  <si>
    <t>28(9)</t>
  </si>
  <si>
    <t>Notable - Of - Pobre</t>
  </si>
  <si>
    <t>352-343-433</t>
  </si>
  <si>
    <t>Omailovy's</t>
  </si>
  <si>
    <t>Catalunya</t>
  </si>
  <si>
    <t>27(70)</t>
  </si>
  <si>
    <t>Notable - Of - Insuf</t>
  </si>
  <si>
    <t>Gades F.C.</t>
  </si>
  <si>
    <t>VI (10)</t>
  </si>
  <si>
    <t>28(8)</t>
  </si>
  <si>
    <t>Notable - Of - Debil</t>
  </si>
  <si>
    <t>V@der SC</t>
  </si>
  <si>
    <t>III (4)</t>
  </si>
  <si>
    <t>23(51)</t>
  </si>
  <si>
    <t>Excelent - Neutro - Pobre</t>
  </si>
  <si>
    <t>532-541 CA</t>
  </si>
  <si>
    <t>V.252</t>
  </si>
  <si>
    <t>Profesioteam.</t>
  </si>
  <si>
    <t>Murcia</t>
  </si>
  <si>
    <t>V (1)</t>
  </si>
  <si>
    <t>253 AiM</t>
  </si>
  <si>
    <t>FC Kalambrazo</t>
  </si>
  <si>
    <t>Aragón</t>
  </si>
  <si>
    <t>V (6)</t>
  </si>
  <si>
    <t>Notable - Of - Horrible</t>
  </si>
  <si>
    <t>Los Recios de Gonzus</t>
  </si>
  <si>
    <t>29(26)</t>
  </si>
  <si>
    <t>CuatroK</t>
  </si>
  <si>
    <t>Madrid</t>
  </si>
  <si>
    <t>IV (2)</t>
  </si>
  <si>
    <t>28(78)</t>
  </si>
  <si>
    <t>352 Normal</t>
  </si>
  <si>
    <t>FC Los Urrutias</t>
  </si>
  <si>
    <t>VI (6)</t>
  </si>
  <si>
    <t>27(15)</t>
  </si>
  <si>
    <t>Notable - Neutro - Pobre</t>
  </si>
  <si>
    <t>532 CA</t>
  </si>
  <si>
    <t>Baden5400</t>
  </si>
  <si>
    <t>Navarra</t>
  </si>
  <si>
    <t>27(86)</t>
  </si>
  <si>
    <t>Notable - Neutre - Bueno</t>
  </si>
  <si>
    <t>532 Normal</t>
  </si>
  <si>
    <t>HotNumbers</t>
  </si>
  <si>
    <t>VI (4)</t>
  </si>
  <si>
    <t>23(62)</t>
  </si>
  <si>
    <t>Aceptable - Neutro - Aceptable</t>
  </si>
  <si>
    <t>Num</t>
  </si>
  <si>
    <t>ESP</t>
  </si>
  <si>
    <t>Año</t>
  </si>
  <si>
    <t>Dia</t>
  </si>
  <si>
    <t>Sueldo</t>
  </si>
  <si>
    <t>E_Po</t>
  </si>
  <si>
    <t>E_De</t>
  </si>
  <si>
    <t>E_Cr</t>
  </si>
  <si>
    <t>E_Ex</t>
  </si>
  <si>
    <t>E_Ps</t>
  </si>
  <si>
    <t>E_An</t>
  </si>
  <si>
    <t>E_PA</t>
  </si>
  <si>
    <t>E_TOTAL</t>
  </si>
  <si>
    <t>C. Fonteboa</t>
  </si>
  <si>
    <t>M. Fernandez</t>
  </si>
  <si>
    <t>B. Abandero</t>
  </si>
  <si>
    <t>I. R. Figueroa</t>
  </si>
  <si>
    <t>G. Pedrajas</t>
  </si>
  <si>
    <t>Tem</t>
  </si>
  <si>
    <t>V. Oset</t>
  </si>
  <si>
    <t>F. Añigas</t>
  </si>
  <si>
    <t>V. Gomis</t>
  </si>
  <si>
    <t>INN</t>
  </si>
  <si>
    <t>J. Gräbitz</t>
  </si>
  <si>
    <t>#10</t>
  </si>
  <si>
    <t>EXT</t>
  </si>
  <si>
    <t>E. Cubas</t>
  </si>
  <si>
    <t>#12</t>
  </si>
  <si>
    <t>W. Duffill</t>
  </si>
  <si>
    <t>J.G. Peñuela</t>
  </si>
  <si>
    <t>PS</t>
  </si>
  <si>
    <t>IMP/RAP</t>
  </si>
  <si>
    <t>Inners</t>
  </si>
  <si>
    <t>BALANCE DE SITUACION Temporada 61</t>
  </si>
  <si>
    <t xml:space="preserve">a cierre de ejercicio </t>
  </si>
  <si>
    <t>IV.11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</si>
  <si>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</si>
  <si>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</si>
  <si>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</si>
  <si>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</si>
  <si>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</si>
  <si>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</si>
  <si>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</si>
  <si>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</si>
  <si>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</si>
  <si>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</si>
  <si>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</si>
  <si>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</si>
  <si>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</si>
  <si>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</si>
  <si>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</si>
  <si>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</si>
  <si>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ACTIVO</t>
  </si>
  <si>
    <t>PASIVO</t>
  </si>
  <si>
    <t>Socios</t>
  </si>
  <si>
    <t>RESERVAS</t>
  </si>
  <si>
    <t>Inmobilizado</t>
  </si>
  <si>
    <t>Patrimonio</t>
  </si>
  <si>
    <t>SALDO INICIAL</t>
  </si>
  <si>
    <t>Estadio</t>
  </si>
  <si>
    <t>Capital Inicial</t>
  </si>
  <si>
    <t>Taquillas</t>
  </si>
  <si>
    <t>ByP Acum</t>
  </si>
  <si>
    <t>Patrocinadores</t>
  </si>
  <si>
    <t>Amortizaciones</t>
  </si>
  <si>
    <t>Venta de jugadores</t>
  </si>
  <si>
    <t>Ventas</t>
  </si>
  <si>
    <t>VentasCantera</t>
  </si>
  <si>
    <t>Reservas Final</t>
  </si>
  <si>
    <t>B/P</t>
  </si>
  <si>
    <t>Comisiones</t>
  </si>
  <si>
    <t>Reservas Inicio</t>
  </si>
  <si>
    <t>B/P Jugadores</t>
  </si>
  <si>
    <t>Otros</t>
  </si>
  <si>
    <t>Nuevos Socios</t>
  </si>
  <si>
    <t>B/P Step</t>
  </si>
  <si>
    <t>Premios</t>
  </si>
  <si>
    <t>B/P Cantera</t>
  </si>
  <si>
    <t>Ing Reservas</t>
  </si>
  <si>
    <t>B/P Entrenables</t>
  </si>
  <si>
    <t>TOTAL INGRESOS</t>
  </si>
  <si>
    <t>Jugadores</t>
  </si>
  <si>
    <t>B/P Mercadeo</t>
  </si>
  <si>
    <t>Step</t>
  </si>
  <si>
    <t>B/P Act</t>
  </si>
  <si>
    <t xml:space="preserve">Mantenimiento </t>
  </si>
  <si>
    <t>Construcción del estadio</t>
  </si>
  <si>
    <t>Entrenables</t>
  </si>
  <si>
    <t>Compras</t>
  </si>
  <si>
    <t>Empleados</t>
  </si>
  <si>
    <t>Mercadeo</t>
  </si>
  <si>
    <t>Compra</t>
  </si>
  <si>
    <t>Juveniles</t>
  </si>
  <si>
    <t>Compra de jugadores*</t>
  </si>
  <si>
    <t>Pagos LP</t>
  </si>
  <si>
    <t>Viajes+Venta</t>
  </si>
  <si>
    <t>Pago Reservas</t>
  </si>
  <si>
    <t>Cash Final</t>
  </si>
  <si>
    <t>Intereses</t>
  </si>
  <si>
    <t>Cash Incial</t>
  </si>
  <si>
    <t>TOTAL GASTOS</t>
  </si>
  <si>
    <t>Pagos CP</t>
  </si>
  <si>
    <t>SALDO FINAL</t>
  </si>
  <si>
    <t>Salarios</t>
  </si>
  <si>
    <t>Ingresos</t>
  </si>
  <si>
    <t>Plantilla Medias (mirar antes entreno) (sin entrenador)</t>
  </si>
  <si>
    <t>23(15)</t>
  </si>
  <si>
    <t>23(19)</t>
  </si>
  <si>
    <t>23(22)</t>
  </si>
  <si>
    <t>23(36)</t>
  </si>
  <si>
    <t>23(40)</t>
  </si>
  <si>
    <t>23(46)</t>
  </si>
  <si>
    <t>23(67)</t>
  </si>
  <si>
    <t>23(75)</t>
  </si>
  <si>
    <t>23(12)</t>
  </si>
  <si>
    <t>23(43)</t>
  </si>
  <si>
    <t>23(54)</t>
  </si>
  <si>
    <t>TOTAL</t>
  </si>
  <si>
    <t>Resistencia11</t>
  </si>
  <si>
    <t>Experiencia11</t>
  </si>
  <si>
    <t>Hibridación</t>
  </si>
  <si>
    <t>BALANCE DE SITUACION Temporada 60</t>
  </si>
  <si>
    <t>23(109)</t>
  </si>
  <si>
    <t>Min</t>
  </si>
  <si>
    <t>Max</t>
  </si>
  <si>
    <t>edad</t>
  </si>
  <si>
    <t>LS</t>
  </si>
  <si>
    <t>Capitan</t>
  </si>
  <si>
    <t>xpe/17 + (xpc * lid^2) ^ (2/3) / 30</t>
  </si>
  <si>
    <t>Xpe</t>
  </si>
  <si>
    <t>Xpe/17</t>
  </si>
  <si>
    <t>donde</t>
  </si>
  <si>
    <t>lid^2</t>
  </si>
  <si>
    <t>xpe es la suma de la experiencia de todos los jugadores</t>
  </si>
  <si>
    <t>Xpc*lid^2</t>
  </si>
  <si>
    <t>xpc es la experiencia del capitán</t>
  </si>
  <si>
    <t>(xpc * lid^2) ^ (2/3) / 30</t>
  </si>
  <si>
    <t>lid es el liderazgo del capitán</t>
  </si>
  <si>
    <t>Total</t>
  </si>
  <si>
    <t>liderazgo x liderazgo x experiencia</t>
  </si>
  <si>
    <t>N_CA</t>
  </si>
  <si>
    <t>Defensas</t>
  </si>
  <si>
    <t>Local</t>
  </si>
  <si>
    <t>Visitante</t>
  </si>
  <si>
    <t>NivelTactica</t>
  </si>
  <si>
    <t>NivelMedioVader</t>
  </si>
  <si>
    <t>OcasionesFalladas</t>
  </si>
  <si>
    <t>CAs</t>
  </si>
  <si>
    <t>%_Conversión</t>
  </si>
  <si>
    <t>Etiquetas de fila</t>
  </si>
  <si>
    <t>partidos</t>
  </si>
  <si>
    <t>Suma de OcasionesFalladas</t>
  </si>
  <si>
    <t>Suma de CAs</t>
  </si>
  <si>
    <t>%</t>
  </si>
  <si>
    <t>Fernando de Rojas</t>
  </si>
  <si>
    <t>Prodigy Sucany</t>
  </si>
  <si>
    <t>white widow</t>
  </si>
  <si>
    <t>mehmet</t>
  </si>
  <si>
    <t>Splug Team</t>
  </si>
  <si>
    <t>Los amiguitos de Don Pimpon</t>
  </si>
  <si>
    <t>John Rebus F.c</t>
  </si>
  <si>
    <t>VINATIKA FC 2</t>
  </si>
  <si>
    <t>Total general</t>
  </si>
  <si>
    <t>Basil444</t>
  </si>
  <si>
    <t>konary</t>
  </si>
  <si>
    <t>Ladány City</t>
  </si>
  <si>
    <t>Nie Zjednoczeni Kaczory</t>
  </si>
  <si>
    <t>Cuchufritos F.C.</t>
  </si>
  <si>
    <t>Ju.far72</t>
  </si>
  <si>
    <t>Mks Pilica PEDEZET</t>
  </si>
  <si>
    <t>FC Bayern München 16</t>
  </si>
  <si>
    <t>Grasshopper Club Nidwalden</t>
  </si>
  <si>
    <t>CD Castalia</t>
  </si>
  <si>
    <t>Cogollos F.C</t>
  </si>
  <si>
    <t>Ulls de Gat Mesquer</t>
  </si>
  <si>
    <t>iRatlle</t>
  </si>
  <si>
    <t>Hakom</t>
  </si>
  <si>
    <t>Santa Barbosa Aludosa</t>
  </si>
  <si>
    <t>Fc De Rositas</t>
  </si>
  <si>
    <t>Insulae Atlantis</t>
  </si>
  <si>
    <t>Bar Karakas C.F.</t>
  </si>
  <si>
    <t>Dzsoni Valkur</t>
  </si>
  <si>
    <t>Wisla Skawina</t>
  </si>
  <si>
    <t>Ornitorrincos Purpura</t>
  </si>
  <si>
    <t>USC Olaf Football</t>
  </si>
  <si>
    <t>Refucilo CF</t>
  </si>
  <si>
    <t>Kersky</t>
  </si>
  <si>
    <t>Menkoko C.F.</t>
  </si>
  <si>
    <t>Tuviejahuelemal</t>
  </si>
  <si>
    <t>CSD Avengers</t>
  </si>
  <si>
    <t>Lobos del Viento</t>
  </si>
  <si>
    <t>US Women National Tema</t>
  </si>
  <si>
    <t>S.H.M.Piast Gliwice</t>
  </si>
  <si>
    <t>TOERS TEAM</t>
  </si>
  <si>
    <t>Proxibecas</t>
  </si>
  <si>
    <t>I treni di Tozeur</t>
  </si>
  <si>
    <t>The Pyramid Mystery</t>
  </si>
  <si>
    <t>Wing Men</t>
  </si>
  <si>
    <t>FC BvB</t>
  </si>
  <si>
    <t>Mendibil</t>
  </si>
  <si>
    <t>TOWERS TEAM</t>
  </si>
  <si>
    <t>Romdi</t>
  </si>
  <si>
    <t>Babbu team</t>
  </si>
  <si>
    <t>Club de Catalunya</t>
  </si>
  <si>
    <t>Atletico ius</t>
  </si>
  <si>
    <t>Funkickers zwarte Schapen</t>
  </si>
  <si>
    <t>Bandurrias del Sur</t>
  </si>
  <si>
    <t>von der veck</t>
  </si>
  <si>
    <t>P.C.N</t>
  </si>
  <si>
    <t>Nacidos de la Bruma</t>
  </si>
  <si>
    <t>F.c. de Rositas</t>
  </si>
  <si>
    <t>La Pobla FC</t>
  </si>
  <si>
    <t>Dinamo skiejef</t>
  </si>
  <si>
    <t>Athletic MSS</t>
  </si>
  <si>
    <t>Demos returns</t>
  </si>
  <si>
    <t>P.E.C. Zwolle</t>
  </si>
  <si>
    <t>Luso Futebol do Dafundo</t>
  </si>
  <si>
    <t>FC FLEW</t>
  </si>
  <si>
    <t>CF Crystynho 07</t>
  </si>
  <si>
    <t>Start Rudnik</t>
  </si>
  <si>
    <t>Vicers PS</t>
  </si>
  <si>
    <t>Organización</t>
  </si>
  <si>
    <t>Legazpi de Maputo</t>
  </si>
  <si>
    <t>CMM Canoa Polo Triste</t>
  </si>
  <si>
    <t>Gälka Warriors</t>
  </si>
  <si>
    <t>Jyderups Jubelasnor</t>
  </si>
  <si>
    <t>Die Nashorner Logans</t>
  </si>
  <si>
    <t>CabaretVoltaire</t>
  </si>
  <si>
    <t>UF_United</t>
  </si>
  <si>
    <t>Estado de ánimo de los aficionados</t>
  </si>
  <si>
    <t>Grada general</t>
  </si>
  <si>
    <t>Preferente</t>
  </si>
  <si>
    <t>Tribuna</t>
  </si>
  <si>
    <t>Palco</t>
  </si>
  <si>
    <t>Multiplicador</t>
  </si>
  <si>
    <t>(asistencia = socios X multiplicador)</t>
  </si>
  <si>
    <t>Tribuna original</t>
  </si>
  <si>
    <t>Nuevo</t>
  </si>
  <si>
    <t>CosteContrucción</t>
  </si>
  <si>
    <t>CosteMantenimiento</t>
  </si>
  <si>
    <t>IngresoVenta</t>
  </si>
  <si>
    <t>Capacidad total:</t>
  </si>
  <si>
    <t>por asiento</t>
  </si>
  <si>
    <t>Coste</t>
  </si>
  <si>
    <t>CosteSemanal</t>
  </si>
  <si>
    <t>1Partido</t>
  </si>
  <si>
    <t>completo</t>
  </si>
  <si>
    <t>Mantenimiento</t>
  </si>
  <si>
    <t>Grada general:</t>
  </si>
  <si>
    <t>Preferentes:</t>
  </si>
  <si>
    <t>Tribunas:</t>
  </si>
  <si>
    <t>Palcos:</t>
  </si>
  <si>
    <t>Coste Inicial</t>
  </si>
  <si>
    <t>Coste de Contrucción</t>
  </si>
  <si>
    <t>Aficionados</t>
  </si>
  <si>
    <t>MaxGrada Llena</t>
  </si>
  <si>
    <t>MaxPreferente Lleno</t>
  </si>
  <si>
    <t>MaxTribuna Lleno</t>
  </si>
  <si>
    <t>MaxPalco Lleno</t>
  </si>
  <si>
    <t>Real Grada</t>
  </si>
  <si>
    <t>Real Preferente</t>
  </si>
  <si>
    <t>Real Tribuna</t>
  </si>
  <si>
    <t>Real Palco</t>
  </si>
  <si>
    <t>Ingresos Extra Grada general:</t>
  </si>
  <si>
    <t>Ingresos Extre Preferentes:</t>
  </si>
  <si>
    <t>Ingresos Extra Tribunas:</t>
  </si>
  <si>
    <t>Ingresos Extra Palcos:</t>
  </si>
  <si>
    <t>Coste de Mantenimiento Extra</t>
  </si>
  <si>
    <t>Beneficio Neto Semanal</t>
  </si>
  <si>
    <t>Beneficio Acumulado</t>
  </si>
  <si>
    <t xml:space="preserve">Nivel de Entrenador </t>
  </si>
  <si>
    <t>XP</t>
  </si>
  <si>
    <t>COMPRA</t>
  </si>
  <si>
    <t>SEM</t>
  </si>
  <si>
    <t>CosteTRA_BUENO</t>
  </si>
  <si>
    <t>COSTETOTAL_BUENO</t>
  </si>
  <si>
    <t>T_Desast</t>
  </si>
  <si>
    <t>COSTE_TEMP</t>
  </si>
  <si>
    <t>CosteTRA_EX</t>
  </si>
  <si>
    <t>COSTETOTAL_EX</t>
  </si>
  <si>
    <t>Experiencia</t>
  </si>
  <si>
    <t xml:space="preserve">Aceptable </t>
  </si>
  <si>
    <t xml:space="preserve">Bueno </t>
  </si>
  <si>
    <t xml:space="preserve">Excelente </t>
  </si>
  <si>
    <t>Thomas Ruelle</t>
  </si>
  <si>
    <t>Karl-Uwe Mose</t>
  </si>
  <si>
    <t xml:space="preserve">235.200 - 277.700 € </t>
  </si>
  <si>
    <t xml:space="preserve">- </t>
  </si>
  <si>
    <t>Werner Mayer</t>
  </si>
  <si>
    <t xml:space="preserve">202.000 - 235.200 € </t>
  </si>
  <si>
    <t xml:space="preserve">681.800 - 794 100 € </t>
  </si>
  <si>
    <t>Giovanni Bellavite Pellegrini</t>
  </si>
  <si>
    <t xml:space="preserve">176.900 - 200.000 € </t>
  </si>
  <si>
    <t xml:space="preserve">597.300 - 675.000 € </t>
  </si>
  <si>
    <t xml:space="preserve">4.247.700- 4.800.000 € </t>
  </si>
  <si>
    <t>Gilad Domb</t>
  </si>
  <si>
    <t xml:space="preserve">Formidable </t>
  </si>
  <si>
    <t xml:space="preserve">157.400 - 175.400 € </t>
  </si>
  <si>
    <t xml:space="preserve">531.400 - 592.100 € </t>
  </si>
  <si>
    <t xml:space="preserve">3.779.500 - 4.210.500 € </t>
  </si>
  <si>
    <t xml:space="preserve">Destacado </t>
  </si>
  <si>
    <t xml:space="preserve">140.800 - 156.200 € </t>
  </si>
  <si>
    <t xml:space="preserve">475.300 - 527.300 € </t>
  </si>
  <si>
    <t xml:space="preserve">3.380.200 - 3.750.000 € </t>
  </si>
  <si>
    <t>Frederic Ekster</t>
  </si>
  <si>
    <t xml:space="preserve">Brillante </t>
  </si>
  <si>
    <t xml:space="preserve">128.200 - 139.800 € </t>
  </si>
  <si>
    <t xml:space="preserve">432.600 -472.000 € </t>
  </si>
  <si>
    <t xml:space="preserve">3.076.900 - 3.356.600 € </t>
  </si>
  <si>
    <t xml:space="preserve">功志 (Koji) 森 (Mori) </t>
  </si>
  <si>
    <t xml:space="preserve">Magnífico </t>
  </si>
  <si>
    <t xml:space="preserve">117.600 - 127.300 € </t>
  </si>
  <si>
    <t xml:space="preserve">397.000 - 429.900 € </t>
  </si>
  <si>
    <t xml:space="preserve">2.823.500 - 3.057.300 € </t>
  </si>
  <si>
    <t>Belmiro Marques Jr.</t>
  </si>
  <si>
    <t xml:space="preserve">Clase Mundial </t>
  </si>
  <si>
    <t xml:space="preserve">108.600 - 116.900 € </t>
  </si>
  <si>
    <t xml:space="preserve">366.800 - 394.700 € </t>
  </si>
  <si>
    <t xml:space="preserve">2.608.600 - 2.807.000 € </t>
  </si>
  <si>
    <t>Zoltán Nyilas</t>
  </si>
  <si>
    <t xml:space="preserve">Sobrenatural </t>
  </si>
  <si>
    <t xml:space="preserve">100.500 - 108.100 € </t>
  </si>
  <si>
    <t xml:space="preserve">339.100 - 364.800 € </t>
  </si>
  <si>
    <t xml:space="preserve">2.412.000 - 2.594.500 € </t>
  </si>
  <si>
    <t>Radko Kravaev</t>
  </si>
  <si>
    <t xml:space="preserve">Titánico </t>
  </si>
  <si>
    <t xml:space="preserve">93.800 - 100.000 € </t>
  </si>
  <si>
    <t xml:space="preserve">316.900 - 337.500 € </t>
  </si>
  <si>
    <t xml:space="preserve">2.253.500 - 2.400.000 € </t>
  </si>
  <si>
    <t>Ioannis Avramopoulos</t>
  </si>
  <si>
    <t xml:space="preserve">Extra Terrestre </t>
  </si>
  <si>
    <t xml:space="preserve">88.100 - 93.400 € </t>
  </si>
  <si>
    <t xml:space="preserve">297.300 - 315.400 € </t>
  </si>
  <si>
    <t xml:space="preserve">2.114.500 - 2.242.290 € </t>
  </si>
  <si>
    <t xml:space="preserve">Mítico </t>
  </si>
  <si>
    <t xml:space="preserve">82.600 - 87.700 € </t>
  </si>
  <si>
    <t xml:space="preserve">278.900 - 296.000 € </t>
  </si>
  <si>
    <t xml:space="preserve">1.983.400 - 2.105.200 € </t>
  </si>
  <si>
    <t>Filip Antonijevic</t>
  </si>
  <si>
    <t xml:space="preserve">Mágico </t>
  </si>
  <si>
    <t xml:space="preserve">78.100 - 82.300 € </t>
  </si>
  <si>
    <t xml:space="preserve">263.600 - 277.700 € </t>
  </si>
  <si>
    <t xml:space="preserve">1.875.000 - 1.975.300 € </t>
  </si>
  <si>
    <t>Namazbek Baktygazyuly</t>
  </si>
  <si>
    <t xml:space="preserve">Utópico </t>
  </si>
  <si>
    <t xml:space="preserve">74.000 - 77.800 € </t>
  </si>
  <si>
    <t xml:space="preserve">250.000 - 262.600 € </t>
  </si>
  <si>
    <t xml:space="preserve">1.777.700 - 1.867.700 € </t>
  </si>
  <si>
    <t>Winfred Wetterich</t>
  </si>
  <si>
    <t xml:space="preserve">Divino </t>
  </si>
  <si>
    <t xml:space="preserve">47.900 - 73.800 € </t>
  </si>
  <si>
    <t xml:space="preserve">161 800 - 249.000 € </t>
  </si>
  <si>
    <t xml:space="preserve">1 150 800 - 1.771.200 € </t>
  </si>
  <si>
    <t>Cambio</t>
  </si>
  <si>
    <t>TempMedia</t>
  </si>
  <si>
    <t>Primer Nivel</t>
  </si>
  <si>
    <t>des-ho</t>
  </si>
  <si>
    <t>ho-po</t>
  </si>
  <si>
    <t>po-de</t>
  </si>
  <si>
    <t>de-insif</t>
  </si>
  <si>
    <t>ins-acep</t>
  </si>
  <si>
    <t>Nil</t>
  </si>
  <si>
    <t>T_Des</t>
  </si>
  <si>
    <t>Bueno</t>
  </si>
  <si>
    <t>Aceptable</t>
  </si>
  <si>
    <t>Insuficiente</t>
  </si>
  <si>
    <t>Debil</t>
  </si>
  <si>
    <t>Pobre</t>
  </si>
  <si>
    <t>Horrible</t>
  </si>
  <si>
    <t>Desastroso</t>
  </si>
  <si>
    <t>Portero</t>
  </si>
  <si>
    <t>DCNormal</t>
  </si>
  <si>
    <t>DCOff</t>
  </si>
  <si>
    <t>DLNormal</t>
  </si>
  <si>
    <t>DCtW</t>
  </si>
  <si>
    <t>MDEF</t>
  </si>
  <si>
    <t>Mnor</t>
  </si>
  <si>
    <t>IHL</t>
  </si>
  <si>
    <t>EXTDEF</t>
  </si>
  <si>
    <t>EXTOF</t>
  </si>
  <si>
    <t>EHM</t>
  </si>
  <si>
    <t>DD</t>
  </si>
  <si>
    <t>Años</t>
  </si>
  <si>
    <t>FechaCompra</t>
  </si>
  <si>
    <t>FOR</t>
  </si>
  <si>
    <t>BPI_A</t>
  </si>
  <si>
    <t>BPI_D</t>
  </si>
  <si>
    <t>BPMin</t>
  </si>
  <si>
    <t>BPMax</t>
  </si>
  <si>
    <t>DEFLAT</t>
  </si>
  <si>
    <t>DEFCEN</t>
  </si>
  <si>
    <t>ATLAT</t>
  </si>
  <si>
    <t>ATCEN</t>
  </si>
  <si>
    <t>Zona</t>
  </si>
  <si>
    <t>Def Central</t>
  </si>
  <si>
    <t>Def Lat</t>
  </si>
  <si>
    <t>Medio</t>
  </si>
  <si>
    <t>At Lateral</t>
  </si>
  <si>
    <t>At Central</t>
  </si>
  <si>
    <t>F.Actu</t>
  </si>
  <si>
    <t>R16,6%</t>
  </si>
  <si>
    <t>ChL</t>
  </si>
  <si>
    <t>WBN</t>
  </si>
  <si>
    <t>EXN</t>
  </si>
  <si>
    <t>Dhl</t>
  </si>
  <si>
    <t>DhL</t>
  </si>
  <si>
    <t>LID</t>
  </si>
  <si>
    <t>Precio</t>
  </si>
  <si>
    <t>V_36</t>
  </si>
  <si>
    <t>V_34</t>
  </si>
  <si>
    <t>V_32</t>
  </si>
  <si>
    <t>Coste_36</t>
  </si>
  <si>
    <t>Coste_34</t>
  </si>
  <si>
    <t>Coste_32</t>
  </si>
  <si>
    <t>C_T36</t>
  </si>
  <si>
    <t>C_T34</t>
  </si>
  <si>
    <t>C_T32</t>
  </si>
  <si>
    <t>EPOR</t>
  </si>
  <si>
    <t>EDEF</t>
  </si>
  <si>
    <t>EPAS</t>
  </si>
  <si>
    <t>EBP</t>
  </si>
  <si>
    <t>Francisco Granados</t>
  </si>
  <si>
    <t>Pablo Soto</t>
  </si>
  <si>
    <t>Nazir Zaydi</t>
  </si>
  <si>
    <t>Roman Makiela</t>
  </si>
  <si>
    <t>Juan Castaño</t>
  </si>
  <si>
    <t>Gonzalo Ayza</t>
  </si>
  <si>
    <t>Joan Josep Carull</t>
  </si>
  <si>
    <t>Alejandro Ayelo</t>
  </si>
  <si>
    <t>Ignacio Alemparte Gallardo</t>
  </si>
  <si>
    <t>Abdelhakim Temsamani</t>
  </si>
  <si>
    <t>imp</t>
  </si>
  <si>
    <t>Rodolfo Rinaldo Paso</t>
  </si>
  <si>
    <t>Stansilaw Zdankiewicz</t>
  </si>
  <si>
    <t>Thea F.C.</t>
  </si>
  <si>
    <t>Papuchis CF</t>
  </si>
  <si>
    <t>White Shark Team</t>
  </si>
  <si>
    <t>27_juni_2000</t>
  </si>
  <si>
    <t>tikitaca</t>
  </si>
  <si>
    <t>Racmio F.C.</t>
  </si>
  <si>
    <t>Polgas Coin</t>
  </si>
  <si>
    <t>C.I.D. Tigers</t>
  </si>
  <si>
    <t>ventura c.f.</t>
  </si>
  <si>
    <t>LECH Poznan</t>
  </si>
  <si>
    <t>Yarca Athletic</t>
  </si>
  <si>
    <t>shalke_temeto</t>
  </si>
  <si>
    <t>Buchs FC</t>
  </si>
  <si>
    <t>Los de castellon</t>
  </si>
  <si>
    <t>Cordura Bajo Cero</t>
  </si>
  <si>
    <t>Enxebre FC</t>
  </si>
  <si>
    <t>Lluisos de Gràcia</t>
  </si>
  <si>
    <t>Lirio de Oña</t>
  </si>
  <si>
    <t>Menorca Horses</t>
  </si>
  <si>
    <t>RRDG F.C.</t>
  </si>
  <si>
    <t>AKELARRE U.D.</t>
  </si>
  <si>
    <t>Granota UE</t>
  </si>
  <si>
    <t>GrimReapers</t>
  </si>
  <si>
    <t>Rayo Txamberi</t>
  </si>
  <si>
    <t>Xtra's</t>
  </si>
  <si>
    <t>REALUSIA</t>
  </si>
  <si>
    <t>Mañariako taldea</t>
  </si>
  <si>
    <t>ronkis78 FC</t>
  </si>
  <si>
    <t>Sporting Rukkel F.C.</t>
  </si>
  <si>
    <t>Amics del futbol</t>
  </si>
  <si>
    <t>TJ Zitenice</t>
  </si>
  <si>
    <t>AKELARRE U.D</t>
  </si>
  <si>
    <t>martina titus cinta fc</t>
  </si>
  <si>
    <t>Atlético Uzumaki</t>
  </si>
  <si>
    <t>Fc kickers ZH</t>
  </si>
  <si>
    <t>Brattforce</t>
  </si>
  <si>
    <t>El Dorado F.C</t>
  </si>
  <si>
    <t>iSoccer</t>
  </si>
  <si>
    <t>TIGRII FURIOSI</t>
  </si>
  <si>
    <t>Royal lions 2</t>
  </si>
  <si>
    <t>Sant Andreu</t>
  </si>
  <si>
    <t>FC Myth</t>
  </si>
  <si>
    <t>Brocklers</t>
  </si>
  <si>
    <t>FC HV 1964</t>
  </si>
  <si>
    <t>SALSEPAREILLE</t>
  </si>
  <si>
    <t>Divine Overconfidence</t>
  </si>
  <si>
    <t>Os Marcos do Nordeste</t>
  </si>
  <si>
    <t>Lazio Princes Town</t>
  </si>
  <si>
    <t>SS Scappati di Casa</t>
  </si>
  <si>
    <t>FC Glasscherbenviertel</t>
  </si>
  <si>
    <t>Blues Nord</t>
  </si>
  <si>
    <t>Juventus de kudus</t>
  </si>
  <si>
    <t>Clerks II</t>
  </si>
  <si>
    <t>Meraj Siddiqui</t>
  </si>
  <si>
    <t>PIRA TEAM</t>
  </si>
  <si>
    <t>C.D. Badajoz</t>
  </si>
  <si>
    <t>C.F. Establiments</t>
  </si>
  <si>
    <t>Lucentum!!!!!</t>
  </si>
  <si>
    <t>C.E. Badalona S.A.D.</t>
  </si>
  <si>
    <t>CSIII</t>
  </si>
  <si>
    <t>FC Aversi</t>
  </si>
  <si>
    <t>Bayern de Sants</t>
  </si>
  <si>
    <t>abrams</t>
  </si>
  <si>
    <t>Estel Roig Genovès</t>
  </si>
  <si>
    <t>Cosecha Roja</t>
  </si>
  <si>
    <t>AVG Hostafrancs</t>
  </si>
  <si>
    <t>FC Virrei Amat</t>
  </si>
  <si>
    <t>Som-hi un altre cop!!</t>
  </si>
  <si>
    <t>La gabarra a pique</t>
  </si>
  <si>
    <t>Birreri Sabadell</t>
  </si>
  <si>
    <t>coco's tema</t>
  </si>
  <si>
    <t>Monkey 47</t>
  </si>
  <si>
    <t>Treskitos Team</t>
  </si>
  <si>
    <t>AS Nano CF</t>
  </si>
  <si>
    <t>Inedit CF</t>
  </si>
  <si>
    <t>SE Europa</t>
  </si>
  <si>
    <t>Sinsen Racing Club</t>
  </si>
  <si>
    <t>Real Mollet</t>
  </si>
  <si>
    <t xml:space="preserve">a INICIO de ejercicio </t>
  </si>
  <si>
    <t>BALANCE DE SITUACION Temporada 64</t>
  </si>
  <si>
    <t xml:space="preserve">a CIERRE de ejercicio </t>
  </si>
  <si>
    <t>Reservas</t>
  </si>
  <si>
    <t>Cash</t>
  </si>
  <si>
    <t>Primer Sueldo</t>
  </si>
  <si>
    <t>Futuro Entrenador</t>
  </si>
  <si>
    <t>B/P Temporada</t>
  </si>
  <si>
    <t>Tipo</t>
  </si>
  <si>
    <t>Entrenable</t>
  </si>
  <si>
    <t>IV.52</t>
  </si>
  <si>
    <t>Cash Inicial</t>
  </si>
  <si>
    <t>Ing Reserva</t>
  </si>
  <si>
    <t>Pago Reserva</t>
  </si>
  <si>
    <t>Dif Cajas</t>
  </si>
  <si>
    <t>Lenadro Faias</t>
  </si>
  <si>
    <t>26(78)</t>
  </si>
  <si>
    <t>26 (83)</t>
  </si>
  <si>
    <t>26 (93)</t>
  </si>
  <si>
    <t>Kenny Holmen</t>
  </si>
  <si>
    <t>Volkert Copejans</t>
  </si>
  <si>
    <t>Andy Biberstein</t>
  </si>
  <si>
    <t>Mauro Maestroni</t>
  </si>
  <si>
    <t>Roxelio Reborado</t>
  </si>
  <si>
    <t>Davy Bruninx</t>
  </si>
  <si>
    <t>Enrique Riobóo</t>
  </si>
  <si>
    <t>Ruben Drexler</t>
  </si>
  <si>
    <t>Yadin Hajdu</t>
  </si>
  <si>
    <t>Bartłomiej Benka</t>
  </si>
  <si>
    <t>Nicolás Galaz</t>
  </si>
  <si>
    <t>Roxelio Reboredo</t>
  </si>
  <si>
    <t>Leandro Faias</t>
  </si>
  <si>
    <t>Miguel Fernandez</t>
  </si>
  <si>
    <t>Julian Grabitz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</si>
</sst>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0.0"/>
    <numFmt numFmtId="166" formatCode="_-* #,##0\ _€_-;\-* #,##0\ _€_-;_-* &quot;-&quot;??\ _€_-;_-@_-"/>
    <numFmt numFmtId="167" formatCode="_-* #,##0.0\ _€_-;\-* #,##0.0\ _€_-;_-* &quot;-&quot;??\ _€_-;_-@_-"/>
    <numFmt numFmtId="168" formatCode="0.000"/>
    <numFmt numFmtId="169" formatCode="_-* #,##0\ &quot;€&quot;_-;\-* #,##0\ &quot;€&quot;_-;_-* &quot;-&quot;??\ &quot;€&quot;_-;_-@_-"/>
    <numFmt numFmtId="170" formatCode="0.0%"/>
    <numFmt numFmtId="171" formatCode="_-* #,##0.0\ &quot;€&quot;_-;\-* #,##0.0\ &quot;€&quot;_-;_-* &quot;-&quot;??\ &quot;€&quot;_-;_-@_-"/>
    <numFmt numFmtId="172" formatCode="dd/mmm"/>
    <numFmt numFmtId="173" formatCode="_-* #,##0\ [$€-C0A]_-;\-* #,##0\ [$€-C0A]_-;_-* &quot;-&quot;??\ [$€-C0A]_-;_-@_-"/>
    <numFmt numFmtId="174" formatCode="_-* #,##0\ [$€-C0A]_-;\-* #,##0\ [$€-C0A]_-;_-* \-??\ [$€-C0A]_-;_-@_-"/>
    <numFmt numFmtId="175" formatCode="_-* #,##0.00\ [$€-C0A]_-;\-* #,##0.00\ [$€-C0A]_-;_-* \-??\ [$€-C0A]_-;_-@_-"/>
    <numFmt numFmtId="176" formatCode="_-* #,##0\ _€_-;\-* #,##0\ _€_-;_-* \-??\ _€_-;_-@_-"/>
    <numFmt numFmtId="177" formatCode="_-* #,##0&quot; €&quot;_-;\-* #,##0&quot; €&quot;_-;_-* \-??&quot; €&quot;_-;_-@_-"/>
    <numFmt numFmtId="178" formatCode="m/d/yyyy"/>
    <numFmt numFmtId="179" formatCode="[$-C0A]d\-mmm\-yy;@"/>
  </numFmts>
  <fonts count="66" x14ac:knownFonts="1">
    <font>
      <sz val="11"/>
      <color rgb="FF000000"/>
      <name val="Calibri"/>
      <family val="2"/>
    </font>
    <font>
      <b/>
      <i/>
      <u/>
      <sz val="8"/>
      <color rgb="FFFFFFFF"/>
      <name val="Verdana"/>
      <family val="2"/>
    </font>
    <font>
      <sz val="8"/>
      <color rgb="FF000000"/>
      <name val="Verdana"/>
      <family val="2"/>
    </font>
    <font>
      <b/>
      <sz val="8"/>
      <color rgb="FFFFFFFF"/>
      <name val="Verdana"/>
      <family val="2"/>
    </font>
    <font>
      <b/>
      <sz val="8"/>
      <color rgb="FF000000"/>
      <name val="Verdana"/>
      <family val="2"/>
    </font>
    <font>
      <i/>
      <u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8"/>
      <color rgb="FFFF0000"/>
      <name val="Verdana"/>
      <family val="2"/>
    </font>
    <font>
      <b/>
      <sz val="11"/>
      <color rgb="FFFFFFFF"/>
      <name val="Calibri"/>
      <family val="2"/>
    </font>
    <font>
      <b/>
      <sz val="14"/>
      <color rgb="FF000000"/>
      <name val="Calibri"/>
      <family val="2"/>
    </font>
    <font>
      <b/>
      <sz val="14"/>
      <color rgb="FFFF0000"/>
      <name val="Calibri"/>
      <family val="2"/>
    </font>
    <font>
      <b/>
      <sz val="10"/>
      <color rgb="FF000000"/>
      <name val="Calibri"/>
      <family val="2"/>
    </font>
    <font>
      <b/>
      <sz val="10"/>
      <color rgb="FFFF0000"/>
      <name val="Calibri"/>
      <family val="2"/>
    </font>
    <font>
      <b/>
      <i/>
      <u/>
      <sz val="11"/>
      <color rgb="FF000000"/>
      <name val="Calibri"/>
      <family val="2"/>
    </font>
    <font>
      <sz val="16"/>
      <color rgb="FF000000"/>
      <name val="Verdana"/>
      <family val="2"/>
    </font>
    <font>
      <sz val="14"/>
      <color rgb="FF000000"/>
      <name val="Verdana"/>
      <family val="2"/>
    </font>
    <font>
      <sz val="10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rgb="FFFF0000"/>
      <name val="Calibri"/>
      <family val="2"/>
    </font>
    <font>
      <b/>
      <sz val="8"/>
      <color rgb="FFE26B0A"/>
      <name val="Verdana"/>
      <family val="2"/>
    </font>
    <font>
      <i/>
      <sz val="11"/>
      <color rgb="FF000000"/>
      <name val="Calibri"/>
      <family val="2"/>
    </font>
    <font>
      <sz val="11"/>
      <color rgb="FFFF0000"/>
      <name val="Calibri"/>
      <family val="2"/>
    </font>
    <font>
      <b/>
      <u/>
      <sz val="11"/>
      <color rgb="FFFFFFFF"/>
      <name val="Arial"/>
      <family val="2"/>
    </font>
    <font>
      <b/>
      <u/>
      <sz val="10"/>
      <color rgb="FFFFFFFF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i/>
      <u/>
      <sz val="10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1"/>
      <color rgb="FFFF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7.5"/>
      <color rgb="FF000000"/>
      <name val="Arial"/>
      <family val="2"/>
    </font>
    <font>
      <i/>
      <sz val="8"/>
      <color rgb="FF000000"/>
      <name val="Arial"/>
      <family val="2"/>
    </font>
    <font>
      <b/>
      <u/>
      <sz val="11"/>
      <color rgb="FFFFFFFF"/>
      <name val="Calibri"/>
      <family val="2"/>
    </font>
    <font>
      <b/>
      <i/>
      <u/>
      <sz val="11"/>
      <color rgb="FFFF0000"/>
      <name val="Calibri"/>
      <family val="2"/>
    </font>
    <font>
      <b/>
      <i/>
      <u/>
      <sz val="11"/>
      <color rgb="FFFF0000"/>
      <name val="Arial"/>
      <family val="2"/>
    </font>
    <font>
      <b/>
      <sz val="11"/>
      <color rgb="FFFF0000"/>
      <name val="Arial"/>
      <family val="2"/>
    </font>
    <font>
      <b/>
      <sz val="16"/>
      <color rgb="FF000000"/>
      <name val="Calibri"/>
      <family val="2"/>
    </font>
    <font>
      <b/>
      <sz val="14"/>
      <color rgb="FFFFFFFF"/>
      <name val="Calibri"/>
      <family val="2"/>
    </font>
    <font>
      <b/>
      <sz val="14"/>
      <color rgb="FF00B050"/>
      <name val="Calibri"/>
      <family val="2"/>
    </font>
    <font>
      <sz val="11"/>
      <color rgb="FF00B050"/>
      <name val="Calibri"/>
      <family val="2"/>
    </font>
    <font>
      <b/>
      <sz val="14"/>
      <color rgb="FF535353"/>
      <name val="Calibri"/>
      <family val="2"/>
    </font>
    <font>
      <b/>
      <sz val="12"/>
      <color rgb="FF000000"/>
      <name val="Calibri"/>
      <family val="2"/>
    </font>
    <font>
      <b/>
      <sz val="11"/>
      <color rgb="FF548235"/>
      <name val="Calibri"/>
      <family val="2"/>
    </font>
    <font>
      <b/>
      <sz val="11"/>
      <color rgb="FF385724"/>
      <name val="Calibri"/>
      <family val="2"/>
    </font>
    <font>
      <i/>
      <sz val="11"/>
      <color rgb="FF000000"/>
      <name val="Arial"/>
      <family val="2"/>
    </font>
    <font>
      <b/>
      <sz val="7.5"/>
      <color rgb="FFFFFFFF"/>
      <name val="Calibri"/>
      <family val="2"/>
    </font>
    <font>
      <b/>
      <sz val="7.5"/>
      <color rgb="FF000000"/>
      <name val="Calibri"/>
      <family val="2"/>
    </font>
    <font>
      <sz val="7.5"/>
      <color rgb="FF000000"/>
      <name val="Calibri"/>
      <family val="2"/>
    </font>
    <font>
      <b/>
      <u/>
      <sz val="11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FFFFFF"/>
      <name val="Verdana"/>
      <family val="2"/>
    </font>
    <font>
      <sz val="11"/>
      <color rgb="FF000000"/>
      <name val="Calibri"/>
      <family val="2"/>
    </font>
    <font>
      <b/>
      <sz val="9"/>
      <name val="Tahoma"/>
      <family val="2"/>
    </font>
    <font>
      <sz val="9"/>
      <name val="Tahoma"/>
      <family val="2"/>
    </font>
    <font>
      <sz val="8"/>
      <name val="Tahoma"/>
      <family val="2"/>
    </font>
    <font>
      <b/>
      <sz val="8"/>
      <name val="Tahoma"/>
      <family val="2"/>
    </font>
    <font>
      <b/>
      <i/>
      <sz val="14"/>
      <color rgb="FF00B050"/>
      <name val="Calibri"/>
      <family val="2"/>
    </font>
    <font>
      <b/>
      <i/>
      <sz val="14"/>
      <color rgb="FFFF0000"/>
      <name val="Calibri"/>
      <family val="2"/>
    </font>
    <font>
      <b/>
      <i/>
      <sz val="14"/>
      <color rgb="FFFFFFFF"/>
      <name val="Calibri"/>
      <family val="2"/>
    </font>
    <font>
      <b/>
      <i/>
      <sz val="10"/>
      <color rgb="FF000000"/>
      <name val="Calibri"/>
      <family val="2"/>
    </font>
    <font>
      <b/>
      <i/>
      <sz val="11"/>
      <color rgb="FF000000"/>
      <name val="Calibri"/>
      <family val="2"/>
    </font>
  </fonts>
  <fills count="14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EEEEE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366092"/>
        <bgColor rgb="FFFFFFFF"/>
      </patternFill>
    </fill>
    <fill>
      <patternFill patternType="solid">
        <fgColor rgb="FFB7DEE8"/>
        <bgColor rgb="FFFFFFFF"/>
      </patternFill>
    </fill>
    <fill>
      <patternFill patternType="solid">
        <fgColor rgb="FFFABF8F"/>
        <bgColor rgb="FFFFFFFF"/>
      </patternFill>
    </fill>
    <fill>
      <patternFill patternType="solid">
        <fgColor rgb="FF366092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76933C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963634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DD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FFFFDD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60497A"/>
        <bgColor rgb="FFFFFFFF"/>
      </patternFill>
    </fill>
    <fill>
      <patternFill patternType="solid">
        <fgColor rgb="FFB1A0C7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9CC0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963634"/>
        <bgColor rgb="FFFFFFFF"/>
      </patternFill>
    </fill>
    <fill>
      <patternFill patternType="solid">
        <fgColor rgb="FF963634"/>
        <bgColor rgb="FFFFFFFF"/>
      </patternFill>
    </fill>
    <fill>
      <patternFill patternType="solid">
        <fgColor rgb="FF963634"/>
        <bgColor rgb="FFFFFFFF"/>
      </patternFill>
    </fill>
    <fill>
      <patternFill patternType="solid">
        <fgColor rgb="FF963634"/>
        <bgColor rgb="FFFFFFFF"/>
      </patternFill>
    </fill>
    <fill>
      <patternFill patternType="solid">
        <fgColor rgb="FFDA9694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85858"/>
        <bgColor rgb="FFFFFFFF"/>
      </patternFill>
    </fill>
    <fill>
      <patternFill patternType="solid">
        <fgColor rgb="FF3E3E3E"/>
        <bgColor rgb="FFFFFFFF"/>
      </patternFill>
    </fill>
    <fill>
      <patternFill patternType="solid">
        <fgColor rgb="FF60497A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9CC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60497A"/>
        <bgColor rgb="FFFFFFFF"/>
      </patternFill>
    </fill>
    <fill>
      <patternFill patternType="solid">
        <fgColor rgb="FF60497A"/>
        <bgColor rgb="FFFFFFFF"/>
      </patternFill>
    </fill>
    <fill>
      <patternFill patternType="solid">
        <fgColor rgb="FF60497A"/>
        <bgColor rgb="FFFFFFFF"/>
      </patternFill>
    </fill>
    <fill>
      <patternFill patternType="solid">
        <fgColor rgb="FF60497A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FFE699"/>
        <bgColor rgb="FFFFFFFF"/>
      </patternFill>
    </fill>
    <fill>
      <patternFill patternType="solid">
        <fgColor rgb="FFFFE699"/>
        <bgColor rgb="FFFFFFFF"/>
      </patternFill>
    </fill>
    <fill>
      <patternFill patternType="solid">
        <fgColor rgb="FF215967"/>
        <bgColor rgb="FFFFFFFF"/>
      </patternFill>
    </fill>
    <fill>
      <patternFill patternType="solid">
        <fgColor rgb="FF215967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DAE3F3"/>
        <bgColor rgb="FFFFFFFF"/>
      </patternFill>
    </fill>
    <fill>
      <patternFill patternType="solid">
        <fgColor rgb="FFDBDBDB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D7E3B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E4DFEC"/>
        <bgColor rgb="FFFFFFFF"/>
      </patternFill>
    </fill>
    <fill>
      <patternFill patternType="solid">
        <fgColor rgb="FFE4DFEC"/>
        <bgColor rgb="FFFFFFFF"/>
      </patternFill>
    </fill>
    <fill>
      <patternFill patternType="solid">
        <fgColor rgb="FFBDD7EE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D0CECE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ADB9CA"/>
        <bgColor rgb="FFFFFFFF"/>
      </patternFill>
    </fill>
    <fill>
      <patternFill patternType="solid">
        <fgColor rgb="FFC9C9C9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D0CECE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AFABAB"/>
        <bgColor rgb="FFFFFFFF"/>
      </patternFill>
    </fill>
    <fill>
      <patternFill patternType="solid">
        <fgColor rgb="FFADB9CA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rgb="FF76933C"/>
        <bgColor rgb="FFFFFFFF"/>
      </patternFill>
    </fill>
    <fill>
      <patternFill patternType="solid">
        <fgColor rgb="FF76933C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6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56" fillId="0" borderId="0" applyFont="0" applyFill="0" applyBorder="0" applyAlignment="0" applyProtection="0"/>
    <xf numFmtId="9" fontId="56" fillId="0" borderId="0" applyFont="0" applyFill="0" applyBorder="0" applyAlignment="0" applyProtection="0"/>
    <xf numFmtId="0" fontId="56" fillId="0" borderId="0"/>
    <xf numFmtId="44" fontId="56" fillId="0" borderId="0" applyFont="0" applyFill="0" applyBorder="0" applyAlignment="0" applyProtection="0"/>
  </cellStyleXfs>
  <cellXfs count="616">
    <xf numFmtId="0" fontId="0" fillId="0" borderId="0" xfId="0"/>
    <xf numFmtId="164" fontId="0" fillId="0" borderId="0" xfId="1" applyFont="1"/>
    <xf numFmtId="9" fontId="0" fillId="0" borderId="0" xfId="2" applyFont="1"/>
    <xf numFmtId="0" fontId="56" fillId="0" borderId="0" xfId="3"/>
    <xf numFmtId="0" fontId="2" fillId="2" borderId="1" xfId="0" applyFont="1" applyFill="1" applyBorder="1" applyAlignment="1">
      <alignment horizontal="left" vertical="center"/>
    </xf>
    <xf numFmtId="1" fontId="2" fillId="2" borderId="1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165" fontId="2" fillId="3" borderId="2" xfId="0" applyNumberFormat="1" applyFont="1" applyFill="1" applyBorder="1" applyAlignment="1">
      <alignment horizontal="left" vertical="center"/>
    </xf>
    <xf numFmtId="1" fontId="2" fillId="4" borderId="4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right" vertical="center"/>
    </xf>
    <xf numFmtId="167" fontId="2" fillId="3" borderId="2" xfId="1" applyNumberFormat="1" applyFont="1" applyFill="1" applyBorder="1" applyAlignment="1">
      <alignment horizontal="right" vertical="center"/>
    </xf>
    <xf numFmtId="166" fontId="2" fillId="3" borderId="2" xfId="1" applyNumberFormat="1" applyFont="1" applyFill="1" applyBorder="1" applyAlignment="1">
      <alignment horizontal="right" vertical="center"/>
    </xf>
    <xf numFmtId="0" fontId="3" fillId="5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right" vertical="center"/>
    </xf>
    <xf numFmtId="0" fontId="4" fillId="6" borderId="6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0" fillId="0" borderId="3" xfId="0" applyBorder="1"/>
    <xf numFmtId="165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left" vertical="center"/>
    </xf>
    <xf numFmtId="167" fontId="6" fillId="0" borderId="3" xfId="1" applyNumberFormat="1" applyFont="1" applyBorder="1" applyAlignment="1">
      <alignment horizontal="center"/>
    </xf>
    <xf numFmtId="178" fontId="0" fillId="0" borderId="0" xfId="0" applyNumberFormat="1"/>
    <xf numFmtId="165" fontId="0" fillId="0" borderId="0" xfId="0" applyNumberFormat="1"/>
    <xf numFmtId="1" fontId="0" fillId="0" borderId="0" xfId="0" applyNumberFormat="1"/>
    <xf numFmtId="0" fontId="3" fillId="8" borderId="8" xfId="0" applyFont="1" applyFill="1" applyBorder="1" applyAlignment="1">
      <alignment horizontal="center" vertical="center"/>
    </xf>
    <xf numFmtId="2" fontId="0" fillId="0" borderId="0" xfId="0" applyNumberFormat="1"/>
    <xf numFmtId="166" fontId="7" fillId="9" borderId="9" xfId="1" applyNumberFormat="1" applyFont="1" applyFill="1" applyBorder="1"/>
    <xf numFmtId="165" fontId="0" fillId="0" borderId="0" xfId="0" applyNumberFormat="1" applyAlignment="1">
      <alignment horizontal="center"/>
    </xf>
    <xf numFmtId="0" fontId="8" fillId="0" borderId="3" xfId="0" applyFont="1" applyBorder="1" applyAlignment="1">
      <alignment horizontal="left" vertical="center"/>
    </xf>
    <xf numFmtId="0" fontId="9" fillId="10" borderId="10" xfId="0" applyFont="1" applyFill="1" applyBorder="1"/>
    <xf numFmtId="0" fontId="9" fillId="11" borderId="11" xfId="0" applyFont="1" applyFill="1" applyBorder="1" applyAlignment="1">
      <alignment horizontal="center"/>
    </xf>
    <xf numFmtId="0" fontId="9" fillId="12" borderId="12" xfId="0" applyFont="1" applyFill="1" applyBorder="1" applyAlignment="1">
      <alignment horizontal="center"/>
    </xf>
    <xf numFmtId="0" fontId="9" fillId="13" borderId="13" xfId="0" applyFont="1" applyFill="1" applyBorder="1"/>
    <xf numFmtId="0" fontId="9" fillId="12" borderId="12" xfId="0" applyFont="1" applyFill="1" applyBorder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0" fontId="9" fillId="14" borderId="14" xfId="0" applyFont="1" applyFill="1" applyBorder="1" applyAlignment="1">
      <alignment horizontal="center"/>
    </xf>
    <xf numFmtId="0" fontId="9" fillId="15" borderId="15" xfId="0" applyFont="1" applyFill="1" applyBorder="1" applyAlignment="1">
      <alignment horizontal="center"/>
    </xf>
    <xf numFmtId="0" fontId="7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166" fontId="0" fillId="0" borderId="0" xfId="0" applyNumberFormat="1"/>
    <xf numFmtId="169" fontId="0" fillId="0" borderId="0" xfId="4" applyNumberFormat="1" applyFont="1"/>
    <xf numFmtId="0" fontId="2" fillId="0" borderId="0" xfId="0" applyFont="1"/>
    <xf numFmtId="0" fontId="10" fillId="16" borderId="16" xfId="0" applyFont="1" applyFill="1" applyBorder="1" applyAlignment="1">
      <alignment horizontal="center"/>
    </xf>
    <xf numFmtId="0" fontId="11" fillId="17" borderId="17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9" fontId="0" fillId="0" borderId="3" xfId="0" applyNumberFormat="1" applyBorder="1" applyAlignment="1">
      <alignment horizontal="center"/>
    </xf>
    <xf numFmtId="0" fontId="9" fillId="10" borderId="10" xfId="0" applyFont="1" applyFill="1" applyBorder="1" applyAlignment="1">
      <alignment horizontal="center"/>
    </xf>
    <xf numFmtId="168" fontId="12" fillId="0" borderId="3" xfId="0" applyNumberFormat="1" applyFont="1" applyBorder="1" applyAlignment="1">
      <alignment horizontal="center"/>
    </xf>
    <xf numFmtId="168" fontId="13" fillId="18" borderId="18" xfId="0" applyNumberFormat="1" applyFont="1" applyFill="1" applyBorder="1" applyAlignment="1">
      <alignment horizontal="center"/>
    </xf>
    <xf numFmtId="0" fontId="0" fillId="0" borderId="0" xfId="0" applyAlignment="1">
      <alignment horizontal="right"/>
    </xf>
    <xf numFmtId="165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9" fontId="2" fillId="3" borderId="2" xfId="2" applyFont="1" applyFill="1" applyBorder="1" applyAlignment="1">
      <alignment horizontal="center" vertical="center"/>
    </xf>
    <xf numFmtId="170" fontId="0" fillId="0" borderId="0" xfId="2" applyNumberFormat="1" applyFont="1"/>
    <xf numFmtId="10" fontId="0" fillId="0" borderId="0" xfId="2" applyNumberFormat="1" applyFont="1"/>
    <xf numFmtId="168" fontId="0" fillId="0" borderId="0" xfId="0" applyNumberFormat="1"/>
    <xf numFmtId="166" fontId="0" fillId="0" borderId="0" xfId="1" applyNumberFormat="1" applyFont="1"/>
    <xf numFmtId="178" fontId="2" fillId="3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0" fontId="3" fillId="19" borderId="19" xfId="0" applyFont="1" applyFill="1" applyBorder="1" applyAlignment="1">
      <alignment horizontal="center" vertical="center"/>
    </xf>
    <xf numFmtId="0" fontId="3" fillId="20" borderId="20" xfId="0" applyFont="1" applyFill="1" applyBorder="1" applyAlignment="1">
      <alignment horizontal="center" vertical="center"/>
    </xf>
    <xf numFmtId="167" fontId="0" fillId="0" borderId="0" xfId="1" applyNumberFormat="1" applyFont="1"/>
    <xf numFmtId="167" fontId="0" fillId="0" borderId="0" xfId="0" applyNumberFormat="1"/>
    <xf numFmtId="171" fontId="0" fillId="0" borderId="0" xfId="4" applyNumberFormat="1" applyFont="1"/>
    <xf numFmtId="0" fontId="14" fillId="0" borderId="0" xfId="0" applyFont="1"/>
    <xf numFmtId="0" fontId="6" fillId="0" borderId="0" xfId="0" applyFont="1"/>
    <xf numFmtId="2" fontId="7" fillId="0" borderId="0" xfId="0" applyNumberFormat="1" applyFont="1"/>
    <xf numFmtId="0" fontId="17" fillId="21" borderId="21" xfId="0" applyFont="1" applyFill="1" applyBorder="1" applyAlignment="1">
      <alignment horizontal="center" vertical="top" wrapText="1"/>
    </xf>
    <xf numFmtId="0" fontId="18" fillId="21" borderId="21" xfId="0" applyFont="1" applyFill="1" applyBorder="1" applyAlignment="1">
      <alignment horizontal="center" vertical="top" wrapText="1"/>
    </xf>
    <xf numFmtId="0" fontId="17" fillId="22" borderId="22" xfId="0" applyFont="1" applyFill="1" applyBorder="1" applyAlignment="1">
      <alignment horizontal="center" vertical="top" wrapText="1"/>
    </xf>
    <xf numFmtId="0" fontId="18" fillId="22" borderId="22" xfId="0" applyFont="1" applyFill="1" applyBorder="1" applyAlignment="1">
      <alignment horizontal="center" vertical="top" wrapText="1"/>
    </xf>
    <xf numFmtId="169" fontId="0" fillId="23" borderId="23" xfId="4" applyNumberFormat="1" applyFont="1" applyFill="1" applyBorder="1"/>
    <xf numFmtId="1" fontId="7" fillId="0" borderId="0" xfId="0" applyNumberFormat="1" applyFont="1"/>
    <xf numFmtId="0" fontId="0" fillId="24" borderId="24" xfId="0" applyFill="1" applyBorder="1"/>
    <xf numFmtId="0" fontId="0" fillId="25" borderId="25" xfId="0" applyFill="1" applyBorder="1"/>
    <xf numFmtId="0" fontId="0" fillId="18" borderId="18" xfId="0" applyFill="1" applyBorder="1"/>
    <xf numFmtId="0" fontId="7" fillId="24" borderId="24" xfId="0" applyFont="1" applyFill="1" applyBorder="1" applyAlignment="1">
      <alignment horizontal="center"/>
    </xf>
    <xf numFmtId="0" fontId="7" fillId="25" borderId="25" xfId="0" applyFont="1" applyFill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2" fontId="0" fillId="0" borderId="3" xfId="0" applyNumberFormat="1" applyBorder="1" applyAlignment="1">
      <alignment horizontal="center"/>
    </xf>
    <xf numFmtId="1" fontId="7" fillId="0" borderId="3" xfId="0" applyNumberFormat="1" applyFont="1" applyBorder="1" applyAlignment="1">
      <alignment horizontal="center"/>
    </xf>
    <xf numFmtId="1" fontId="19" fillId="0" borderId="0" xfId="0" applyNumberFormat="1" applyFont="1"/>
    <xf numFmtId="2" fontId="7" fillId="0" borderId="3" xfId="0" applyNumberFormat="1" applyFont="1" applyBorder="1" applyAlignment="1">
      <alignment horizontal="center"/>
    </xf>
    <xf numFmtId="0" fontId="18" fillId="26" borderId="26" xfId="0" applyFont="1" applyFill="1" applyBorder="1" applyAlignment="1">
      <alignment horizontal="center" vertical="top" wrapText="1"/>
    </xf>
    <xf numFmtId="2" fontId="2" fillId="2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20" fillId="0" borderId="3" xfId="0" applyFont="1" applyBorder="1" applyAlignment="1">
      <alignment horizontal="left" vertical="center"/>
    </xf>
    <xf numFmtId="0" fontId="7" fillId="23" borderId="23" xfId="0" applyFont="1" applyFill="1" applyBorder="1"/>
    <xf numFmtId="0" fontId="21" fillId="0" borderId="0" xfId="0" applyFont="1" applyAlignment="1">
      <alignment horizontal="right"/>
    </xf>
    <xf numFmtId="0" fontId="7" fillId="23" borderId="23" xfId="0" applyFont="1" applyFill="1" applyBorder="1" applyAlignment="1">
      <alignment horizontal="center"/>
    </xf>
    <xf numFmtId="0" fontId="56" fillId="27" borderId="27" xfId="3" applyFill="1" applyBorder="1" applyAlignment="1">
      <alignment horizontal="right"/>
    </xf>
    <xf numFmtId="0" fontId="3" fillId="28" borderId="28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2" fontId="7" fillId="0" borderId="0" xfId="0" applyNumberFormat="1" applyFont="1" applyAlignment="1">
      <alignment horizontal="right"/>
    </xf>
    <xf numFmtId="0" fontId="7" fillId="29" borderId="29" xfId="0" applyFont="1" applyFill="1" applyBorder="1"/>
    <xf numFmtId="0" fontId="7" fillId="29" borderId="29" xfId="0" applyFont="1" applyFill="1" applyBorder="1" applyAlignment="1">
      <alignment horizontal="center"/>
    </xf>
    <xf numFmtId="165" fontId="11" fillId="0" borderId="0" xfId="0" applyNumberFormat="1" applyFont="1"/>
    <xf numFmtId="0" fontId="19" fillId="30" borderId="30" xfId="0" applyFont="1" applyFill="1" applyBorder="1"/>
    <xf numFmtId="0" fontId="19" fillId="30" borderId="30" xfId="0" applyFont="1" applyFill="1" applyBorder="1" applyAlignment="1">
      <alignment horizontal="center"/>
    </xf>
    <xf numFmtId="164" fontId="0" fillId="0" borderId="0" xfId="1" applyFont="1" applyAlignment="1">
      <alignment horizontal="center"/>
    </xf>
    <xf numFmtId="168" fontId="7" fillId="0" borderId="0" xfId="0" applyNumberFormat="1" applyFont="1" applyAlignment="1">
      <alignment horizontal="center"/>
    </xf>
    <xf numFmtId="9" fontId="3" fillId="5" borderId="5" xfId="0" applyNumberFormat="1" applyFont="1" applyFill="1" applyBorder="1" applyAlignment="1">
      <alignment horizontal="center" vertical="center"/>
    </xf>
    <xf numFmtId="9" fontId="3" fillId="31" borderId="31" xfId="0" applyNumberFormat="1" applyFont="1" applyFill="1" applyBorder="1" applyAlignment="1">
      <alignment horizontal="center" vertical="center"/>
    </xf>
    <xf numFmtId="0" fontId="3" fillId="31" borderId="31" xfId="0" applyFont="1" applyFill="1" applyBorder="1" applyAlignment="1">
      <alignment horizontal="center" vertical="center"/>
    </xf>
    <xf numFmtId="0" fontId="0" fillId="27" borderId="27" xfId="0" applyFill="1" applyBorder="1"/>
    <xf numFmtId="168" fontId="0" fillId="0" borderId="0" xfId="0" applyNumberFormat="1" applyAlignment="1">
      <alignment horizontal="center"/>
    </xf>
    <xf numFmtId="1" fontId="0" fillId="0" borderId="3" xfId="0" applyNumberFormat="1" applyBorder="1"/>
    <xf numFmtId="9" fontId="3" fillId="19" borderId="19" xfId="0" applyNumberFormat="1" applyFont="1" applyFill="1" applyBorder="1" applyAlignment="1">
      <alignment horizontal="center" vertical="center"/>
    </xf>
    <xf numFmtId="178" fontId="0" fillId="0" borderId="0" xfId="0" applyNumberFormat="1" applyAlignment="1">
      <alignment horizontal="center"/>
    </xf>
    <xf numFmtId="0" fontId="23" fillId="32" borderId="32" xfId="3" applyFont="1" applyFill="1" applyBorder="1"/>
    <xf numFmtId="0" fontId="23" fillId="32" borderId="32" xfId="3" applyFont="1" applyFill="1" applyBorder="1" applyAlignment="1">
      <alignment horizontal="center"/>
    </xf>
    <xf numFmtId="0" fontId="24" fillId="32" borderId="32" xfId="3" applyFont="1" applyFill="1" applyBorder="1" applyAlignment="1">
      <alignment horizontal="center"/>
    </xf>
    <xf numFmtId="0" fontId="24" fillId="32" borderId="32" xfId="3" applyFont="1" applyFill="1" applyBorder="1"/>
    <xf numFmtId="0" fontId="25" fillId="32" borderId="32" xfId="3" applyFont="1" applyFill="1" applyBorder="1" applyAlignment="1">
      <alignment horizontal="left"/>
    </xf>
    <xf numFmtId="0" fontId="25" fillId="32" borderId="32" xfId="3" applyFont="1" applyFill="1" applyBorder="1" applyAlignment="1">
      <alignment horizontal="center"/>
    </xf>
    <xf numFmtId="0" fontId="26" fillId="32" borderId="32" xfId="3" applyFont="1" applyFill="1" applyBorder="1" applyAlignment="1">
      <alignment horizontal="center"/>
    </xf>
    <xf numFmtId="0" fontId="25" fillId="33" borderId="33" xfId="3" applyFont="1" applyFill="1" applyBorder="1" applyAlignment="1">
      <alignment horizontal="left"/>
    </xf>
    <xf numFmtId="0" fontId="25" fillId="33" borderId="33" xfId="3" applyFont="1" applyFill="1" applyBorder="1" applyAlignment="1">
      <alignment horizontal="center"/>
    </xf>
    <xf numFmtId="0" fontId="26" fillId="32" borderId="32" xfId="3" applyFont="1" applyFill="1" applyBorder="1" applyAlignment="1">
      <alignment horizontal="left"/>
    </xf>
    <xf numFmtId="0" fontId="27" fillId="34" borderId="34" xfId="3" applyFont="1" applyFill="1" applyBorder="1" applyAlignment="1">
      <alignment horizontal="right"/>
    </xf>
    <xf numFmtId="0" fontId="28" fillId="0" borderId="0" xfId="3" applyFont="1"/>
    <xf numFmtId="1" fontId="28" fillId="0" borderId="0" xfId="3" applyNumberFormat="1" applyFont="1" applyAlignment="1">
      <alignment horizontal="right"/>
    </xf>
    <xf numFmtId="0" fontId="29" fillId="0" borderId="0" xfId="3" applyFont="1" applyAlignment="1">
      <alignment horizontal="center"/>
    </xf>
    <xf numFmtId="1" fontId="30" fillId="0" borderId="0" xfId="3" applyNumberFormat="1" applyFont="1" applyAlignment="1">
      <alignment horizontal="right"/>
    </xf>
    <xf numFmtId="178" fontId="28" fillId="0" borderId="0" xfId="3" applyNumberFormat="1" applyFont="1" applyAlignment="1">
      <alignment horizontal="center"/>
    </xf>
    <xf numFmtId="0" fontId="28" fillId="0" borderId="0" xfId="3" applyFont="1" applyAlignment="1">
      <alignment horizontal="center"/>
    </xf>
    <xf numFmtId="0" fontId="28" fillId="29" borderId="29" xfId="3" applyFont="1" applyFill="1" applyBorder="1" applyAlignment="1">
      <alignment horizontal="center"/>
    </xf>
    <xf numFmtId="165" fontId="28" fillId="35" borderId="35" xfId="3" applyNumberFormat="1" applyFont="1" applyFill="1" applyBorder="1" applyAlignment="1">
      <alignment horizontal="center"/>
    </xf>
    <xf numFmtId="2" fontId="28" fillId="35" borderId="35" xfId="3" applyNumberFormat="1" applyFont="1" applyFill="1" applyBorder="1" applyAlignment="1">
      <alignment horizontal="right"/>
    </xf>
    <xf numFmtId="165" fontId="32" fillId="35" borderId="35" xfId="3" applyNumberFormat="1" applyFont="1" applyFill="1" applyBorder="1" applyAlignment="1">
      <alignment horizontal="center"/>
    </xf>
    <xf numFmtId="2" fontId="32" fillId="35" borderId="35" xfId="3" applyNumberFormat="1" applyFont="1" applyFill="1" applyBorder="1" applyAlignment="1">
      <alignment horizontal="right"/>
    </xf>
    <xf numFmtId="2" fontId="28" fillId="36" borderId="36" xfId="3" applyNumberFormat="1" applyFont="1" applyFill="1" applyBorder="1" applyAlignment="1">
      <alignment horizontal="right"/>
    </xf>
    <xf numFmtId="1" fontId="28" fillId="0" borderId="0" xfId="3" applyNumberFormat="1" applyFont="1" applyAlignment="1">
      <alignment horizontal="center"/>
    </xf>
    <xf numFmtId="0" fontId="33" fillId="30" borderId="30" xfId="3" applyFont="1" applyFill="1" applyBorder="1" applyAlignment="1">
      <alignment horizontal="center"/>
    </xf>
    <xf numFmtId="0" fontId="23" fillId="13" borderId="13" xfId="3" applyFont="1" applyFill="1" applyBorder="1"/>
    <xf numFmtId="0" fontId="23" fillId="13" borderId="13" xfId="3" applyFont="1" applyFill="1" applyBorder="1" applyAlignment="1">
      <alignment horizontal="center"/>
    </xf>
    <xf numFmtId="0" fontId="24" fillId="13" borderId="13" xfId="3" applyFont="1" applyFill="1" applyBorder="1" applyAlignment="1">
      <alignment horizontal="center"/>
    </xf>
    <xf numFmtId="0" fontId="24" fillId="13" borderId="13" xfId="3" applyFont="1" applyFill="1" applyBorder="1"/>
    <xf numFmtId="0" fontId="25" fillId="37" borderId="37" xfId="3" applyFont="1" applyFill="1" applyBorder="1"/>
    <xf numFmtId="0" fontId="25" fillId="37" borderId="37" xfId="3" applyFont="1" applyFill="1" applyBorder="1" applyAlignment="1">
      <alignment horizontal="center"/>
    </xf>
    <xf numFmtId="0" fontId="25" fillId="38" borderId="38" xfId="3" applyFont="1" applyFill="1" applyBorder="1" applyAlignment="1">
      <alignment horizontal="center"/>
    </xf>
    <xf numFmtId="0" fontId="26" fillId="38" borderId="38" xfId="3" applyFont="1" applyFill="1" applyBorder="1" applyAlignment="1">
      <alignment horizontal="center"/>
    </xf>
    <xf numFmtId="0" fontId="25" fillId="38" borderId="38" xfId="3" applyFont="1" applyFill="1" applyBorder="1"/>
    <xf numFmtId="0" fontId="26" fillId="39" borderId="39" xfId="3" applyFont="1" applyFill="1" applyBorder="1"/>
    <xf numFmtId="0" fontId="26" fillId="39" borderId="39" xfId="3" applyFont="1" applyFill="1" applyBorder="1" applyAlignment="1">
      <alignment horizontal="center"/>
    </xf>
    <xf numFmtId="0" fontId="25" fillId="13" borderId="13" xfId="3" applyFont="1" applyFill="1" applyBorder="1" applyAlignment="1">
      <alignment horizontal="left"/>
    </xf>
    <xf numFmtId="0" fontId="25" fillId="13" borderId="13" xfId="3" applyFont="1" applyFill="1" applyBorder="1" applyAlignment="1">
      <alignment horizontal="center"/>
    </xf>
    <xf numFmtId="0" fontId="26" fillId="13" borderId="13" xfId="3" applyFont="1" applyFill="1" applyBorder="1" applyAlignment="1">
      <alignment horizontal="center"/>
    </xf>
    <xf numFmtId="0" fontId="25" fillId="40" borderId="40" xfId="3" applyFont="1" applyFill="1" applyBorder="1" applyAlignment="1">
      <alignment horizontal="left"/>
    </xf>
    <xf numFmtId="0" fontId="25" fillId="40" borderId="40" xfId="3" applyFont="1" applyFill="1" applyBorder="1" applyAlignment="1">
      <alignment horizontal="center"/>
    </xf>
    <xf numFmtId="0" fontId="26" fillId="13" borderId="13" xfId="3" applyFont="1" applyFill="1" applyBorder="1" applyAlignment="1">
      <alignment horizontal="left"/>
    </xf>
    <xf numFmtId="1" fontId="28" fillId="0" borderId="0" xfId="3" applyNumberFormat="1" applyFont="1"/>
    <xf numFmtId="178" fontId="56" fillId="0" borderId="0" xfId="3" applyNumberFormat="1" applyAlignment="1">
      <alignment horizontal="center"/>
    </xf>
    <xf numFmtId="165" fontId="28" fillId="36" borderId="36" xfId="3" applyNumberFormat="1" applyFont="1" applyFill="1" applyBorder="1" applyAlignment="1">
      <alignment horizontal="center"/>
    </xf>
    <xf numFmtId="2" fontId="31" fillId="36" borderId="36" xfId="3" applyNumberFormat="1" applyFont="1" applyFill="1" applyBorder="1" applyAlignment="1">
      <alignment horizontal="right"/>
    </xf>
    <xf numFmtId="2" fontId="31" fillId="41" borderId="41" xfId="3" applyNumberFormat="1" applyFont="1" applyFill="1" applyBorder="1" applyAlignment="1">
      <alignment horizontal="right"/>
    </xf>
    <xf numFmtId="0" fontId="33" fillId="34" borderId="34" xfId="3" applyFont="1" applyFill="1" applyBorder="1" applyAlignment="1">
      <alignment horizontal="right"/>
    </xf>
    <xf numFmtId="0" fontId="33" fillId="0" borderId="0" xfId="3" applyFont="1" applyAlignment="1">
      <alignment horizontal="center"/>
    </xf>
    <xf numFmtId="0" fontId="23" fillId="42" borderId="42" xfId="3" applyFont="1" applyFill="1" applyBorder="1"/>
    <xf numFmtId="0" fontId="23" fillId="42" borderId="42" xfId="3" applyFont="1" applyFill="1" applyBorder="1" applyAlignment="1">
      <alignment horizontal="center"/>
    </xf>
    <xf numFmtId="0" fontId="24" fillId="42" borderId="42" xfId="3" applyFont="1" applyFill="1" applyBorder="1" applyAlignment="1">
      <alignment horizontal="center"/>
    </xf>
    <xf numFmtId="0" fontId="24" fillId="42" borderId="42" xfId="3" applyFont="1" applyFill="1" applyBorder="1"/>
    <xf numFmtId="0" fontId="25" fillId="43" borderId="43" xfId="3" applyFont="1" applyFill="1" applyBorder="1"/>
    <xf numFmtId="0" fontId="25" fillId="43" borderId="43" xfId="3" applyFont="1" applyFill="1" applyBorder="1" applyAlignment="1">
      <alignment horizontal="center"/>
    </xf>
    <xf numFmtId="0" fontId="25" fillId="44" borderId="44" xfId="3" applyFont="1" applyFill="1" applyBorder="1" applyAlignment="1">
      <alignment horizontal="center"/>
    </xf>
    <xf numFmtId="0" fontId="26" fillId="44" borderId="44" xfId="3" applyFont="1" applyFill="1" applyBorder="1" applyAlignment="1">
      <alignment horizontal="center"/>
    </xf>
    <xf numFmtId="0" fontId="25" fillId="44" borderId="44" xfId="3" applyFont="1" applyFill="1" applyBorder="1"/>
    <xf numFmtId="0" fontId="26" fillId="45" borderId="45" xfId="3" applyFont="1" applyFill="1" applyBorder="1"/>
    <xf numFmtId="0" fontId="26" fillId="45" borderId="45" xfId="3" applyFont="1" applyFill="1" applyBorder="1" applyAlignment="1">
      <alignment horizontal="center"/>
    </xf>
    <xf numFmtId="0" fontId="25" fillId="42" borderId="42" xfId="3" applyFont="1" applyFill="1" applyBorder="1" applyAlignment="1">
      <alignment horizontal="left"/>
    </xf>
    <xf numFmtId="0" fontId="25" fillId="42" borderId="42" xfId="3" applyFont="1" applyFill="1" applyBorder="1" applyAlignment="1">
      <alignment horizontal="center"/>
    </xf>
    <xf numFmtId="0" fontId="26" fillId="42" borderId="42" xfId="3" applyFont="1" applyFill="1" applyBorder="1" applyAlignment="1">
      <alignment horizontal="center"/>
    </xf>
    <xf numFmtId="0" fontId="25" fillId="46" borderId="46" xfId="3" applyFont="1" applyFill="1" applyBorder="1" applyAlignment="1">
      <alignment horizontal="left"/>
    </xf>
    <xf numFmtId="0" fontId="25" fillId="46" borderId="46" xfId="3" applyFont="1" applyFill="1" applyBorder="1" applyAlignment="1">
      <alignment horizontal="center"/>
    </xf>
    <xf numFmtId="0" fontId="26" fillId="42" borderId="42" xfId="3" applyFont="1" applyFill="1" applyBorder="1" applyAlignment="1">
      <alignment horizontal="left"/>
    </xf>
    <xf numFmtId="178" fontId="34" fillId="0" borderId="0" xfId="3" applyNumberFormat="1" applyFont="1" applyAlignment="1">
      <alignment horizontal="center"/>
    </xf>
    <xf numFmtId="0" fontId="25" fillId="47" borderId="47" xfId="3" applyFont="1" applyFill="1" applyBorder="1"/>
    <xf numFmtId="0" fontId="25" fillId="47" borderId="47" xfId="3" applyFont="1" applyFill="1" applyBorder="1" applyAlignment="1">
      <alignment horizontal="center"/>
    </xf>
    <xf numFmtId="0" fontId="25" fillId="48" borderId="48" xfId="3" applyFont="1" applyFill="1" applyBorder="1" applyAlignment="1">
      <alignment horizontal="center"/>
    </xf>
    <xf numFmtId="0" fontId="26" fillId="48" borderId="48" xfId="3" applyFont="1" applyFill="1" applyBorder="1" applyAlignment="1">
      <alignment horizontal="center"/>
    </xf>
    <xf numFmtId="0" fontId="25" fillId="48" borderId="48" xfId="3" applyFont="1" applyFill="1" applyBorder="1"/>
    <xf numFmtId="0" fontId="26" fillId="49" borderId="49" xfId="3" applyFont="1" applyFill="1" applyBorder="1"/>
    <xf numFmtId="0" fontId="26" fillId="49" borderId="49" xfId="3" applyFont="1" applyFill="1" applyBorder="1" applyAlignment="1">
      <alignment horizontal="center"/>
    </xf>
    <xf numFmtId="0" fontId="25" fillId="50" borderId="50" xfId="3" applyFont="1" applyFill="1" applyBorder="1" applyAlignment="1">
      <alignment horizontal="left"/>
    </xf>
    <xf numFmtId="0" fontId="25" fillId="50" borderId="50" xfId="3" applyFont="1" applyFill="1" applyBorder="1" applyAlignment="1">
      <alignment horizontal="center"/>
    </xf>
    <xf numFmtId="0" fontId="26" fillId="50" borderId="50" xfId="3" applyFont="1" applyFill="1" applyBorder="1" applyAlignment="1">
      <alignment horizontal="center"/>
    </xf>
    <xf numFmtId="0" fontId="25" fillId="51" borderId="51" xfId="3" applyFont="1" applyFill="1" applyBorder="1" applyAlignment="1">
      <alignment horizontal="left"/>
    </xf>
    <xf numFmtId="0" fontId="25" fillId="52" borderId="52" xfId="3" applyFont="1" applyFill="1" applyBorder="1" applyAlignment="1">
      <alignment horizontal="center"/>
    </xf>
    <xf numFmtId="0" fontId="26" fillId="50" borderId="50" xfId="3" applyFont="1" applyFill="1" applyBorder="1" applyAlignment="1">
      <alignment horizontal="left"/>
    </xf>
    <xf numFmtId="0" fontId="33" fillId="0" borderId="0" xfId="3" applyFont="1"/>
    <xf numFmtId="0" fontId="6" fillId="0" borderId="0" xfId="3" applyFont="1"/>
    <xf numFmtId="0" fontId="6" fillId="0" borderId="0" xfId="3" applyFont="1" applyAlignment="1">
      <alignment horizontal="center"/>
    </xf>
    <xf numFmtId="0" fontId="29" fillId="0" borderId="3" xfId="3" applyFont="1" applyBorder="1"/>
    <xf numFmtId="178" fontId="29" fillId="0" borderId="3" xfId="3" applyNumberFormat="1" applyFont="1" applyBorder="1"/>
    <xf numFmtId="0" fontId="35" fillId="0" borderId="0" xfId="3" applyFont="1" applyAlignment="1">
      <alignment horizontal="center" wrapText="1"/>
    </xf>
    <xf numFmtId="0" fontId="33" fillId="0" borderId="0" xfId="3" applyFont="1" applyAlignment="1">
      <alignment horizontal="center" wrapText="1"/>
    </xf>
    <xf numFmtId="172" fontId="33" fillId="0" borderId="0" xfId="3" applyNumberFormat="1" applyFont="1"/>
    <xf numFmtId="0" fontId="36" fillId="0" borderId="0" xfId="3" applyFont="1"/>
    <xf numFmtId="0" fontId="9" fillId="53" borderId="53" xfId="3" applyFont="1" applyFill="1" applyBorder="1" applyAlignment="1">
      <alignment horizontal="left"/>
    </xf>
    <xf numFmtId="2" fontId="56" fillId="0" borderId="3" xfId="3" applyNumberFormat="1" applyBorder="1" applyAlignment="1">
      <alignment horizontal="right"/>
    </xf>
    <xf numFmtId="2" fontId="22" fillId="54" borderId="54" xfId="3" applyNumberFormat="1" applyFont="1" applyFill="1" applyBorder="1" applyAlignment="1">
      <alignment horizontal="right"/>
    </xf>
    <xf numFmtId="2" fontId="38" fillId="54" borderId="54" xfId="3" applyNumberFormat="1" applyFont="1" applyFill="1" applyBorder="1" applyAlignment="1">
      <alignment horizontal="right"/>
    </xf>
    <xf numFmtId="2" fontId="56" fillId="55" borderId="55" xfId="3" applyNumberFormat="1" applyFill="1" applyBorder="1" applyAlignment="1">
      <alignment horizontal="right"/>
    </xf>
    <xf numFmtId="178" fontId="0" fillId="0" borderId="3" xfId="0" applyNumberFormat="1" applyBorder="1"/>
    <xf numFmtId="0" fontId="56" fillId="0" borderId="3" xfId="3" applyBorder="1" applyAlignment="1">
      <alignment horizontal="right"/>
    </xf>
    <xf numFmtId="2" fontId="56" fillId="54" borderId="54" xfId="3" applyNumberFormat="1" applyFill="1" applyBorder="1" applyAlignment="1">
      <alignment horizontal="right"/>
    </xf>
    <xf numFmtId="1" fontId="56" fillId="0" borderId="3" xfId="3" applyNumberFormat="1" applyBorder="1" applyAlignment="1">
      <alignment horizontal="right"/>
    </xf>
    <xf numFmtId="2" fontId="28" fillId="0" borderId="3" xfId="3" applyNumberFormat="1" applyFont="1" applyBorder="1" applyAlignment="1">
      <alignment horizontal="right"/>
    </xf>
    <xf numFmtId="2" fontId="28" fillId="55" borderId="55" xfId="3" applyNumberFormat="1" applyFont="1" applyFill="1" applyBorder="1" applyAlignment="1">
      <alignment horizontal="right"/>
    </xf>
    <xf numFmtId="2" fontId="32" fillId="54" borderId="54" xfId="3" applyNumberFormat="1" applyFont="1" applyFill="1" applyBorder="1" applyAlignment="1">
      <alignment horizontal="right"/>
    </xf>
    <xf numFmtId="2" fontId="39" fillId="54" borderId="54" xfId="3" applyNumberFormat="1" applyFont="1" applyFill="1" applyBorder="1" applyAlignment="1">
      <alignment horizontal="right"/>
    </xf>
    <xf numFmtId="2" fontId="28" fillId="54" borderId="54" xfId="3" applyNumberFormat="1" applyFont="1" applyFill="1" applyBorder="1" applyAlignment="1">
      <alignment horizontal="right"/>
    </xf>
    <xf numFmtId="2" fontId="31" fillId="54" borderId="54" xfId="3" applyNumberFormat="1" applyFont="1" applyFill="1" applyBorder="1" applyAlignment="1">
      <alignment horizontal="right"/>
    </xf>
    <xf numFmtId="0" fontId="32" fillId="0" borderId="3" xfId="3" applyFont="1" applyBorder="1" applyAlignment="1">
      <alignment horizontal="right"/>
    </xf>
    <xf numFmtId="2" fontId="31" fillId="55" borderId="55" xfId="3" applyNumberFormat="1" applyFont="1" applyFill="1" applyBorder="1" applyAlignment="1">
      <alignment horizontal="right"/>
    </xf>
    <xf numFmtId="2" fontId="32" fillId="18" borderId="18" xfId="3" applyNumberFormat="1" applyFont="1" applyFill="1" applyBorder="1" applyAlignment="1">
      <alignment horizontal="right"/>
    </xf>
    <xf numFmtId="0" fontId="28" fillId="0" borderId="3" xfId="3" applyFont="1" applyBorder="1"/>
    <xf numFmtId="2" fontId="31" fillId="56" borderId="56" xfId="3" applyNumberFormat="1" applyFont="1" applyFill="1" applyBorder="1" applyAlignment="1">
      <alignment horizontal="right"/>
    </xf>
    <xf numFmtId="178" fontId="28" fillId="0" borderId="3" xfId="3" applyNumberFormat="1" applyFont="1" applyBorder="1" applyAlignment="1">
      <alignment horizontal="center"/>
    </xf>
    <xf numFmtId="178" fontId="56" fillId="0" borderId="3" xfId="3" applyNumberFormat="1" applyBorder="1" applyAlignment="1">
      <alignment horizontal="center"/>
    </xf>
    <xf numFmtId="0" fontId="28" fillId="18" borderId="18" xfId="3" applyFont="1" applyFill="1" applyBorder="1"/>
    <xf numFmtId="0" fontId="37" fillId="57" borderId="57" xfId="3" applyFont="1" applyFill="1" applyBorder="1"/>
    <xf numFmtId="0" fontId="37" fillId="58" borderId="58" xfId="3" applyFont="1" applyFill="1" applyBorder="1"/>
    <xf numFmtId="0" fontId="9" fillId="59" borderId="59" xfId="3" applyFont="1" applyFill="1" applyBorder="1" applyAlignment="1">
      <alignment horizontal="left"/>
    </xf>
    <xf numFmtId="0" fontId="7" fillId="0" borderId="60" xfId="3" applyFont="1" applyBorder="1" applyAlignment="1">
      <alignment horizontal="right"/>
    </xf>
    <xf numFmtId="0" fontId="9" fillId="60" borderId="61" xfId="3" applyFont="1" applyFill="1" applyBorder="1" applyAlignment="1">
      <alignment horizontal="left"/>
    </xf>
    <xf numFmtId="2" fontId="14" fillId="54" borderId="54" xfId="3" applyNumberFormat="1" applyFont="1" applyFill="1" applyBorder="1" applyAlignment="1">
      <alignment horizontal="right"/>
    </xf>
    <xf numFmtId="0" fontId="32" fillId="0" borderId="3" xfId="3" applyFont="1" applyBorder="1"/>
    <xf numFmtId="165" fontId="32" fillId="18" borderId="18" xfId="3" applyNumberFormat="1" applyFont="1" applyFill="1" applyBorder="1" applyAlignment="1">
      <alignment horizontal="center"/>
    </xf>
    <xf numFmtId="165" fontId="32" fillId="54" borderId="54" xfId="3" applyNumberFormat="1" applyFont="1" applyFill="1" applyBorder="1" applyAlignment="1">
      <alignment horizontal="center"/>
    </xf>
    <xf numFmtId="2" fontId="40" fillId="54" borderId="54" xfId="3" applyNumberFormat="1" applyFont="1" applyFill="1" applyBorder="1" applyAlignment="1">
      <alignment horizontal="right"/>
    </xf>
    <xf numFmtId="165" fontId="28" fillId="55" borderId="55" xfId="3" applyNumberFormat="1" applyFont="1" applyFill="1" applyBorder="1" applyAlignment="1">
      <alignment horizontal="center"/>
    </xf>
    <xf numFmtId="165" fontId="28" fillId="54" borderId="54" xfId="3" applyNumberFormat="1" applyFont="1" applyFill="1" applyBorder="1" applyAlignment="1">
      <alignment horizontal="center"/>
    </xf>
    <xf numFmtId="165" fontId="28" fillId="18" borderId="18" xfId="3" applyNumberFormat="1" applyFont="1" applyFill="1" applyBorder="1" applyAlignment="1">
      <alignment horizontal="center"/>
    </xf>
    <xf numFmtId="0" fontId="12" fillId="0" borderId="0" xfId="0" applyFont="1"/>
    <xf numFmtId="178" fontId="12" fillId="0" borderId="0" xfId="0" applyNumberFormat="1" applyFont="1" applyAlignment="1">
      <alignment horizontal="center"/>
    </xf>
    <xf numFmtId="0" fontId="7" fillId="61" borderId="62" xfId="0" applyFont="1" applyFill="1" applyBorder="1" applyAlignment="1">
      <alignment horizontal="center" wrapText="1"/>
    </xf>
    <xf numFmtId="0" fontId="7" fillId="62" borderId="63" xfId="0" applyFont="1" applyFill="1" applyBorder="1" applyAlignment="1">
      <alignment horizontal="center" wrapText="1"/>
    </xf>
    <xf numFmtId="0" fontId="10" fillId="0" borderId="6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1" fontId="7" fillId="61" borderId="62" xfId="0" applyNumberFormat="1" applyFont="1" applyFill="1" applyBorder="1" applyAlignment="1">
      <alignment horizontal="center" wrapText="1"/>
    </xf>
    <xf numFmtId="1" fontId="7" fillId="63" borderId="65" xfId="0" applyNumberFormat="1" applyFont="1" applyFill="1" applyBorder="1" applyAlignment="1">
      <alignment horizontal="center" wrapText="1"/>
    </xf>
    <xf numFmtId="0" fontId="7" fillId="0" borderId="66" xfId="0" applyFont="1" applyBorder="1"/>
    <xf numFmtId="173" fontId="0" fillId="0" borderId="67" xfId="0" applyNumberFormat="1" applyBorder="1"/>
    <xf numFmtId="173" fontId="0" fillId="0" borderId="68" xfId="0" applyNumberFormat="1" applyBorder="1"/>
    <xf numFmtId="0" fontId="7" fillId="0" borderId="69" xfId="0" applyFont="1" applyBorder="1"/>
    <xf numFmtId="173" fontId="0" fillId="0" borderId="70" xfId="0" applyNumberFormat="1" applyBorder="1"/>
    <xf numFmtId="0" fontId="42" fillId="64" borderId="71" xfId="0" applyFont="1" applyFill="1" applyBorder="1"/>
    <xf numFmtId="174" fontId="42" fillId="64" borderId="71" xfId="0" applyNumberFormat="1" applyFont="1" applyFill="1" applyBorder="1"/>
    <xf numFmtId="174" fontId="42" fillId="65" borderId="72" xfId="0" applyNumberFormat="1" applyFont="1" applyFill="1" applyBorder="1"/>
    <xf numFmtId="0" fontId="10" fillId="0" borderId="0" xfId="0" applyFont="1"/>
    <xf numFmtId="173" fontId="7" fillId="0" borderId="67" xfId="0" applyNumberFormat="1" applyFont="1" applyBorder="1"/>
    <xf numFmtId="170" fontId="7" fillId="0" borderId="0" xfId="2" applyNumberFormat="1" applyFont="1"/>
    <xf numFmtId="173" fontId="7" fillId="0" borderId="0" xfId="0" applyNumberFormat="1" applyFont="1"/>
    <xf numFmtId="170" fontId="7" fillId="0" borderId="73" xfId="2" applyNumberFormat="1" applyFont="1" applyBorder="1"/>
    <xf numFmtId="0" fontId="42" fillId="66" borderId="74" xfId="0" applyFont="1" applyFill="1" applyBorder="1"/>
    <xf numFmtId="174" fontId="42" fillId="66" borderId="74" xfId="0" applyNumberFormat="1" applyFont="1" applyFill="1" applyBorder="1"/>
    <xf numFmtId="174" fontId="42" fillId="67" borderId="75" xfId="0" applyNumberFormat="1" applyFont="1" applyFill="1" applyBorder="1"/>
    <xf numFmtId="0" fontId="7" fillId="68" borderId="76" xfId="0" applyFont="1" applyFill="1" applyBorder="1" applyAlignment="1">
      <alignment wrapText="1"/>
    </xf>
    <xf numFmtId="170" fontId="7" fillId="69" borderId="77" xfId="2" applyNumberFormat="1" applyFont="1" applyFill="1" applyBorder="1"/>
    <xf numFmtId="0" fontId="0" fillId="70" borderId="78" xfId="0" applyFill="1" applyBorder="1" applyAlignment="1">
      <alignment horizontal="right"/>
    </xf>
    <xf numFmtId="173" fontId="0" fillId="71" borderId="79" xfId="0" applyNumberFormat="1" applyFill="1" applyBorder="1"/>
    <xf numFmtId="0" fontId="0" fillId="72" borderId="80" xfId="0" applyFill="1" applyBorder="1" applyAlignment="1">
      <alignment horizontal="right"/>
    </xf>
    <xf numFmtId="173" fontId="0" fillId="23" borderId="23" xfId="0" applyNumberFormat="1" applyFill="1" applyBorder="1"/>
    <xf numFmtId="170" fontId="0" fillId="0" borderId="73" xfId="2" applyNumberFormat="1" applyFont="1" applyBorder="1"/>
    <xf numFmtId="0" fontId="7" fillId="73" borderId="81" xfId="0" applyFont="1" applyFill="1" applyBorder="1" applyAlignment="1">
      <alignment wrapText="1"/>
    </xf>
    <xf numFmtId="174" fontId="7" fillId="74" borderId="82" xfId="0" applyNumberFormat="1" applyFont="1" applyFill="1" applyBorder="1"/>
    <xf numFmtId="174" fontId="0" fillId="73" borderId="81" xfId="0" applyNumberFormat="1" applyFill="1" applyBorder="1"/>
    <xf numFmtId="174" fontId="0" fillId="73" borderId="81" xfId="0" applyNumberFormat="1" applyFill="1" applyBorder="1" applyAlignment="1">
      <alignment horizontal="center"/>
    </xf>
    <xf numFmtId="0" fontId="0" fillId="75" borderId="83" xfId="0" applyFill="1" applyBorder="1" applyAlignment="1">
      <alignment horizontal="right"/>
    </xf>
    <xf numFmtId="173" fontId="0" fillId="76" borderId="84" xfId="0" applyNumberFormat="1" applyFill="1" applyBorder="1" applyAlignment="1">
      <alignment horizontal="right"/>
    </xf>
    <xf numFmtId="0" fontId="0" fillId="0" borderId="66" xfId="0" applyBorder="1" applyAlignment="1">
      <alignment horizontal="right"/>
    </xf>
    <xf numFmtId="173" fontId="0" fillId="0" borderId="0" xfId="0" applyNumberFormat="1"/>
    <xf numFmtId="0" fontId="0" fillId="0" borderId="66" xfId="0" applyBorder="1"/>
    <xf numFmtId="0" fontId="0" fillId="77" borderId="85" xfId="0" applyFill="1" applyBorder="1" applyAlignment="1">
      <alignment horizontal="right"/>
    </xf>
    <xf numFmtId="173" fontId="0" fillId="78" borderId="86" xfId="0" applyNumberFormat="1" applyFill="1" applyBorder="1" applyAlignment="1">
      <alignment horizontal="right"/>
    </xf>
    <xf numFmtId="0" fontId="0" fillId="79" borderId="87" xfId="0" applyFill="1" applyBorder="1" applyAlignment="1">
      <alignment horizontal="right"/>
    </xf>
    <xf numFmtId="173" fontId="0" fillId="34" borderId="34" xfId="0" applyNumberFormat="1" applyFill="1" applyBorder="1" applyAlignment="1">
      <alignment horizontal="right"/>
    </xf>
    <xf numFmtId="0" fontId="43" fillId="0" borderId="0" xfId="0" applyFont="1"/>
    <xf numFmtId="0" fontId="44" fillId="0" borderId="0" xfId="0" applyFont="1"/>
    <xf numFmtId="170" fontId="43" fillId="0" borderId="3" xfId="0" applyNumberFormat="1" applyFont="1" applyBorder="1"/>
    <xf numFmtId="0" fontId="0" fillId="0" borderId="67" xfId="0" applyBorder="1"/>
    <xf numFmtId="0" fontId="43" fillId="73" borderId="81" xfId="0" applyFont="1" applyFill="1" applyBorder="1"/>
    <xf numFmtId="0" fontId="43" fillId="73" borderId="81" xfId="0" applyFont="1" applyFill="1" applyBorder="1" applyAlignment="1">
      <alignment wrapText="1"/>
    </xf>
    <xf numFmtId="174" fontId="43" fillId="74" borderId="82" xfId="0" applyNumberFormat="1" applyFont="1" applyFill="1" applyBorder="1"/>
    <xf numFmtId="174" fontId="43" fillId="73" borderId="81" xfId="0" applyNumberFormat="1" applyFont="1" applyFill="1" applyBorder="1"/>
    <xf numFmtId="0" fontId="7" fillId="80" borderId="88" xfId="0" applyFont="1" applyFill="1" applyBorder="1" applyAlignment="1">
      <alignment wrapText="1"/>
    </xf>
    <xf numFmtId="0" fontId="7" fillId="80" borderId="88" xfId="0" applyFont="1" applyFill="1" applyBorder="1"/>
    <xf numFmtId="174" fontId="7" fillId="81" borderId="89" xfId="0" applyNumberFormat="1" applyFont="1" applyFill="1" applyBorder="1"/>
    <xf numFmtId="174" fontId="0" fillId="80" borderId="88" xfId="0" applyNumberFormat="1" applyFill="1" applyBorder="1"/>
    <xf numFmtId="0" fontId="0" fillId="82" borderId="90" xfId="0" applyFill="1" applyBorder="1" applyAlignment="1">
      <alignment horizontal="right"/>
    </xf>
    <xf numFmtId="173" fontId="0" fillId="40" borderId="40" xfId="0" applyNumberFormat="1" applyFill="1" applyBorder="1"/>
    <xf numFmtId="173" fontId="0" fillId="0" borderId="73" xfId="0" applyNumberFormat="1" applyBorder="1"/>
    <xf numFmtId="173" fontId="7" fillId="0" borderId="0" xfId="0" applyNumberFormat="1" applyFont="1" applyAlignment="1">
      <alignment horizontal="right"/>
    </xf>
    <xf numFmtId="0" fontId="0" fillId="83" borderId="91" xfId="0" applyFill="1" applyBorder="1" applyAlignment="1">
      <alignment horizontal="right"/>
    </xf>
    <xf numFmtId="173" fontId="0" fillId="84" borderId="92" xfId="0" applyNumberFormat="1" applyFill="1" applyBorder="1" applyAlignment="1">
      <alignment horizontal="right"/>
    </xf>
    <xf numFmtId="173" fontId="7" fillId="0" borderId="67" xfId="0" applyNumberFormat="1" applyFont="1" applyBorder="1" applyAlignment="1">
      <alignment horizontal="right"/>
    </xf>
    <xf numFmtId="0" fontId="11" fillId="0" borderId="0" xfId="0" applyFont="1"/>
    <xf numFmtId="173" fontId="0" fillId="84" borderId="92" xfId="0" applyNumberFormat="1" applyFill="1" applyBorder="1"/>
    <xf numFmtId="0" fontId="7" fillId="85" borderId="93" xfId="0" applyFont="1" applyFill="1" applyBorder="1"/>
    <xf numFmtId="170" fontId="7" fillId="81" borderId="89" xfId="2" applyNumberFormat="1" applyFont="1" applyFill="1" applyBorder="1"/>
    <xf numFmtId="173" fontId="0" fillId="86" borderId="94" xfId="0" applyNumberFormat="1" applyFill="1" applyBorder="1"/>
    <xf numFmtId="0" fontId="11" fillId="80" borderId="88" xfId="0" applyFont="1" applyFill="1" applyBorder="1" applyAlignment="1">
      <alignment wrapText="1"/>
    </xf>
    <xf numFmtId="0" fontId="11" fillId="80" borderId="88" xfId="0" applyFont="1" applyFill="1" applyBorder="1"/>
    <xf numFmtId="174" fontId="11" fillId="81" borderId="89" xfId="0" applyNumberFormat="1" applyFont="1" applyFill="1" applyBorder="1"/>
    <xf numFmtId="174" fontId="11" fillId="80" borderId="88" xfId="0" applyNumberFormat="1" applyFont="1" applyFill="1" applyBorder="1"/>
    <xf numFmtId="0" fontId="42" fillId="67" borderId="75" xfId="0" applyFont="1" applyFill="1" applyBorder="1"/>
    <xf numFmtId="0" fontId="12" fillId="0" borderId="0" xfId="0" applyFont="1" applyAlignment="1">
      <alignment wrapText="1"/>
    </xf>
    <xf numFmtId="178" fontId="12" fillId="0" borderId="0" xfId="0" applyNumberFormat="1" applyFont="1" applyAlignment="1">
      <alignment wrapText="1"/>
    </xf>
    <xf numFmtId="173" fontId="0" fillId="0" borderId="67" xfId="0" applyNumberFormat="1" applyBorder="1" applyAlignment="1">
      <alignment horizontal="right"/>
    </xf>
    <xf numFmtId="175" fontId="7" fillId="0" borderId="0" xfId="0" applyNumberFormat="1" applyFont="1"/>
    <xf numFmtId="175" fontId="7" fillId="0" borderId="0" xfId="0" applyNumberFormat="1" applyFont="1" applyAlignment="1">
      <alignment horizontal="center"/>
    </xf>
    <xf numFmtId="0" fontId="7" fillId="87" borderId="95" xfId="0" applyFont="1" applyFill="1" applyBorder="1" applyAlignment="1">
      <alignment horizontal="center"/>
    </xf>
    <xf numFmtId="176" fontId="7" fillId="87" borderId="95" xfId="1" applyNumberFormat="1" applyFont="1" applyFill="1" applyBorder="1" applyAlignment="1">
      <alignment horizontal="center" wrapText="1"/>
    </xf>
    <xf numFmtId="0" fontId="7" fillId="87" borderId="95" xfId="0" applyFont="1" applyFill="1" applyBorder="1" applyAlignment="1">
      <alignment horizontal="right"/>
    </xf>
    <xf numFmtId="170" fontId="11" fillId="0" borderId="3" xfId="2" applyNumberFormat="1" applyFont="1" applyBorder="1"/>
    <xf numFmtId="170" fontId="11" fillId="0" borderId="64" xfId="2" applyNumberFormat="1" applyFont="1" applyBorder="1" applyAlignment="1">
      <alignment horizontal="center"/>
    </xf>
    <xf numFmtId="0" fontId="0" fillId="88" borderId="96" xfId="0" applyFill="1" applyBorder="1" applyAlignment="1">
      <alignment horizontal="right"/>
    </xf>
    <xf numFmtId="173" fontId="0" fillId="89" borderId="97" xfId="0" applyNumberFormat="1" applyFill="1" applyBorder="1"/>
    <xf numFmtId="0" fontId="0" fillId="0" borderId="98" xfId="0" applyBorder="1" applyAlignment="1">
      <alignment horizontal="right"/>
    </xf>
    <xf numFmtId="173" fontId="0" fillId="0" borderId="99" xfId="0" applyNumberFormat="1" applyBorder="1"/>
    <xf numFmtId="170" fontId="0" fillId="0" borderId="100" xfId="2" applyNumberFormat="1" applyFont="1" applyBorder="1"/>
    <xf numFmtId="177" fontId="7" fillId="87" borderId="95" xfId="4" applyNumberFormat="1" applyFont="1" applyFill="1" applyBorder="1" applyAlignment="1">
      <alignment horizontal="center" wrapText="1"/>
    </xf>
    <xf numFmtId="0" fontId="10" fillId="0" borderId="98" xfId="0" applyFont="1" applyBorder="1" applyAlignment="1">
      <alignment horizontal="right"/>
    </xf>
    <xf numFmtId="173" fontId="10" fillId="0" borderId="101" xfId="0" applyNumberFormat="1" applyFont="1" applyBorder="1"/>
    <xf numFmtId="9" fontId="7" fillId="0" borderId="70" xfId="2" applyFont="1" applyBorder="1"/>
    <xf numFmtId="9" fontId="7" fillId="0" borderId="100" xfId="2" applyFont="1" applyBorder="1"/>
    <xf numFmtId="164" fontId="7" fillId="87" borderId="95" xfId="1" applyFont="1" applyFill="1" applyBorder="1" applyAlignment="1">
      <alignment horizontal="center" wrapText="1"/>
    </xf>
    <xf numFmtId="0" fontId="22" fillId="0" borderId="0" xfId="0" applyFont="1" applyAlignment="1">
      <alignment horizontal="right"/>
    </xf>
    <xf numFmtId="173" fontId="22" fillId="0" borderId="0" xfId="0" applyNumberFormat="1" applyFont="1"/>
    <xf numFmtId="0" fontId="46" fillId="0" borderId="0" xfId="0" applyFont="1" applyAlignment="1">
      <alignment horizontal="right"/>
    </xf>
    <xf numFmtId="173" fontId="46" fillId="0" borderId="0" xfId="0" applyNumberFormat="1" applyFont="1"/>
    <xf numFmtId="2" fontId="47" fillId="0" borderId="0" xfId="0" applyNumberFormat="1" applyFont="1"/>
    <xf numFmtId="0" fontId="48" fillId="0" borderId="0" xfId="0" applyFont="1"/>
    <xf numFmtId="176" fontId="0" fillId="0" borderId="0" xfId="0" applyNumberFormat="1"/>
    <xf numFmtId="174" fontId="0" fillId="0" borderId="0" xfId="0" applyNumberFormat="1"/>
    <xf numFmtId="0" fontId="0" fillId="0" borderId="0" xfId="0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left"/>
    </xf>
    <xf numFmtId="166" fontId="0" fillId="0" borderId="0" xfId="1" applyNumberFormat="1" applyFont="1" applyAlignment="1">
      <alignment horizontal="center"/>
    </xf>
    <xf numFmtId="0" fontId="56" fillId="4" borderId="4" xfId="3" applyFill="1" applyBorder="1" applyAlignment="1">
      <alignment horizontal="right"/>
    </xf>
    <xf numFmtId="174" fontId="48" fillId="0" borderId="0" xfId="0" applyNumberFormat="1" applyFont="1"/>
    <xf numFmtId="173" fontId="22" fillId="78" borderId="86" xfId="0" applyNumberFormat="1" applyFont="1" applyFill="1" applyBorder="1" applyAlignment="1">
      <alignment horizontal="right"/>
    </xf>
    <xf numFmtId="0" fontId="27" fillId="4" borderId="4" xfId="3" applyFont="1" applyFill="1" applyBorder="1" applyAlignment="1">
      <alignment horizontal="right"/>
    </xf>
    <xf numFmtId="1" fontId="28" fillId="0" borderId="3" xfId="3" applyNumberFormat="1" applyFont="1" applyBorder="1" applyAlignment="1">
      <alignment horizontal="right"/>
    </xf>
    <xf numFmtId="0" fontId="29" fillId="0" borderId="3" xfId="3" applyFont="1" applyBorder="1" applyAlignment="1">
      <alignment horizontal="center"/>
    </xf>
    <xf numFmtId="173" fontId="44" fillId="86" borderId="94" xfId="0" applyNumberFormat="1" applyFont="1" applyFill="1" applyBorder="1"/>
    <xf numFmtId="0" fontId="33" fillId="4" borderId="4" xfId="3" applyFont="1" applyFill="1" applyBorder="1" applyAlignment="1">
      <alignment horizontal="right"/>
    </xf>
    <xf numFmtId="0" fontId="7" fillId="90" borderId="102" xfId="0" applyFont="1" applyFill="1" applyBorder="1" applyAlignment="1">
      <alignment horizontal="right"/>
    </xf>
    <xf numFmtId="2" fontId="0" fillId="0" borderId="0" xfId="0" applyNumberFormat="1" applyAlignment="1">
      <alignment horizontal="left" indent="2"/>
      <extLst>
        <ext uri="smNativeData">
          <pm:cellMargin xmlns:pm="smNativeData" id="1595604475" l="384" r="0" t="0" b="0" textRotation="0"/>
        </ext>
      </extLst>
    </xf>
    <xf numFmtId="1" fontId="28" fillId="0" borderId="3" xfId="3" applyNumberFormat="1" applyFont="1" applyBorder="1"/>
    <xf numFmtId="165" fontId="40" fillId="54" borderId="54" xfId="3" applyNumberFormat="1" applyFont="1" applyFill="1" applyBorder="1" applyAlignment="1">
      <alignment horizontal="center"/>
    </xf>
    <xf numFmtId="2" fontId="31" fillId="35" borderId="35" xfId="3" applyNumberFormat="1" applyFont="1" applyFill="1" applyBorder="1" applyAlignment="1">
      <alignment horizontal="right"/>
    </xf>
    <xf numFmtId="1" fontId="7" fillId="0" borderId="0" xfId="0" applyNumberFormat="1" applyFont="1" applyAlignment="1">
      <alignment horizontal="center"/>
    </xf>
    <xf numFmtId="165" fontId="5" fillId="0" borderId="3" xfId="0" applyNumberFormat="1" applyFont="1" applyBorder="1"/>
    <xf numFmtId="0" fontId="50" fillId="91" borderId="103" xfId="0" applyFont="1" applyFill="1" applyBorder="1" applyAlignment="1">
      <alignment horizontal="center" wrapText="1"/>
    </xf>
    <xf numFmtId="0" fontId="0" fillId="92" borderId="104" xfId="0" applyFill="1" applyBorder="1"/>
    <xf numFmtId="0" fontId="51" fillId="93" borderId="105" xfId="0" applyFont="1" applyFill="1" applyBorder="1" applyAlignment="1">
      <alignment horizontal="center" wrapText="1"/>
    </xf>
    <xf numFmtId="0" fontId="52" fillId="0" borderId="0" xfId="0" applyFont="1" applyAlignment="1">
      <alignment horizontal="center" wrapText="1"/>
    </xf>
    <xf numFmtId="2" fontId="52" fillId="0" borderId="0" xfId="0" applyNumberFormat="1" applyFont="1" applyAlignment="1">
      <alignment horizontal="center" wrapText="1"/>
    </xf>
    <xf numFmtId="0" fontId="51" fillId="0" borderId="0" xfId="0" applyFont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60" xfId="0" applyBorder="1" applyAlignment="1">
      <alignment wrapText="1"/>
    </xf>
    <xf numFmtId="1" fontId="0" fillId="0" borderId="70" xfId="0" applyNumberFormat="1" applyBorder="1"/>
    <xf numFmtId="0" fontId="0" fillId="0" borderId="60" xfId="0" applyBorder="1"/>
    <xf numFmtId="0" fontId="52" fillId="94" borderId="106" xfId="0" applyFont="1" applyFill="1" applyBorder="1" applyAlignment="1">
      <alignment horizontal="center" wrapText="1"/>
    </xf>
    <xf numFmtId="0" fontId="51" fillId="94" borderId="106" xfId="0" applyFont="1" applyFill="1" applyBorder="1" applyAlignment="1">
      <alignment horizontal="center" wrapText="1"/>
    </xf>
    <xf numFmtId="1" fontId="0" fillId="95" borderId="107" xfId="0" applyNumberFormat="1" applyFill="1" applyBorder="1"/>
    <xf numFmtId="0" fontId="52" fillId="0" borderId="64" xfId="0" applyFont="1" applyBorder="1" applyAlignment="1">
      <alignment horizontal="center" wrapText="1"/>
    </xf>
    <xf numFmtId="177" fontId="0" fillId="0" borderId="3" xfId="4" applyNumberFormat="1" applyFont="1" applyBorder="1"/>
    <xf numFmtId="0" fontId="52" fillId="0" borderId="3" xfId="0" applyFont="1" applyBorder="1" applyAlignment="1">
      <alignment horizontal="center" wrapText="1"/>
    </xf>
    <xf numFmtId="177" fontId="0" fillId="0" borderId="60" xfId="4" applyNumberFormat="1" applyFont="1" applyBorder="1"/>
    <xf numFmtId="1" fontId="0" fillId="96" borderId="108" xfId="0" applyNumberFormat="1" applyFill="1" applyBorder="1"/>
    <xf numFmtId="0" fontId="52" fillId="97" borderId="109" xfId="0" applyFont="1" applyFill="1" applyBorder="1" applyAlignment="1">
      <alignment horizontal="center" wrapText="1"/>
    </xf>
    <xf numFmtId="0" fontId="52" fillId="98" borderId="110" xfId="0" applyFont="1" applyFill="1" applyBorder="1" applyAlignment="1">
      <alignment horizontal="center" wrapText="1"/>
    </xf>
    <xf numFmtId="1" fontId="0" fillId="99" borderId="111" xfId="0" applyNumberFormat="1" applyFill="1" applyBorder="1"/>
    <xf numFmtId="170" fontId="0" fillId="100" borderId="112" xfId="2" applyNumberFormat="1" applyFont="1" applyFill="1" applyBorder="1"/>
    <xf numFmtId="170" fontId="0" fillId="101" borderId="113" xfId="2" applyNumberFormat="1" applyFont="1" applyFill="1" applyBorder="1"/>
    <xf numFmtId="170" fontId="0" fillId="102" borderId="114" xfId="2" applyNumberFormat="1" applyFont="1" applyFill="1" applyBorder="1"/>
    <xf numFmtId="174" fontId="0" fillId="102" borderId="114" xfId="0" applyNumberFormat="1" applyFill="1" applyBorder="1" applyAlignment="1">
      <alignment wrapText="1"/>
    </xf>
    <xf numFmtId="174" fontId="0" fillId="102" borderId="114" xfId="0" applyNumberFormat="1" applyFill="1" applyBorder="1"/>
    <xf numFmtId="0" fontId="53" fillId="103" borderId="115" xfId="0" applyFont="1" applyFill="1" applyBorder="1" applyAlignment="1">
      <alignment horizontal="right"/>
    </xf>
    <xf numFmtId="174" fontId="7" fillId="104" borderId="116" xfId="0" applyNumberFormat="1" applyFont="1" applyFill="1" applyBorder="1"/>
    <xf numFmtId="0" fontId="7" fillId="105" borderId="117" xfId="0" applyFont="1" applyFill="1" applyBorder="1" applyAlignment="1">
      <alignment horizontal="center"/>
    </xf>
    <xf numFmtId="0" fontId="0" fillId="106" borderId="118" xfId="0" applyFill="1" applyBorder="1"/>
    <xf numFmtId="1" fontId="0" fillId="106" borderId="118" xfId="0" applyNumberFormat="1" applyFill="1" applyBorder="1"/>
    <xf numFmtId="0" fontId="0" fillId="103" borderId="115" xfId="0" applyFill="1" applyBorder="1" applyAlignment="1">
      <alignment horizontal="right"/>
    </xf>
    <xf numFmtId="1" fontId="0" fillId="103" borderId="115" xfId="0" applyNumberFormat="1" applyFill="1" applyBorder="1"/>
    <xf numFmtId="0" fontId="0" fillId="107" borderId="119" xfId="0" applyFill="1" applyBorder="1" applyAlignment="1">
      <alignment horizontal="right" wrapText="1"/>
    </xf>
    <xf numFmtId="175" fontId="0" fillId="107" borderId="119" xfId="0" applyNumberFormat="1" applyFill="1" applyBorder="1"/>
    <xf numFmtId="0" fontId="0" fillId="108" borderId="120" xfId="0" applyFill="1" applyBorder="1" applyAlignment="1">
      <alignment horizontal="right" wrapText="1"/>
    </xf>
    <xf numFmtId="175" fontId="0" fillId="108" borderId="120" xfId="0" applyNumberFormat="1" applyFill="1" applyBorder="1"/>
    <xf numFmtId="0" fontId="6" fillId="106" borderId="118" xfId="0" applyFont="1" applyFill="1" applyBorder="1" applyAlignment="1">
      <alignment horizontal="right" wrapText="1"/>
    </xf>
    <xf numFmtId="175" fontId="12" fillId="106" borderId="118" xfId="0" applyNumberFormat="1" applyFont="1" applyFill="1" applyBorder="1"/>
    <xf numFmtId="0" fontId="12" fillId="106" borderId="118" xfId="0" applyFont="1" applyFill="1" applyBorder="1" applyAlignment="1">
      <alignment horizontal="right" wrapText="1"/>
    </xf>
    <xf numFmtId="0" fontId="7" fillId="106" borderId="118" xfId="0" applyFont="1" applyFill="1" applyBorder="1"/>
    <xf numFmtId="1" fontId="7" fillId="106" borderId="118" xfId="0" applyNumberFormat="1" applyFont="1" applyFill="1" applyBorder="1"/>
    <xf numFmtId="0" fontId="7" fillId="84" borderId="92" xfId="0" applyFont="1" applyFill="1" applyBorder="1" applyAlignment="1">
      <alignment horizontal="center"/>
    </xf>
    <xf numFmtId="169" fontId="0" fillId="0" borderId="0" xfId="4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55" fillId="5" borderId="5" xfId="0" applyFont="1" applyFill="1" applyBorder="1" applyAlignment="1">
      <alignment horizontal="center" vertical="center"/>
    </xf>
    <xf numFmtId="0" fontId="54" fillId="0" borderId="0" xfId="0" applyFont="1" applyAlignment="1">
      <alignment horizontal="center"/>
    </xf>
    <xf numFmtId="0" fontId="54" fillId="0" borderId="3" xfId="0" applyFont="1" applyBorder="1" applyAlignment="1">
      <alignment horizontal="center"/>
    </xf>
    <xf numFmtId="0" fontId="7" fillId="109" borderId="121" xfId="0" applyFont="1" applyFill="1" applyBorder="1" applyAlignment="1">
      <alignment horizontal="center" wrapText="1"/>
    </xf>
    <xf numFmtId="1" fontId="7" fillId="110" borderId="122" xfId="0" applyNumberFormat="1" applyFont="1" applyFill="1" applyBorder="1" applyAlignment="1">
      <alignment horizontal="center" wrapText="1"/>
    </xf>
    <xf numFmtId="174" fontId="0" fillId="111" borderId="123" xfId="0" applyNumberFormat="1" applyFill="1" applyBorder="1"/>
    <xf numFmtId="174" fontId="0" fillId="111" borderId="123" xfId="0" applyNumberFormat="1" applyFill="1" applyBorder="1" applyAlignment="1">
      <alignment horizontal="center"/>
    </xf>
    <xf numFmtId="174" fontId="43" fillId="111" borderId="123" xfId="0" applyNumberFormat="1" applyFont="1" applyFill="1" applyBorder="1"/>
    <xf numFmtId="174" fontId="0" fillId="112" borderId="124" xfId="0" applyNumberFormat="1" applyFill="1" applyBorder="1"/>
    <xf numFmtId="174" fontId="11" fillId="112" borderId="124" xfId="0" applyNumberFormat="1" applyFont="1" applyFill="1" applyBorder="1"/>
    <xf numFmtId="178" fontId="12" fillId="34" borderId="34" xfId="0" applyNumberFormat="1" applyFont="1" applyFill="1" applyBorder="1" applyAlignment="1">
      <alignment wrapText="1"/>
    </xf>
    <xf numFmtId="174" fontId="10" fillId="113" borderId="125" xfId="0" applyNumberFormat="1" applyFont="1" applyFill="1" applyBorder="1"/>
    <xf numFmtId="0" fontId="12" fillId="0" borderId="68" xfId="0" applyFont="1" applyBorder="1"/>
    <xf numFmtId="0" fontId="0" fillId="0" borderId="68" xfId="0" applyBorder="1"/>
    <xf numFmtId="178" fontId="12" fillId="0" borderId="68" xfId="0" applyNumberFormat="1" applyFont="1" applyBorder="1" applyAlignment="1">
      <alignment horizontal="center"/>
    </xf>
    <xf numFmtId="178" fontId="12" fillId="114" borderId="126" xfId="0" applyNumberFormat="1" applyFont="1" applyFill="1" applyBorder="1" applyAlignment="1">
      <alignment horizontal="center"/>
    </xf>
    <xf numFmtId="165" fontId="49" fillId="35" borderId="35" xfId="3" applyNumberFormat="1" applyFont="1" applyFill="1" applyBorder="1" applyAlignment="1">
      <alignment horizontal="center"/>
    </xf>
    <xf numFmtId="0" fontId="0" fillId="0" borderId="67" xfId="0" applyBorder="1" applyAlignment="1">
      <alignment horizontal="center"/>
    </xf>
    <xf numFmtId="0" fontId="0" fillId="131" borderId="144" xfId="0" applyFill="1" applyBorder="1"/>
    <xf numFmtId="164" fontId="0" fillId="0" borderId="66" xfId="1" applyFont="1" applyBorder="1" applyAlignment="1">
      <alignment horizontal="center"/>
    </xf>
    <xf numFmtId="165" fontId="0" fillId="0" borderId="67" xfId="0" applyNumberFormat="1" applyBorder="1" applyAlignment="1">
      <alignment horizontal="center"/>
    </xf>
    <xf numFmtId="2" fontId="0" fillId="0" borderId="67" xfId="0" applyNumberFormat="1" applyBorder="1" applyAlignment="1">
      <alignment horizontal="center"/>
    </xf>
    <xf numFmtId="2" fontId="0" fillId="0" borderId="67" xfId="0" applyNumberFormat="1" applyBorder="1"/>
    <xf numFmtId="0" fontId="7" fillId="0" borderId="67" xfId="0" applyFont="1" applyBorder="1"/>
    <xf numFmtId="1" fontId="0" fillId="0" borderId="67" xfId="0" applyNumberFormat="1" applyBorder="1"/>
    <xf numFmtId="0" fontId="9" fillId="132" borderId="145" xfId="0" applyFont="1" applyFill="1" applyBorder="1"/>
    <xf numFmtId="0" fontId="9" fillId="133" borderId="146" xfId="0" applyFont="1" applyFill="1" applyBorder="1"/>
    <xf numFmtId="0" fontId="9" fillId="133" borderId="146" xfId="0" applyFont="1" applyFill="1" applyBorder="1" applyAlignment="1">
      <alignment horizontal="center"/>
    </xf>
    <xf numFmtId="0" fontId="9" fillId="134" borderId="147" xfId="0" applyFont="1" applyFill="1" applyBorder="1" applyAlignment="1">
      <alignment horizontal="center"/>
    </xf>
    <xf numFmtId="0" fontId="9" fillId="135" borderId="148" xfId="0" applyFont="1" applyFill="1" applyBorder="1" applyAlignment="1">
      <alignment horizontal="center"/>
    </xf>
    <xf numFmtId="0" fontId="9" fillId="136" borderId="149" xfId="0" applyFont="1" applyFill="1" applyBorder="1" applyAlignment="1">
      <alignment horizontal="center"/>
    </xf>
    <xf numFmtId="0" fontId="9" fillId="137" borderId="150" xfId="0" applyFont="1" applyFill="1" applyBorder="1" applyAlignment="1">
      <alignment horizontal="center"/>
    </xf>
    <xf numFmtId="0" fontId="9" fillId="138" borderId="151" xfId="0" applyFont="1" applyFill="1" applyBorder="1" applyAlignment="1">
      <alignment horizontal="center"/>
    </xf>
    <xf numFmtId="0" fontId="9" fillId="139" borderId="152" xfId="0" applyFont="1" applyFill="1" applyBorder="1"/>
    <xf numFmtId="0" fontId="9" fillId="140" borderId="153" xfId="0" applyFont="1" applyFill="1" applyBorder="1"/>
    <xf numFmtId="0" fontId="9" fillId="141" borderId="154" xfId="0" applyFont="1" applyFill="1" applyBorder="1"/>
    <xf numFmtId="0" fontId="9" fillId="142" borderId="155" xfId="0" applyFont="1" applyFill="1" applyBorder="1"/>
    <xf numFmtId="2" fontId="2" fillId="2" borderId="1" xfId="0" applyNumberFormat="1" applyFont="1" applyFill="1" applyBorder="1" applyAlignment="1">
      <alignment horizontal="left" vertical="center"/>
    </xf>
    <xf numFmtId="14" fontId="0" fillId="0" borderId="0" xfId="0" applyNumberFormat="1"/>
    <xf numFmtId="0" fontId="7" fillId="90" borderId="120" xfId="0" applyFont="1" applyFill="1" applyBorder="1" applyAlignment="1">
      <alignment horizontal="right"/>
    </xf>
    <xf numFmtId="1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144" xfId="0" applyBorder="1"/>
    <xf numFmtId="0" fontId="0" fillId="0" borderId="130" xfId="0" applyBorder="1" applyAlignment="1">
      <alignment horizontal="center"/>
    </xf>
    <xf numFmtId="164" fontId="0" fillId="0" borderId="144" xfId="1" applyFont="1" applyBorder="1" applyAlignment="1">
      <alignment horizontal="center"/>
    </xf>
    <xf numFmtId="165" fontId="0" fillId="0" borderId="130" xfId="0" applyNumberFormat="1" applyBorder="1" applyAlignment="1">
      <alignment horizontal="center"/>
    </xf>
    <xf numFmtId="2" fontId="0" fillId="0" borderId="130" xfId="0" applyNumberFormat="1" applyBorder="1" applyAlignment="1">
      <alignment horizontal="center"/>
    </xf>
    <xf numFmtId="2" fontId="0" fillId="0" borderId="130" xfId="0" applyNumberFormat="1" applyBorder="1"/>
    <xf numFmtId="0" fontId="0" fillId="0" borderId="130" xfId="0" applyBorder="1"/>
    <xf numFmtId="0" fontId="7" fillId="0" borderId="130" xfId="0" applyFont="1" applyBorder="1"/>
    <xf numFmtId="1" fontId="0" fillId="0" borderId="130" xfId="0" applyNumberFormat="1" applyBorder="1"/>
    <xf numFmtId="0" fontId="7" fillId="143" borderId="144" xfId="0" applyFont="1" applyFill="1" applyBorder="1"/>
    <xf numFmtId="0" fontId="0" fillId="0" borderId="0" xfId="0" applyFill="1"/>
    <xf numFmtId="0" fontId="7" fillId="144" borderId="144" xfId="0" applyFont="1" applyFill="1" applyBorder="1"/>
    <xf numFmtId="179" fontId="0" fillId="0" borderId="0" xfId="0" applyNumberFormat="1"/>
    <xf numFmtId="0" fontId="0" fillId="0" borderId="120" xfId="0" applyBorder="1"/>
    <xf numFmtId="0" fontId="7" fillId="0" borderId="120" xfId="0" applyFont="1" applyBorder="1"/>
    <xf numFmtId="173" fontId="0" fillId="0" borderId="120" xfId="0" applyNumberFormat="1" applyBorder="1"/>
    <xf numFmtId="173" fontId="7" fillId="0" borderId="120" xfId="0" applyNumberFormat="1" applyFont="1" applyBorder="1"/>
    <xf numFmtId="173" fontId="0" fillId="76" borderId="120" xfId="0" applyNumberFormat="1" applyFill="1" applyBorder="1" applyAlignment="1">
      <alignment horizontal="right"/>
    </xf>
    <xf numFmtId="0" fontId="0" fillId="0" borderId="120" xfId="0" applyBorder="1" applyAlignment="1">
      <alignment horizontal="right"/>
    </xf>
    <xf numFmtId="173" fontId="0" fillId="78" borderId="120" xfId="0" applyNumberFormat="1" applyFill="1" applyBorder="1" applyAlignment="1">
      <alignment horizontal="right"/>
    </xf>
    <xf numFmtId="173" fontId="22" fillId="0" borderId="120" xfId="0" applyNumberFormat="1" applyFont="1" applyFill="1" applyBorder="1" applyAlignment="1">
      <alignment horizontal="right"/>
    </xf>
    <xf numFmtId="173" fontId="0" fillId="0" borderId="120" xfId="0" applyNumberFormat="1" applyFill="1" applyBorder="1" applyAlignment="1">
      <alignment horizontal="right"/>
    </xf>
    <xf numFmtId="173" fontId="7" fillId="0" borderId="120" xfId="0" applyNumberFormat="1" applyFont="1" applyBorder="1" applyAlignment="1">
      <alignment horizontal="right"/>
    </xf>
    <xf numFmtId="173" fontId="0" fillId="86" borderId="120" xfId="0" applyNumberFormat="1" applyFill="1" applyBorder="1"/>
    <xf numFmtId="173" fontId="0" fillId="89" borderId="120" xfId="0" applyNumberFormat="1" applyFill="1" applyBorder="1"/>
    <xf numFmtId="0" fontId="0" fillId="143" borderId="120" xfId="0" applyFill="1" applyBorder="1" applyAlignment="1">
      <alignment horizontal="right"/>
    </xf>
    <xf numFmtId="173" fontId="0" fillId="143" borderId="120" xfId="0" applyNumberFormat="1" applyFill="1" applyBorder="1"/>
    <xf numFmtId="0" fontId="0" fillId="144" borderId="120" xfId="0" applyFill="1" applyBorder="1" applyAlignment="1">
      <alignment horizontal="right"/>
    </xf>
    <xf numFmtId="173" fontId="0" fillId="144" borderId="120" xfId="0" applyNumberFormat="1" applyFill="1" applyBorder="1" applyAlignment="1">
      <alignment horizontal="right"/>
    </xf>
    <xf numFmtId="173" fontId="0" fillId="144" borderId="120" xfId="0" applyNumberFormat="1" applyFill="1" applyBorder="1"/>
    <xf numFmtId="0" fontId="0" fillId="145" borderId="120" xfId="0" applyFill="1" applyBorder="1" applyAlignment="1">
      <alignment horizontal="right"/>
    </xf>
    <xf numFmtId="173" fontId="0" fillId="145" borderId="120" xfId="0" applyNumberFormat="1" applyFill="1" applyBorder="1"/>
    <xf numFmtId="173" fontId="0" fillId="145" borderId="120" xfId="0" applyNumberFormat="1" applyFill="1" applyBorder="1" applyAlignment="1">
      <alignment horizontal="right"/>
    </xf>
    <xf numFmtId="173" fontId="0" fillId="0" borderId="120" xfId="0" applyNumberFormat="1" applyFill="1" applyBorder="1"/>
    <xf numFmtId="0" fontId="7" fillId="0" borderId="160" xfId="0" applyFont="1" applyBorder="1"/>
    <xf numFmtId="173" fontId="0" fillId="0" borderId="161" xfId="0" applyNumberFormat="1" applyBorder="1"/>
    <xf numFmtId="170" fontId="7" fillId="0" borderId="161" xfId="2" applyNumberFormat="1" applyFont="1" applyBorder="1"/>
    <xf numFmtId="0" fontId="0" fillId="143" borderId="160" xfId="0" applyFill="1" applyBorder="1" applyAlignment="1">
      <alignment horizontal="right"/>
    </xf>
    <xf numFmtId="170" fontId="0" fillId="0" borderId="161" xfId="2" applyNumberFormat="1" applyFont="1" applyBorder="1"/>
    <xf numFmtId="0" fontId="0" fillId="75" borderId="160" xfId="0" applyFill="1" applyBorder="1" applyAlignment="1">
      <alignment horizontal="right"/>
    </xf>
    <xf numFmtId="0" fontId="0" fillId="0" borderId="160" xfId="0" applyBorder="1"/>
    <xf numFmtId="0" fontId="0" fillId="77" borderId="160" xfId="0" applyFill="1" applyBorder="1" applyAlignment="1">
      <alignment horizontal="right"/>
    </xf>
    <xf numFmtId="0" fontId="0" fillId="0" borderId="160" xfId="0" applyFill="1" applyBorder="1" applyAlignment="1">
      <alignment horizontal="right"/>
    </xf>
    <xf numFmtId="0" fontId="0" fillId="0" borderId="161" xfId="0" applyBorder="1"/>
    <xf numFmtId="0" fontId="0" fillId="79" borderId="160" xfId="0" applyFill="1" applyBorder="1" applyAlignment="1">
      <alignment horizontal="right"/>
    </xf>
    <xf numFmtId="0" fontId="0" fillId="88" borderId="160" xfId="0" applyFill="1" applyBorder="1" applyAlignment="1">
      <alignment horizontal="right"/>
    </xf>
    <xf numFmtId="0" fontId="10" fillId="0" borderId="162" xfId="0" applyFont="1" applyBorder="1" applyAlignment="1">
      <alignment horizontal="right"/>
    </xf>
    <xf numFmtId="173" fontId="10" fillId="0" borderId="163" xfId="0" applyNumberFormat="1" applyFont="1" applyBorder="1"/>
    <xf numFmtId="0" fontId="10" fillId="0" borderId="163" xfId="0" applyFont="1" applyBorder="1" applyAlignment="1">
      <alignment horizontal="right"/>
    </xf>
    <xf numFmtId="9" fontId="7" fillId="0" borderId="164" xfId="2" applyFont="1" applyBorder="1"/>
    <xf numFmtId="0" fontId="10" fillId="0" borderId="159" xfId="0" applyFont="1" applyBorder="1" applyAlignment="1">
      <alignment horizontal="center"/>
    </xf>
    <xf numFmtId="170" fontId="0" fillId="0" borderId="161" xfId="2" applyNumberFormat="1" applyFont="1" applyFill="1" applyBorder="1"/>
    <xf numFmtId="0" fontId="3" fillId="8" borderId="144" xfId="0" applyFont="1" applyFill="1" applyBorder="1" applyAlignment="1">
      <alignment horizontal="center" vertical="center"/>
    </xf>
    <xf numFmtId="0" fontId="3" fillId="8" borderId="156" xfId="0" applyFont="1" applyFill="1" applyBorder="1" applyAlignment="1">
      <alignment horizontal="center" vertical="center"/>
    </xf>
    <xf numFmtId="169" fontId="2" fillId="3" borderId="156" xfId="4" applyNumberFormat="1" applyFont="1" applyFill="1" applyBorder="1" applyAlignment="1">
      <alignment horizontal="center" vertical="center"/>
    </xf>
    <xf numFmtId="0" fontId="0" fillId="0" borderId="156" xfId="0" applyBorder="1"/>
    <xf numFmtId="169" fontId="0" fillId="0" borderId="156" xfId="4" applyNumberFormat="1" applyFont="1" applyBorder="1"/>
    <xf numFmtId="175" fontId="7" fillId="0" borderId="0" xfId="0" applyNumberFormat="1" applyFont="1" applyFill="1" applyAlignment="1">
      <alignment horizontal="center"/>
    </xf>
    <xf numFmtId="0" fontId="7" fillId="0" borderId="0" xfId="0" applyFont="1" applyFill="1"/>
    <xf numFmtId="14" fontId="12" fillId="0" borderId="0" xfId="0" applyNumberFormat="1" applyFont="1" applyAlignment="1">
      <alignment horizontal="center"/>
    </xf>
    <xf numFmtId="0" fontId="7" fillId="0" borderId="120" xfId="0" applyFont="1" applyBorder="1" applyAlignment="1">
      <alignment horizontal="center"/>
    </xf>
    <xf numFmtId="0" fontId="7" fillId="0" borderId="120" xfId="0" applyFont="1" applyBorder="1" applyAlignment="1">
      <alignment horizontal="right"/>
    </xf>
    <xf numFmtId="174" fontId="42" fillId="64" borderId="98" xfId="0" applyNumberFormat="1" applyFont="1" applyFill="1" applyBorder="1"/>
    <xf numFmtId="174" fontId="42" fillId="66" borderId="98" xfId="0" applyNumberFormat="1" applyFont="1" applyFill="1" applyBorder="1"/>
    <xf numFmtId="174" fontId="7" fillId="74" borderId="148" xfId="0" applyNumberFormat="1" applyFont="1" applyFill="1" applyBorder="1"/>
    <xf numFmtId="174" fontId="43" fillId="74" borderId="148" xfId="0" applyNumberFormat="1" applyFont="1" applyFill="1" applyBorder="1"/>
    <xf numFmtId="174" fontId="7" fillId="81" borderId="148" xfId="0" applyNumberFormat="1" applyFont="1" applyFill="1" applyBorder="1"/>
    <xf numFmtId="174" fontId="11" fillId="81" borderId="148" xfId="0" applyNumberFormat="1" applyFont="1" applyFill="1" applyBorder="1"/>
    <xf numFmtId="174" fontId="42" fillId="67" borderId="148" xfId="0" applyNumberFormat="1" applyFont="1" applyFill="1" applyBorder="1"/>
    <xf numFmtId="0" fontId="12" fillId="0" borderId="120" xfId="0" applyFont="1" applyBorder="1" applyAlignment="1">
      <alignment wrapText="1"/>
    </xf>
    <xf numFmtId="0" fontId="7" fillId="62" borderId="156" xfId="0" applyFont="1" applyFill="1" applyBorder="1" applyAlignment="1">
      <alignment horizontal="center" wrapText="1"/>
    </xf>
    <xf numFmtId="1" fontId="7" fillId="63" borderId="156" xfId="0" applyNumberFormat="1" applyFont="1" applyFill="1" applyBorder="1" applyAlignment="1">
      <alignment horizontal="center" wrapText="1"/>
    </xf>
    <xf numFmtId="174" fontId="42" fillId="65" borderId="156" xfId="0" applyNumberFormat="1" applyFont="1" applyFill="1" applyBorder="1"/>
    <xf numFmtId="174" fontId="42" fillId="67" borderId="156" xfId="0" applyNumberFormat="1" applyFont="1" applyFill="1" applyBorder="1"/>
    <xf numFmtId="174" fontId="0" fillId="73" borderId="156" xfId="0" applyNumberFormat="1" applyFill="1" applyBorder="1"/>
    <xf numFmtId="174" fontId="0" fillId="73" borderId="156" xfId="0" applyNumberFormat="1" applyFill="1" applyBorder="1" applyAlignment="1">
      <alignment horizontal="center"/>
    </xf>
    <xf numFmtId="174" fontId="43" fillId="73" borderId="156" xfId="0" applyNumberFormat="1" applyFont="1" applyFill="1" applyBorder="1"/>
    <xf numFmtId="174" fontId="0" fillId="80" borderId="156" xfId="0" applyNumberFormat="1" applyFill="1" applyBorder="1"/>
    <xf numFmtId="174" fontId="11" fillId="80" borderId="156" xfId="0" applyNumberFormat="1" applyFont="1" applyFill="1" applyBorder="1"/>
    <xf numFmtId="14" fontId="12" fillId="0" borderId="156" xfId="0" applyNumberFormat="1" applyFont="1" applyBorder="1" applyAlignment="1">
      <alignment wrapText="1"/>
    </xf>
    <xf numFmtId="0" fontId="0" fillId="145" borderId="160" xfId="0" applyFill="1" applyBorder="1" applyAlignment="1">
      <alignment horizontal="right"/>
    </xf>
    <xf numFmtId="170" fontId="0" fillId="86" borderId="161" xfId="2" applyNumberFormat="1" applyFont="1" applyFill="1" applyBorder="1"/>
    <xf numFmtId="0" fontId="0" fillId="146" borderId="160" xfId="0" applyFill="1" applyBorder="1" applyAlignment="1">
      <alignment horizontal="right"/>
    </xf>
    <xf numFmtId="0" fontId="7" fillId="144" borderId="95" xfId="0" applyFont="1" applyFill="1" applyBorder="1" applyAlignment="1">
      <alignment horizontal="center"/>
    </xf>
    <xf numFmtId="176" fontId="7" fillId="144" borderId="95" xfId="1" applyNumberFormat="1" applyFont="1" applyFill="1" applyBorder="1" applyAlignment="1">
      <alignment horizontal="center" wrapText="1"/>
    </xf>
    <xf numFmtId="0" fontId="7" fillId="144" borderId="95" xfId="0" applyFont="1" applyFill="1" applyBorder="1" applyAlignment="1">
      <alignment horizontal="right"/>
    </xf>
    <xf numFmtId="177" fontId="7" fillId="144" borderId="95" xfId="4" applyNumberFormat="1" applyFont="1" applyFill="1" applyBorder="1" applyAlignment="1">
      <alignment horizontal="center" wrapText="1"/>
    </xf>
    <xf numFmtId="164" fontId="7" fillId="144" borderId="95" xfId="1" applyFont="1" applyFill="1" applyBorder="1" applyAlignment="1">
      <alignment horizontal="center" wrapText="1"/>
    </xf>
    <xf numFmtId="0" fontId="7" fillId="147" borderId="0" xfId="0" applyFont="1" applyFill="1" applyAlignment="1">
      <alignment horizontal="right"/>
    </xf>
    <xf numFmtId="2" fontId="47" fillId="147" borderId="0" xfId="0" applyNumberFormat="1" applyFont="1" applyFill="1"/>
    <xf numFmtId="169" fontId="0" fillId="0" borderId="0" xfId="0" applyNumberFormat="1"/>
    <xf numFmtId="174" fontId="21" fillId="73" borderId="156" xfId="0" applyNumberFormat="1" applyFont="1" applyFill="1" applyBorder="1"/>
    <xf numFmtId="174" fontId="21" fillId="73" borderId="156" xfId="0" applyNumberFormat="1" applyFont="1" applyFill="1" applyBorder="1" applyAlignment="1">
      <alignment horizontal="center"/>
    </xf>
    <xf numFmtId="174" fontId="61" fillId="73" borderId="156" xfId="0" applyNumberFormat="1" applyFont="1" applyFill="1" applyBorder="1"/>
    <xf numFmtId="174" fontId="21" fillId="80" borderId="156" xfId="0" applyNumberFormat="1" applyFont="1" applyFill="1" applyBorder="1"/>
    <xf numFmtId="174" fontId="62" fillId="80" borderId="156" xfId="0" applyNumberFormat="1" applyFont="1" applyFill="1" applyBorder="1"/>
    <xf numFmtId="174" fontId="63" fillId="67" borderId="156" xfId="0" applyNumberFormat="1" applyFont="1" applyFill="1" applyBorder="1"/>
    <xf numFmtId="14" fontId="64" fillId="0" borderId="156" xfId="0" applyNumberFormat="1" applyFont="1" applyBorder="1" applyAlignment="1">
      <alignment wrapText="1"/>
    </xf>
    <xf numFmtId="174" fontId="0" fillId="73" borderId="156" xfId="0" applyNumberFormat="1" applyFont="1" applyFill="1" applyBorder="1"/>
    <xf numFmtId="174" fontId="0" fillId="73" borderId="156" xfId="0" applyNumberFormat="1" applyFont="1" applyFill="1" applyBorder="1" applyAlignment="1">
      <alignment horizontal="center"/>
    </xf>
    <xf numFmtId="174" fontId="0" fillId="80" borderId="156" xfId="0" applyNumberFormat="1" applyFont="1" applyFill="1" applyBorder="1"/>
    <xf numFmtId="170" fontId="65" fillId="0" borderId="0" xfId="2" applyNumberFormat="1" applyFont="1"/>
    <xf numFmtId="176" fontId="65" fillId="144" borderId="95" xfId="1" applyNumberFormat="1" applyFont="1" applyFill="1" applyBorder="1" applyAlignment="1">
      <alignment horizontal="center" wrapText="1"/>
    </xf>
    <xf numFmtId="177" fontId="65" fillId="144" borderId="95" xfId="4" applyNumberFormat="1" applyFont="1" applyFill="1" applyBorder="1" applyAlignment="1">
      <alignment horizontal="center" wrapText="1"/>
    </xf>
    <xf numFmtId="164" fontId="65" fillId="144" borderId="95" xfId="1" applyFont="1" applyFill="1" applyBorder="1" applyAlignment="1">
      <alignment horizontal="center" wrapText="1"/>
    </xf>
    <xf numFmtId="164" fontId="7" fillId="144" borderId="143" xfId="1" applyFont="1" applyFill="1" applyBorder="1" applyAlignment="1">
      <alignment horizontal="center" wrapText="1"/>
    </xf>
    <xf numFmtId="1" fontId="0" fillId="0" borderId="120" xfId="0" applyNumberFormat="1" applyBorder="1"/>
    <xf numFmtId="0" fontId="9" fillId="141" borderId="120" xfId="0" applyFont="1" applyFill="1" applyBorder="1"/>
    <xf numFmtId="0" fontId="9" fillId="142" borderId="120" xfId="0" applyFont="1" applyFill="1" applyBorder="1"/>
    <xf numFmtId="2" fontId="0" fillId="0" borderId="120" xfId="0" applyNumberFormat="1" applyBorder="1" applyAlignment="1">
      <alignment horizontal="left" indent="2"/>
      <extLst>
        <ext uri="smNativeData">
          <pm:cellMargin xmlns:pm="smNativeData" id="1595604475" l="384" r="0" t="0" b="0" textRotation="0"/>
        </ext>
      </extLst>
    </xf>
    <xf numFmtId="0" fontId="9" fillId="142" borderId="157" xfId="0" applyFont="1" applyFill="1" applyBorder="1"/>
    <xf numFmtId="0" fontId="9" fillId="141" borderId="158" xfId="0" applyFont="1" applyFill="1" applyBorder="1"/>
    <xf numFmtId="0" fontId="9" fillId="141" borderId="159" xfId="0" applyFont="1" applyFill="1" applyBorder="1"/>
    <xf numFmtId="0" fontId="7" fillId="148" borderId="160" xfId="0" applyFont="1" applyFill="1" applyBorder="1"/>
    <xf numFmtId="0" fontId="7" fillId="0" borderId="161" xfId="0" applyFont="1" applyBorder="1"/>
    <xf numFmtId="0" fontId="7" fillId="0" borderId="162" xfId="0" applyFont="1" applyBorder="1"/>
    <xf numFmtId="0" fontId="7" fillId="0" borderId="163" xfId="0" applyFont="1" applyBorder="1"/>
    <xf numFmtId="0" fontId="7" fillId="0" borderId="164" xfId="0" applyFont="1" applyBorder="1"/>
    <xf numFmtId="0" fontId="9" fillId="142" borderId="158" xfId="0" applyFont="1" applyFill="1" applyBorder="1"/>
    <xf numFmtId="1" fontId="0" fillId="0" borderId="161" xfId="0" applyNumberFormat="1" applyBorder="1"/>
    <xf numFmtId="1" fontId="0" fillId="0" borderId="163" xfId="0" applyNumberFormat="1" applyBorder="1"/>
    <xf numFmtId="1" fontId="0" fillId="0" borderId="164" xfId="0" applyNumberFormat="1" applyBorder="1"/>
    <xf numFmtId="0" fontId="9" fillId="141" borderId="157" xfId="0" applyFont="1" applyFill="1" applyBorder="1"/>
    <xf numFmtId="0" fontId="9" fillId="142" borderId="159" xfId="0" applyFont="1" applyFill="1" applyBorder="1"/>
    <xf numFmtId="0" fontId="0" fillId="0" borderId="160" xfId="0" applyFill="1" applyBorder="1"/>
    <xf numFmtId="0" fontId="0" fillId="0" borderId="162" xfId="0" applyBorder="1"/>
    <xf numFmtId="0" fontId="0" fillId="0" borderId="164" xfId="0" applyBorder="1"/>
    <xf numFmtId="0" fontId="7" fillId="23" borderId="23" xfId="0" applyFont="1" applyFill="1" applyBorder="1" applyAlignment="1">
      <alignment horizontal="center"/>
    </xf>
    <xf numFmtId="0" fontId="33" fillId="0" borderId="0" xfId="3" applyFont="1" applyAlignment="1">
      <alignment horizontal="left"/>
    </xf>
    <xf numFmtId="0" fontId="7" fillId="126" borderId="139" xfId="0" applyFont="1" applyFill="1" applyBorder="1" applyAlignment="1">
      <alignment horizontal="left" vertical="top" wrapText="1"/>
    </xf>
    <xf numFmtId="0" fontId="7" fillId="127" borderId="140" xfId="0" applyFont="1" applyFill="1" applyBorder="1" applyAlignment="1">
      <alignment horizontal="left" vertical="top" wrapText="1"/>
    </xf>
    <xf numFmtId="0" fontId="7" fillId="128" borderId="141" xfId="0" applyFont="1" applyFill="1" applyBorder="1" applyAlignment="1">
      <alignment horizontal="left" vertical="top" wrapText="1"/>
    </xf>
    <xf numFmtId="0" fontId="7" fillId="115" borderId="127" xfId="0" applyFont="1" applyFill="1" applyBorder="1" applyAlignment="1">
      <alignment horizontal="left" vertical="top" wrapText="1"/>
    </xf>
    <xf numFmtId="0" fontId="7" fillId="116" borderId="128" xfId="0" applyFont="1" applyFill="1" applyBorder="1" applyAlignment="1">
      <alignment horizontal="left" vertical="top" wrapText="1"/>
    </xf>
    <xf numFmtId="0" fontId="7" fillId="117" borderId="129" xfId="0" applyFont="1" applyFill="1" applyBorder="1" applyAlignment="1">
      <alignment horizontal="left" vertical="top" wrapText="1"/>
    </xf>
    <xf numFmtId="0" fontId="7" fillId="0" borderId="130" xfId="0" applyFont="1" applyFill="1" applyBorder="1" applyAlignment="1">
      <alignment horizontal="center" vertical="top" wrapText="1"/>
    </xf>
    <xf numFmtId="0" fontId="10" fillId="124" borderId="158" xfId="0" applyFont="1" applyFill="1" applyBorder="1" applyAlignment="1">
      <alignment horizontal="center"/>
    </xf>
    <xf numFmtId="0" fontId="10" fillId="125" borderId="158" xfId="0" applyFont="1" applyFill="1" applyBorder="1" applyAlignment="1">
      <alignment horizontal="center"/>
    </xf>
    <xf numFmtId="0" fontId="41" fillId="119" borderId="157" xfId="0" applyFont="1" applyFill="1" applyBorder="1" applyAlignment="1">
      <alignment horizontal="center"/>
    </xf>
    <xf numFmtId="0" fontId="41" fillId="120" borderId="158" xfId="0" applyFont="1" applyFill="1" applyBorder="1" applyAlignment="1">
      <alignment horizontal="center"/>
    </xf>
    <xf numFmtId="0" fontId="41" fillId="121" borderId="159" xfId="0" applyFont="1" applyFill="1" applyBorder="1" applyAlignment="1">
      <alignment horizontal="center"/>
    </xf>
    <xf numFmtId="0" fontId="0" fillId="0" borderId="160" xfId="0" applyBorder="1" applyAlignment="1">
      <alignment horizontal="right"/>
    </xf>
    <xf numFmtId="0" fontId="0" fillId="0" borderId="120" xfId="0" applyBorder="1" applyAlignment="1">
      <alignment horizontal="right"/>
    </xf>
    <xf numFmtId="0" fontId="0" fillId="0" borderId="161" xfId="0" applyBorder="1" applyAlignment="1">
      <alignment horizontal="right"/>
    </xf>
    <xf numFmtId="0" fontId="10" fillId="122" borderId="157" xfId="0" applyFont="1" applyFill="1" applyBorder="1" applyAlignment="1">
      <alignment horizontal="center"/>
    </xf>
    <xf numFmtId="0" fontId="10" fillId="123" borderId="158" xfId="0" applyFont="1" applyFill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74" fontId="45" fillId="69" borderId="77" xfId="0" applyNumberFormat="1" applyFont="1" applyFill="1" applyBorder="1" applyAlignment="1">
      <alignment horizontal="center"/>
    </xf>
    <xf numFmtId="0" fontId="7" fillId="118" borderId="130" xfId="0" applyFont="1" applyFill="1" applyBorder="1" applyAlignment="1">
      <alignment horizontal="center" vertical="top" wrapText="1"/>
    </xf>
    <xf numFmtId="174" fontId="11" fillId="81" borderId="89" xfId="0" applyNumberFormat="1" applyFont="1" applyFill="1" applyBorder="1" applyAlignment="1">
      <alignment horizontal="center"/>
    </xf>
    <xf numFmtId="0" fontId="41" fillId="119" borderId="131" xfId="0" applyFont="1" applyFill="1" applyBorder="1" applyAlignment="1">
      <alignment horizontal="center"/>
    </xf>
    <xf numFmtId="0" fontId="41" fillId="120" borderId="132" xfId="0" applyFont="1" applyFill="1" applyBorder="1" applyAlignment="1">
      <alignment horizontal="center"/>
    </xf>
    <xf numFmtId="0" fontId="41" fillId="121" borderId="133" xfId="0" applyFont="1" applyFill="1" applyBorder="1" applyAlignment="1">
      <alignment horizontal="center"/>
    </xf>
    <xf numFmtId="0" fontId="0" fillId="0" borderId="69" xfId="0" applyBorder="1" applyAlignment="1">
      <alignment horizontal="right"/>
    </xf>
    <xf numFmtId="0" fontId="0" fillId="0" borderId="68" xfId="0" applyBorder="1" applyAlignment="1">
      <alignment horizontal="right"/>
    </xf>
    <xf numFmtId="0" fontId="0" fillId="0" borderId="134" xfId="0" applyBorder="1" applyAlignment="1">
      <alignment horizontal="right"/>
    </xf>
    <xf numFmtId="0" fontId="0" fillId="0" borderId="64" xfId="0" applyBorder="1" applyAlignment="1">
      <alignment horizontal="right"/>
    </xf>
    <xf numFmtId="0" fontId="10" fillId="122" borderId="135" xfId="0" applyFont="1" applyFill="1" applyBorder="1" applyAlignment="1">
      <alignment horizontal="center"/>
    </xf>
    <xf numFmtId="0" fontId="10" fillId="123" borderId="136" xfId="0" applyFont="1" applyFill="1" applyBorder="1" applyAlignment="1">
      <alignment horizontal="center"/>
    </xf>
    <xf numFmtId="0" fontId="10" fillId="124" borderId="137" xfId="0" applyFont="1" applyFill="1" applyBorder="1" applyAlignment="1">
      <alignment horizontal="center"/>
    </xf>
    <xf numFmtId="0" fontId="10" fillId="125" borderId="138" xfId="0" applyFont="1" applyFill="1" applyBorder="1" applyAlignment="1">
      <alignment horizontal="center"/>
    </xf>
    <xf numFmtId="0" fontId="0" fillId="101" borderId="113" xfId="0" applyFill="1" applyBorder="1" applyAlignment="1">
      <alignment horizontal="center"/>
    </xf>
    <xf numFmtId="0" fontId="0" fillId="129" borderId="142" xfId="0" applyFill="1" applyBorder="1" applyAlignment="1">
      <alignment horizontal="center"/>
    </xf>
    <xf numFmtId="0" fontId="0" fillId="130" borderId="143" xfId="0" applyFill="1" applyBorder="1" applyAlignment="1">
      <alignment horizontal="center"/>
    </xf>
    <xf numFmtId="0" fontId="15" fillId="21" borderId="21" xfId="0" applyFont="1" applyFill="1" applyBorder="1" applyAlignment="1">
      <alignment horizontal="center" vertical="top" wrapText="1"/>
    </xf>
    <xf numFmtId="0" fontId="16" fillId="22" borderId="22" xfId="0" applyFont="1" applyFill="1" applyBorder="1" applyAlignment="1">
      <alignment horizontal="center" vertical="top" wrapText="1"/>
    </xf>
    <xf numFmtId="0" fontId="17" fillId="22" borderId="22" xfId="0" applyFont="1" applyFill="1" applyBorder="1" applyAlignment="1">
      <alignment horizontal="center" vertical="top" wrapText="1"/>
    </xf>
  </cellXfs>
  <cellStyles count="5">
    <cellStyle name="Excel Built-in Normal" xfId="3" xr:uid="{00000000-0005-0000-0000-000003000000}"/>
    <cellStyle name="Millares" xfId="1" builtinId="3" customBuiltin="1"/>
    <cellStyle name="Moneda" xfId="4" builtinId="4" customBuiltin="1"/>
    <cellStyle name="Normal" xfId="0" builtinId="0" customBuiltin="1"/>
    <cellStyle name="Porcentaje" xfId="2" builtinId="5" customBuiltin="1"/>
  </cellStyles>
  <dxfs count="69"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b val="0"/>
        <color rgb="FF008000"/>
      </font>
      <fill>
        <patternFill patternType="solid">
          <bgColor rgb="FFCCFFFF"/>
        </patternFill>
      </fill>
    </dxf>
    <dxf>
      <font>
        <b val="0"/>
        <color rgb="FF800000"/>
      </font>
      <fill>
        <patternFill patternType="solid">
          <bgColor rgb="FFFFFF99"/>
        </patternFill>
      </fill>
    </dxf>
    <dxf>
      <font>
        <b val="0"/>
        <color rgb="FF008000"/>
      </font>
      <fill>
        <patternFill patternType="solid">
          <bgColor rgb="FFCCFFFF"/>
        </patternFill>
      </fill>
    </dxf>
    <dxf>
      <font>
        <b val="0"/>
        <color rgb="FF800000"/>
      </font>
      <fill>
        <patternFill patternType="solid">
          <bgColor rgb="FFFFFF99"/>
        </patternFill>
      </fill>
    </dxf>
    <dxf>
      <font>
        <b val="0"/>
        <color rgb="FF008000"/>
      </font>
      <fill>
        <patternFill patternType="solid">
          <bgColor rgb="FFCCFFFF"/>
        </patternFill>
      </fill>
    </dxf>
    <dxf>
      <font>
        <b val="0"/>
        <color rgb="FF800000"/>
      </font>
      <fill>
        <patternFill patternType="solid">
          <bgColor rgb="FFFFFF99"/>
        </patternFill>
      </fill>
    </dxf>
    <dxf>
      <font>
        <b val="0"/>
        <color rgb="FF008000"/>
      </font>
      <fill>
        <patternFill patternType="solid">
          <bgColor rgb="FFCCFFFF"/>
        </patternFill>
      </fill>
    </dxf>
    <dxf>
      <font>
        <b val="0"/>
        <color rgb="FF800000"/>
      </font>
      <fill>
        <patternFill patternType="solid">
          <bgColor rgb="FFFFFF99"/>
        </patternFill>
      </fill>
    </dxf>
    <dxf>
      <font>
        <b val="0"/>
        <color rgb="FF008000"/>
      </font>
      <fill>
        <patternFill patternType="solid">
          <bgColor rgb="FFCCFFFF"/>
        </patternFill>
      </fill>
    </dxf>
    <dxf>
      <font>
        <b val="0"/>
        <color rgb="FF800000"/>
      </font>
      <fill>
        <patternFill patternType="solid">
          <bgColor rgb="FFFFFF99"/>
        </patternFill>
      </fill>
    </dxf>
    <dxf>
      <font>
        <b val="0"/>
        <color rgb="FF008000"/>
      </font>
      <fill>
        <patternFill patternType="solid">
          <bgColor rgb="FFCCFFFF"/>
        </patternFill>
      </fill>
    </dxf>
    <dxf>
      <font>
        <b val="0"/>
        <color rgb="FF800000"/>
      </font>
      <fill>
        <patternFill patternType="solid">
          <bgColor rgb="FFFFFF99"/>
        </patternFill>
      </fill>
    </dxf>
    <dxf>
      <font>
        <b val="0"/>
        <color rgb="FF008000"/>
      </font>
      <fill>
        <patternFill patternType="solid">
          <bgColor rgb="FFCCFFFF"/>
        </patternFill>
      </fill>
    </dxf>
    <dxf>
      <font>
        <b val="0"/>
        <color rgb="FF800000"/>
      </font>
      <fill>
        <patternFill patternType="solid">
          <bgColor rgb="FFFFFF99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000000"/>
      </font>
      <fill>
        <patternFill patternType="none"/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95604475" count="1">
        <pm:charStyle name="Normal" fontId="0" Id="1"/>
      </pm:charStyles>
      <pm:colors xmlns:pm="smNativeData" id="1595604475" count="70">
        <pm:color name="Color 24" rgb="E26B0A"/>
        <pm:color name="Color 25" rgb="00B050"/>
        <pm:color name="Color 26" rgb="535353"/>
        <pm:color name="Color 27" rgb="548235"/>
        <pm:color name="Color 28" rgb="385724"/>
        <pm:color name="Color 29" rgb="EEEEEE"/>
        <pm:color name="Color 30" rgb="DAEEF3"/>
        <pm:color name="Color 31" rgb="366092"/>
        <pm:color name="Color 32" rgb="B7DEE8"/>
        <pm:color name="Color 33" rgb="FABF8F"/>
        <pm:color name="Color 34" rgb="FFC000"/>
        <pm:color name="Color 35" rgb="0070C0"/>
        <pm:color name="Color 36" rgb="002060"/>
        <pm:color name="Color 37" rgb="7030A0"/>
        <pm:color name="Color 38" rgb="76933C"/>
        <pm:color name="Color 39" rgb="D8D8D8"/>
        <pm:color name="Color 40" rgb="963634"/>
        <pm:color name="Color 41" rgb="F2F2F2"/>
        <pm:color name="Color 42" rgb="FFFFDD"/>
        <pm:color name="Color 43" rgb="C2D69A"/>
        <pm:color name="Color 44" rgb="B8CCE4"/>
        <pm:color name="Color 45" rgb="EBF1DC"/>
        <pm:color name="Color 46" rgb="FDE9D9"/>
        <pm:color name="Color 47" rgb="60497A"/>
        <pm:color name="Color 48" rgb="B1A0C7"/>
        <pm:color name="Color 49" rgb="969696"/>
        <pm:color name="Lima" rgb="99CC00"/>
        <pm:color name="Magenta claro" rgb="FF99CC"/>
        <pm:color name="Lavanda" rgb="CC99FF"/>
        <pm:color name="Cian claro" rgb="CCFFFF"/>
        <pm:color name="Color 54" rgb="C5D9F1"/>
        <pm:color name="Color 55" rgb="DA9694"/>
        <pm:color name="Color 56" rgb="585858"/>
        <pm:color name="Color 57" rgb="3E3E3E"/>
        <pm:color name="Color 58" rgb="F2DCDB"/>
        <pm:color name="Color 59" rgb="FFEB9C"/>
        <pm:color name="Color 60" rgb="FFE699"/>
        <pm:color name="Color 61" rgb="92D050"/>
        <pm:color name="Color 62" rgb="215967"/>
        <pm:color name="Color 63" rgb="000080"/>
        <pm:color name="Color 64" rgb="DAE3F3"/>
        <pm:color name="Color 65" rgb="DBDBDB"/>
        <pm:color name="Color 66" rgb="D9D9D9"/>
        <pm:color name="Color 67" rgb="D7E3BB"/>
        <pm:color name="Color 68" rgb="B4C7E7"/>
        <pm:color name="Color 69" rgb="F8CBAD"/>
        <pm:color name="Color 70" rgb="FFC7CE"/>
        <pm:color name="Color 71" rgb="E4DFEC"/>
        <pm:color name="Color 72" rgb="BDD7EE"/>
        <pm:color name="Color 73" rgb="D0CECE"/>
        <pm:color name="Color 74" rgb="A9D18E"/>
        <pm:color name="Color 75" rgb="AFABAB"/>
        <pm:color name="Color 76" rgb="ADB9CA"/>
        <pm:color name="Color 77" rgb="BFBFBF"/>
        <pm:color name="Color 78" rgb="FFFFCC"/>
        <pm:color name="Color 79" rgb="639A3F"/>
        <pm:color name="Color 80" rgb="E3AB00"/>
        <pm:color name="Color 81" rgb="C9C9C9"/>
        <pm:color name="Color 82" rgb="006100"/>
        <pm:color name="Color 83" rgb="C6EFCE"/>
        <pm:color name="Color 84" rgb="9C0006"/>
        <pm:color name="Color 85" rgb="9C6500"/>
        <pm:color name="Color 86" rgb="008000"/>
        <pm:color name="Verde claro" rgb="CCFFCC"/>
        <pm:color name="Color 88" rgb="800000"/>
        <pm:color name="Amarillo claro" rgb="FFFF99"/>
        <pm:color name="Color 90" rgb="E6B8B7"/>
        <pm:color name="Color 91" rgb="4F81BD"/>
        <pm:color name="Color 92" rgb="95B3D7"/>
        <pm:color name="Color 93" rgb="DCE6F1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/>
          <a:lstStyle/>
          <a:p>
            <a:pPr>
              <a:defRPr lang="es-es" sz="1400" b="0" i="0" u="none" strike="noStrike" kern="100">
                <a:solidFill>
                  <a:srgbClr val="595959"/>
                </a:solidFill>
                <a:latin typeface="Calibri" charset="0"/>
              </a:defRPr>
            </a:pPr>
            <a:r>
              <a:rPr lang="es-ES"/>
              <a:t>% Conversión</a:t>
            </a:r>
          </a:p>
        </c:rich>
      </c:tx>
      <c:overlay val="0"/>
      <c:spPr>
        <a:noFill/>
        <a:ln w="9525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%</c:v>
          </c:tx>
          <c:spPr>
            <a:ln w="57150">
              <a:solidFill>
                <a:srgbClr val="4F81BD"/>
              </a:solidFill>
            </a:ln>
          </c:spPr>
          <c:marker>
            <c:symbol val="none"/>
          </c:marker>
          <c:dLbls>
            <c:spPr>
              <a:noFill/>
              <a:ln w="9525">
                <a:noFill/>
              </a:ln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strRef>
              <c:f>EstudioConversion!$J$2:$J$13</c:f>
              <c:strCache>
                <c:ptCount val="12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Total general</c:v>
                </c:pt>
              </c:strCache>
            </c:strRef>
          </c:cat>
          <c:val>
            <c:numRef>
              <c:f>EstudioConversion!$N$2:$N$12</c:f>
              <c:numCache>
                <c:formatCode>0.0%</c:formatCode>
                <c:ptCount val="11"/>
                <c:pt idx="0">
                  <c:v>0.2857142857142857</c:v>
                </c:pt>
                <c:pt idx="1">
                  <c:v>0.33333333333333331</c:v>
                </c:pt>
                <c:pt idx="2">
                  <c:v>0.40476190476190477</c:v>
                </c:pt>
                <c:pt idx="3">
                  <c:v>0.37623762376237624</c:v>
                </c:pt>
                <c:pt idx="4">
                  <c:v>0.34965034965034963</c:v>
                </c:pt>
                <c:pt idx="5">
                  <c:v>0.41632653061224489</c:v>
                </c:pt>
                <c:pt idx="6">
                  <c:v>0.40384615384615385</c:v>
                </c:pt>
                <c:pt idx="7">
                  <c:v>0.43315508021390375</c:v>
                </c:pt>
                <c:pt idx="8">
                  <c:v>0.39130434782608697</c:v>
                </c:pt>
                <c:pt idx="9">
                  <c:v>0.45673076923076922</c:v>
                </c:pt>
                <c:pt idx="10">
                  <c:v>0.48837209302325579</c:v>
                </c:pt>
              </c:numCache>
            </c:numRef>
          </c:val>
          <c:smooth val="0"/>
          <c:extLst>
            <c:ext xmlns:sm="smo" uri="smo">
              <sm:meanLine>
                <c:spPr>
                  <a:ln w="9525">
                    <a:noFill/>
                  </a:ln>
                </c:spPr>
              </sm:meanLine>
              <sm:minMaxLine>
                <c:spPr>
                  <a:ln w="9525">
                    <a:noFill/>
                  </a:ln>
                </c:spPr>
              </sm:minMaxLine>
              <sm:stDevLine>
                <c:spPr>
                  <a:ln w="9525">
                    <a:noFill/>
                  </a:ln>
                </c:spPr>
              </sm:stDevLine>
              <sm:trendLine>
                <c:spPr>
                  <a:ln w="9525"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1-B14C-48C0-95F4-BFD72B0D6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1"/>
        <c:extLst>
          <c:ext xmlns:sm="smo" uri="smo">
            <sm:boxPlot xmlns:sm="smo" val="0"/>
            <sm:turned xmlns:sm="smo" val="0"/>
          </c:ext>
        </c:extLst>
      </c:lineChart>
      <c:lineChart>
        <c:grouping val="standard"/>
        <c:varyColors val="0"/>
        <c:ser>
          <c:idx val="1"/>
          <c:order val="1"/>
          <c:tx>
            <c:v>Ocasiones Falladas</c:v>
          </c:tx>
          <c:marker>
            <c:symbol val="none"/>
          </c:marker>
          <c:val>
            <c:numRef>
              <c:f>EstudioConversion!$L$2:$L$12</c:f>
              <c:numCache>
                <c:formatCode>General</c:formatCode>
                <c:ptCount val="11"/>
                <c:pt idx="0">
                  <c:v>7</c:v>
                </c:pt>
                <c:pt idx="1">
                  <c:v>24</c:v>
                </c:pt>
                <c:pt idx="2">
                  <c:v>126</c:v>
                </c:pt>
                <c:pt idx="3">
                  <c:v>101</c:v>
                </c:pt>
                <c:pt idx="4">
                  <c:v>143</c:v>
                </c:pt>
                <c:pt idx="5">
                  <c:v>245</c:v>
                </c:pt>
                <c:pt idx="6">
                  <c:v>104</c:v>
                </c:pt>
                <c:pt idx="7">
                  <c:v>187</c:v>
                </c:pt>
                <c:pt idx="8">
                  <c:v>92</c:v>
                </c:pt>
                <c:pt idx="9">
                  <c:v>208</c:v>
                </c:pt>
                <c:pt idx="10">
                  <c:v>129</c:v>
                </c:pt>
              </c:numCache>
            </c:numRef>
          </c:val>
          <c:smooth val="0"/>
          <c:extLst>
            <c:ext xmlns:sm="smo" uri="smo">
              <sm:meanLine>
                <c:spPr>
                  <a:ln w="9525">
                    <a:noFill/>
                  </a:ln>
                </c:spPr>
              </sm:meanLine>
              <sm:minMaxLine>
                <c:spPr>
                  <a:ln w="9525">
                    <a:noFill/>
                  </a:ln>
                </c:spPr>
              </sm:minMaxLine>
              <sm:stDevLine>
                <c:spPr>
                  <a:ln w="9525">
                    <a:noFill/>
                  </a:ln>
                </c:spPr>
              </sm:stDevLine>
              <sm:trendLine>
                <c:spPr>
                  <a:ln w="9525"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2-B14C-48C0-95F4-BFD72B0D6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"/>
        <c:axId val="20"/>
        <c:extLst>
          <c:ext xmlns:sm="smo" uri="smo">
            <sm:boxPlot xmlns:sm="smo" val="0"/>
            <sm:turned xmlns:sm="smo" val="0"/>
          </c:ext>
        </c:extLst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525">
            <a:solidFill>
              <a:srgbClr val="D8D8D8"/>
            </a:solidFill>
          </a:ln>
        </c:spPr>
        <c:txPr>
          <a:bodyPr rot="4800000" anchor="ctr" anchorCtr="1"/>
          <a:lstStyle/>
          <a:p>
            <a:pPr>
              <a:defRPr lang="es-es" sz="900" b="0" i="0" u="none" strike="noStrike" kern="100">
                <a:solidFill>
                  <a:srgbClr val="595959"/>
                </a:solidFill>
                <a:latin typeface="Calibri" charset="0"/>
              </a:defRPr>
            </a:pPr>
            <a:endParaRPr lang="es-ES"/>
          </a:p>
        </c:txPr>
        <c:crossAx val="11"/>
        <c:crosses val="autoZero"/>
        <c:auto val="1"/>
        <c:lblAlgn val="ctr"/>
        <c:lblOffset val="100"/>
        <c:noMultiLvlLbl val="0"/>
      </c:catAx>
      <c:valAx>
        <c:axId val="11"/>
        <c:scaling>
          <c:orientation val="minMax"/>
        </c:scaling>
        <c:delete val="0"/>
        <c:axPos val="l"/>
        <c:majorGridlines>
          <c:spPr>
            <a:ln w="9525">
              <a:solidFill>
                <a:srgbClr val="D8D8D8"/>
              </a:solidFill>
            </a:ln>
          </c:spPr>
        </c:majorGridlines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txPr>
          <a:bodyPr rot="4800000" anchor="ctr" anchorCtr="1"/>
          <a:lstStyle/>
          <a:p>
            <a:pPr>
              <a:defRPr lang="es-es" sz="900" b="0" i="0" u="none" strike="noStrike" kern="100">
                <a:solidFill>
                  <a:srgbClr val="595959"/>
                </a:solidFill>
                <a:latin typeface="Calibri" charset="0"/>
              </a:defRPr>
            </a:pPr>
            <a:endParaRPr lang="es-ES"/>
          </a:p>
        </c:txPr>
        <c:crossAx val="10"/>
        <c:crosses val="autoZero"/>
        <c:crossBetween val="between"/>
      </c:valAx>
      <c:valAx>
        <c:axId val="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"/>
        <c:crosses val="max"/>
        <c:crossBetween val="between"/>
      </c:valAx>
      <c:catAx>
        <c:axId val="2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0"/>
        <c:crosses val="autoZero"/>
        <c:auto val="1"/>
        <c:lblAlgn val="l"/>
        <c:lblOffset val="100"/>
        <c:noMultiLvlLbl val="0"/>
      </c:catAx>
    </c:plotArea>
    <c:plotVisOnly val="1"/>
    <c:dispBlanksAs val="gap"/>
    <c:showDLblsOverMax val="0"/>
  </c:chart>
  <c:txPr>
    <a:bodyPr rot="0" anchor="t"/>
    <a:lstStyle/>
    <a:p>
      <a:pPr>
        <a:defRPr lang="es-es" sz="1000" b="0" i="0" u="none" strike="noStrike" kern="100">
          <a:solidFill>
            <a:srgbClr val="000000"/>
          </a:solidFill>
          <a:latin typeface="Calibri" charset="0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95604475" val="15"/>
    </c:ext>
  </c:extLst>
</c:chartSpac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83.hattrick.org/World/Leagues/League.aspx?LeagueID=24" TargetMode="External"/><Relationship Id="rId21" Type="http://schemas.openxmlformats.org/officeDocument/2006/relationships/hyperlink" Target="http://www83.hattrick.org/World/Leagues/League.aspx?LeagueID=19" TargetMode="External"/><Relationship Id="rId42" Type="http://schemas.openxmlformats.org/officeDocument/2006/relationships/hyperlink" Target="http://www93.hattrick.org/World/Leagues/League.aspx?LeagueID=70" TargetMode="External"/><Relationship Id="rId47" Type="http://schemas.openxmlformats.org/officeDocument/2006/relationships/hyperlink" Target="http://www94.hattrick.org/World/Leagues/League.aspx?LeagueID=12" TargetMode="External"/><Relationship Id="rId63" Type="http://schemas.openxmlformats.org/officeDocument/2006/relationships/hyperlink" Target="http://www78.hattrick.org/World/Leagues/League.aspx?LeagueID=36" TargetMode="External"/><Relationship Id="rId68" Type="http://schemas.openxmlformats.org/officeDocument/2006/relationships/hyperlink" Target="http://www78.hattrick.org/World/Leagues/League.aspx?LeagueID=25" TargetMode="External"/><Relationship Id="rId84" Type="http://schemas.openxmlformats.org/officeDocument/2006/relationships/hyperlink" Target="http://www92.hattrick.org/World/Leagues/League.aspx?LeagueID=34" TargetMode="External"/><Relationship Id="rId89" Type="http://schemas.openxmlformats.org/officeDocument/2006/relationships/hyperlink" Target="http://www92.hattrick.org/World/Leagues/League.aspx?LeagueID=37" TargetMode="External"/><Relationship Id="rId16" Type="http://schemas.openxmlformats.org/officeDocument/2006/relationships/hyperlink" Target="http://www88.hattrick.org/World/Leagues/League.aspx?LeagueID=25" TargetMode="External"/><Relationship Id="rId11" Type="http://schemas.openxmlformats.org/officeDocument/2006/relationships/hyperlink" Target="http://www88.hattrick.org/World/Leagues/League.aspx?LeagueID=11" TargetMode="External"/><Relationship Id="rId32" Type="http://schemas.openxmlformats.org/officeDocument/2006/relationships/hyperlink" Target="http://www93.hattrick.org/World/Leagues/League.aspx?LeagueID=7" TargetMode="External"/><Relationship Id="rId37" Type="http://schemas.openxmlformats.org/officeDocument/2006/relationships/hyperlink" Target="http://www93.hattrick.org/World/Leagues/League.aspx?LeagueID=14" TargetMode="External"/><Relationship Id="rId53" Type="http://schemas.openxmlformats.org/officeDocument/2006/relationships/hyperlink" Target="http://www94.hattrick.org/World/Leagues/League.aspx?LeagueID=34" TargetMode="External"/><Relationship Id="rId58" Type="http://schemas.openxmlformats.org/officeDocument/2006/relationships/hyperlink" Target="http://www94.hattrick.org/World/Leagues/League.aspx?LeagueID=37" TargetMode="External"/><Relationship Id="rId74" Type="http://schemas.openxmlformats.org/officeDocument/2006/relationships/hyperlink" Target="http://www78.hattrick.org/World/Leagues/League.aspx?LeagueID=5" TargetMode="External"/><Relationship Id="rId79" Type="http://schemas.openxmlformats.org/officeDocument/2006/relationships/hyperlink" Target="http://www92.hattrick.org/World/Leagues/League.aspx?LeagueID=3" TargetMode="External"/><Relationship Id="rId102" Type="http://schemas.openxmlformats.org/officeDocument/2006/relationships/hyperlink" Target="http://www76.hattrick.org/World/Leagues/League.aspx?LeagueID=3" TargetMode="External"/><Relationship Id="rId5" Type="http://schemas.openxmlformats.org/officeDocument/2006/relationships/hyperlink" Target="http://www88.hattrick.org/World/Leagues/League.aspx?LeagueID=24" TargetMode="External"/><Relationship Id="rId90" Type="http://schemas.openxmlformats.org/officeDocument/2006/relationships/hyperlink" Target="http://www76.hattrick.org/World/Leagues/League.aspx?LeagueID=36" TargetMode="External"/><Relationship Id="rId95" Type="http://schemas.openxmlformats.org/officeDocument/2006/relationships/hyperlink" Target="http://www76.hattrick.org/World/Leagues/League.aspx?LeagueID=14" TargetMode="External"/><Relationship Id="rId22" Type="http://schemas.openxmlformats.org/officeDocument/2006/relationships/hyperlink" Target="http://www83.hattrick.org/World/Leagues/League.aspx?LeagueID=25" TargetMode="External"/><Relationship Id="rId27" Type="http://schemas.openxmlformats.org/officeDocument/2006/relationships/hyperlink" Target="http://www83.hattrick.org/World/Leagues/League.aspx?LeagueID=11" TargetMode="External"/><Relationship Id="rId43" Type="http://schemas.openxmlformats.org/officeDocument/2006/relationships/hyperlink" Target="http://www93.hattrick.org/World/Leagues/League.aspx?LeagueID=4" TargetMode="External"/><Relationship Id="rId48" Type="http://schemas.openxmlformats.org/officeDocument/2006/relationships/hyperlink" Target="http://www94.hattrick.org/World/Leagues/League.aspx?LeagueID=3" TargetMode="External"/><Relationship Id="rId64" Type="http://schemas.openxmlformats.org/officeDocument/2006/relationships/hyperlink" Target="http://www78.hattrick.org/World/Leagues/League.aspx?LeagueID=7" TargetMode="External"/><Relationship Id="rId69" Type="http://schemas.openxmlformats.org/officeDocument/2006/relationships/hyperlink" Target="http://www78.hattrick.org/World/Leagues/League.aspx?LeagueID=14" TargetMode="External"/><Relationship Id="rId80" Type="http://schemas.openxmlformats.org/officeDocument/2006/relationships/hyperlink" Target="http://www92.hattrick.org/World/Leagues/League.aspx?LeagueID=19" TargetMode="External"/><Relationship Id="rId85" Type="http://schemas.openxmlformats.org/officeDocument/2006/relationships/hyperlink" Target="http://www92.hattrick.org/World/Leagues/League.aspx?LeagueID=24" TargetMode="External"/><Relationship Id="rId12" Type="http://schemas.openxmlformats.org/officeDocument/2006/relationships/hyperlink" Target="http://www88.hattrick.org/World/Leagues/League.aspx?LeagueID=3" TargetMode="External"/><Relationship Id="rId17" Type="http://schemas.openxmlformats.org/officeDocument/2006/relationships/hyperlink" Target="http://www83.hattrick.org/World/Leagues/League.aspx?LeagueID=36" TargetMode="External"/><Relationship Id="rId33" Type="http://schemas.openxmlformats.org/officeDocument/2006/relationships/hyperlink" Target="http://www93.hattrick.org/World/Leagues/League.aspx?LeagueID=12" TargetMode="External"/><Relationship Id="rId38" Type="http://schemas.openxmlformats.org/officeDocument/2006/relationships/hyperlink" Target="http://www93.hattrick.org/World/Leagues/League.aspx?LeagueID=93" TargetMode="External"/><Relationship Id="rId59" Type="http://schemas.openxmlformats.org/officeDocument/2006/relationships/hyperlink" Target="http://www88.hattrick.org/World/Leagues/League.aspx?LeagueID=12" TargetMode="External"/><Relationship Id="rId103" Type="http://schemas.openxmlformats.org/officeDocument/2006/relationships/hyperlink" Target="http://www76.hattrick.org/World/Leagues/League.aspx?LeagueID=63" TargetMode="External"/><Relationship Id="rId20" Type="http://schemas.openxmlformats.org/officeDocument/2006/relationships/hyperlink" Target="http://www83.hattrick.org/World/Leagues/League.aspx?LeagueID=3" TargetMode="External"/><Relationship Id="rId41" Type="http://schemas.openxmlformats.org/officeDocument/2006/relationships/hyperlink" Target="http://www93.hattrick.org/World/Leagues/League.aspx?LeagueID=11" TargetMode="External"/><Relationship Id="rId54" Type="http://schemas.openxmlformats.org/officeDocument/2006/relationships/hyperlink" Target="http://www94.hattrick.org/World/Leagues/League.aspx?LeagueID=24" TargetMode="External"/><Relationship Id="rId62" Type="http://schemas.openxmlformats.org/officeDocument/2006/relationships/hyperlink" Target="http://www88.hattrick.org/World/Leagues/League.aspx?LeagueID=37" TargetMode="External"/><Relationship Id="rId70" Type="http://schemas.openxmlformats.org/officeDocument/2006/relationships/hyperlink" Target="http://www78.hattrick.org/World/Leagues/League.aspx?LeagueID=93" TargetMode="External"/><Relationship Id="rId75" Type="http://schemas.openxmlformats.org/officeDocument/2006/relationships/hyperlink" Target="http://www78.hattrick.org/World/Leagues/League.aspx?LeagueID=4" TargetMode="External"/><Relationship Id="rId83" Type="http://schemas.openxmlformats.org/officeDocument/2006/relationships/hyperlink" Target="http://www92.hattrick.org/World/Leagues/League.aspx?LeagueID=93" TargetMode="External"/><Relationship Id="rId88" Type="http://schemas.openxmlformats.org/officeDocument/2006/relationships/hyperlink" Target="http://www92.hattrick.org/World/Leagues/League.aspx?LeagueID=5" TargetMode="External"/><Relationship Id="rId91" Type="http://schemas.openxmlformats.org/officeDocument/2006/relationships/hyperlink" Target="http://www76.hattrick.org/World/Leagues/League.aspx?LeagueID=8" TargetMode="External"/><Relationship Id="rId96" Type="http://schemas.openxmlformats.org/officeDocument/2006/relationships/hyperlink" Target="http://www76.hattrick.org/World/Leagues/League.aspx?LeagueID=4" TargetMode="External"/><Relationship Id="rId1" Type="http://schemas.openxmlformats.org/officeDocument/2006/relationships/hyperlink" Target="http://www88.hattrick.org/World/Leagues/League.aspx?LeagueID=36" TargetMode="External"/><Relationship Id="rId6" Type="http://schemas.openxmlformats.org/officeDocument/2006/relationships/hyperlink" Target="http://www88.hattrick.org/World/Leagues/League.aspx?LeagueID=50" TargetMode="External"/><Relationship Id="rId15" Type="http://schemas.openxmlformats.org/officeDocument/2006/relationships/hyperlink" Target="http://www88.hattrick.org/World/Leagues/League.aspx?LeagueID=44" TargetMode="External"/><Relationship Id="rId23" Type="http://schemas.openxmlformats.org/officeDocument/2006/relationships/hyperlink" Target="http://www83.hattrick.org/World/Leagues/League.aspx?LeagueID=14" TargetMode="External"/><Relationship Id="rId28" Type="http://schemas.openxmlformats.org/officeDocument/2006/relationships/hyperlink" Target="http://www83.hattrick.org/World/Leagues/League.aspx?LeagueID=70" TargetMode="External"/><Relationship Id="rId36" Type="http://schemas.openxmlformats.org/officeDocument/2006/relationships/hyperlink" Target="http://www93.hattrick.org/World/Leagues/League.aspx?LeagueID=25" TargetMode="External"/><Relationship Id="rId49" Type="http://schemas.openxmlformats.org/officeDocument/2006/relationships/hyperlink" Target="http://www94.hattrick.org/World/Leagues/League.aspx?LeagueID=19" TargetMode="External"/><Relationship Id="rId57" Type="http://schemas.openxmlformats.org/officeDocument/2006/relationships/hyperlink" Target="http://www94.hattrick.org/World/Leagues/League.aspx?LeagueID=4" TargetMode="External"/><Relationship Id="rId10" Type="http://schemas.openxmlformats.org/officeDocument/2006/relationships/hyperlink" Target="http://www88.hattrick.org/World/Leagues/League.aspx?LeagueID=14" TargetMode="External"/><Relationship Id="rId31" Type="http://schemas.openxmlformats.org/officeDocument/2006/relationships/hyperlink" Target="http://www93.hattrick.org/World/Leagues/League.aspx?LeagueID=36" TargetMode="External"/><Relationship Id="rId44" Type="http://schemas.openxmlformats.org/officeDocument/2006/relationships/hyperlink" Target="http://www93.hattrick.org/World/Leagues/League.aspx?LeagueID=37" TargetMode="External"/><Relationship Id="rId52" Type="http://schemas.openxmlformats.org/officeDocument/2006/relationships/hyperlink" Target="http://www94.hattrick.org/World/Leagues/League.aspx?LeagueID=93" TargetMode="External"/><Relationship Id="rId60" Type="http://schemas.openxmlformats.org/officeDocument/2006/relationships/hyperlink" Target="http://www88.hattrick.org/World/Leagues/League.aspx?LeagueID=93" TargetMode="External"/><Relationship Id="rId65" Type="http://schemas.openxmlformats.org/officeDocument/2006/relationships/hyperlink" Target="http://www78.hattrick.org/World/Leagues/League.aspx?LeagueID=12" TargetMode="External"/><Relationship Id="rId73" Type="http://schemas.openxmlformats.org/officeDocument/2006/relationships/hyperlink" Target="http://www78.hattrick.org/World/Leagues/League.aspx?LeagueID=11" TargetMode="External"/><Relationship Id="rId78" Type="http://schemas.openxmlformats.org/officeDocument/2006/relationships/hyperlink" Target="http://www92.hattrick.org/World/Leagues/League.aspx?LeagueID=12" TargetMode="External"/><Relationship Id="rId81" Type="http://schemas.openxmlformats.org/officeDocument/2006/relationships/hyperlink" Target="http://www92.hattrick.org/World/Leagues/League.aspx?LeagueID=25" TargetMode="External"/><Relationship Id="rId86" Type="http://schemas.openxmlformats.org/officeDocument/2006/relationships/hyperlink" Target="http://www92.hattrick.org/World/Leagues/League.aspx?LeagueID=11" TargetMode="External"/><Relationship Id="rId94" Type="http://schemas.openxmlformats.org/officeDocument/2006/relationships/hyperlink" Target="http://www76.hattrick.org/World/Leagues/League.aspx?LeagueID=12" TargetMode="External"/><Relationship Id="rId99" Type="http://schemas.openxmlformats.org/officeDocument/2006/relationships/hyperlink" Target="http://www76.hattrick.org/World/Leagues/League.aspx?LeagueID=120" TargetMode="External"/><Relationship Id="rId101" Type="http://schemas.openxmlformats.org/officeDocument/2006/relationships/hyperlink" Target="http://www76.hattrick.org/World/Leagues/League.aspx?LeagueID=28" TargetMode="External"/><Relationship Id="rId4" Type="http://schemas.openxmlformats.org/officeDocument/2006/relationships/hyperlink" Target="http://www88.hattrick.org/World/Leagues/League.aspx?LeagueID=4" TargetMode="External"/><Relationship Id="rId9" Type="http://schemas.openxmlformats.org/officeDocument/2006/relationships/hyperlink" Target="http://www88.hattrick.org/World/Leagues/League.aspx?LeagueID=62" TargetMode="External"/><Relationship Id="rId13" Type="http://schemas.openxmlformats.org/officeDocument/2006/relationships/hyperlink" Target="http://www88.hattrick.org/World/Leagues/League.aspx?LeagueID=63" TargetMode="External"/><Relationship Id="rId18" Type="http://schemas.openxmlformats.org/officeDocument/2006/relationships/hyperlink" Target="http://www83.hattrick.org/World/Leagues/League.aspx?LeagueID=7" TargetMode="External"/><Relationship Id="rId39" Type="http://schemas.openxmlformats.org/officeDocument/2006/relationships/hyperlink" Target="http://www93.hattrick.org/World/Leagues/League.aspx?LeagueID=34" TargetMode="External"/><Relationship Id="rId34" Type="http://schemas.openxmlformats.org/officeDocument/2006/relationships/hyperlink" Target="http://www93.hattrick.org/World/Leagues/League.aspx?LeagueID=3" TargetMode="External"/><Relationship Id="rId50" Type="http://schemas.openxmlformats.org/officeDocument/2006/relationships/hyperlink" Target="http://www94.hattrick.org/World/Leagues/League.aspx?LeagueID=25" TargetMode="External"/><Relationship Id="rId55" Type="http://schemas.openxmlformats.org/officeDocument/2006/relationships/hyperlink" Target="http://www94.hattrick.org/World/Leagues/League.aspx?LeagueID=11" TargetMode="External"/><Relationship Id="rId76" Type="http://schemas.openxmlformats.org/officeDocument/2006/relationships/hyperlink" Target="http://www78.hattrick.org/World/Leagues/League.aspx?LeagueID=37" TargetMode="External"/><Relationship Id="rId97" Type="http://schemas.openxmlformats.org/officeDocument/2006/relationships/hyperlink" Target="http://www76.hattrick.org/World/Leagues/League.aspx?LeagueID=5" TargetMode="External"/><Relationship Id="rId104" Type="http://schemas.openxmlformats.org/officeDocument/2006/relationships/hyperlink" Target="http://www76.hattrick.org/World/Leagues/League.aspx?LeagueID=67" TargetMode="External"/><Relationship Id="rId7" Type="http://schemas.openxmlformats.org/officeDocument/2006/relationships/hyperlink" Target="http://www88.hattrick.org/World/Leagues/League.aspx?LeagueID=26" TargetMode="External"/><Relationship Id="rId71" Type="http://schemas.openxmlformats.org/officeDocument/2006/relationships/hyperlink" Target="http://www78.hattrick.org/World/Leagues/League.aspx?LeagueID=34" TargetMode="External"/><Relationship Id="rId92" Type="http://schemas.openxmlformats.org/officeDocument/2006/relationships/hyperlink" Target="http://www76.hattrick.org/World/Leagues/League.aspx?LeagueID=52" TargetMode="External"/><Relationship Id="rId2" Type="http://schemas.openxmlformats.org/officeDocument/2006/relationships/image" Target="../media/image1.gif"/><Relationship Id="rId29" Type="http://schemas.openxmlformats.org/officeDocument/2006/relationships/hyperlink" Target="http://www83.hattrick.org/World/Leagues/League.aspx?LeagueID=4" TargetMode="External"/><Relationship Id="rId24" Type="http://schemas.openxmlformats.org/officeDocument/2006/relationships/hyperlink" Target="http://www83.hattrick.org/World/Leagues/League.aspx?LeagueID=93" TargetMode="External"/><Relationship Id="rId40" Type="http://schemas.openxmlformats.org/officeDocument/2006/relationships/hyperlink" Target="http://www93.hattrick.org/World/Leagues/League.aspx?LeagueID=24" TargetMode="External"/><Relationship Id="rId45" Type="http://schemas.openxmlformats.org/officeDocument/2006/relationships/hyperlink" Target="http://www94.hattrick.org/World/Leagues/League.aspx?LeagueID=36" TargetMode="External"/><Relationship Id="rId66" Type="http://schemas.openxmlformats.org/officeDocument/2006/relationships/hyperlink" Target="http://www78.hattrick.org/World/Leagues/League.aspx?LeagueID=3" TargetMode="External"/><Relationship Id="rId87" Type="http://schemas.openxmlformats.org/officeDocument/2006/relationships/hyperlink" Target="http://www92.hattrick.org/World/Leagues/League.aspx?LeagueID=64" TargetMode="External"/><Relationship Id="rId61" Type="http://schemas.openxmlformats.org/officeDocument/2006/relationships/hyperlink" Target="http://www88.hattrick.org/World/Leagues/League.aspx?LeagueID=34" TargetMode="External"/><Relationship Id="rId82" Type="http://schemas.openxmlformats.org/officeDocument/2006/relationships/hyperlink" Target="http://www92.hattrick.org/World/Leagues/League.aspx?LeagueID=14" TargetMode="External"/><Relationship Id="rId19" Type="http://schemas.openxmlformats.org/officeDocument/2006/relationships/hyperlink" Target="http://www83.hattrick.org/World/Leagues/League.aspx?LeagueID=12" TargetMode="External"/><Relationship Id="rId14" Type="http://schemas.openxmlformats.org/officeDocument/2006/relationships/hyperlink" Target="http://www88.hattrick.org/World/Leagues/League.aspx?LeagueID=70" TargetMode="External"/><Relationship Id="rId30" Type="http://schemas.openxmlformats.org/officeDocument/2006/relationships/hyperlink" Target="http://www83.hattrick.org/World/Leagues/League.aspx?LeagueID=37" TargetMode="External"/><Relationship Id="rId35" Type="http://schemas.openxmlformats.org/officeDocument/2006/relationships/hyperlink" Target="http://www93.hattrick.org/World/Leagues/League.aspx?LeagueID=19" TargetMode="External"/><Relationship Id="rId56" Type="http://schemas.openxmlformats.org/officeDocument/2006/relationships/hyperlink" Target="http://www94.hattrick.org/World/Leagues/League.aspx?LeagueID=70" TargetMode="External"/><Relationship Id="rId77" Type="http://schemas.openxmlformats.org/officeDocument/2006/relationships/hyperlink" Target="http://www92.hattrick.org/World/Leagues/League.aspx?LeagueID=36" TargetMode="External"/><Relationship Id="rId100" Type="http://schemas.openxmlformats.org/officeDocument/2006/relationships/hyperlink" Target="http://www76.hattrick.org/World/Leagues/League.aspx?LeagueID=51" TargetMode="External"/><Relationship Id="rId105" Type="http://schemas.openxmlformats.org/officeDocument/2006/relationships/hyperlink" Target="http://www75.hattrick.org/World/Leagues/League.aspx?LeagueID=36" TargetMode="External"/><Relationship Id="rId8" Type="http://schemas.openxmlformats.org/officeDocument/2006/relationships/hyperlink" Target="http://www88.hattrick.org/World/Leagues/League.aspx?LeagueID=19" TargetMode="External"/><Relationship Id="rId51" Type="http://schemas.openxmlformats.org/officeDocument/2006/relationships/hyperlink" Target="http://www94.hattrick.org/World/Leagues/League.aspx?LeagueID=14" TargetMode="External"/><Relationship Id="rId72" Type="http://schemas.openxmlformats.org/officeDocument/2006/relationships/hyperlink" Target="http://www78.hattrick.org/World/Leagues/League.aspx?LeagueID=24" TargetMode="External"/><Relationship Id="rId93" Type="http://schemas.openxmlformats.org/officeDocument/2006/relationships/hyperlink" Target="http://www76.hattrick.org/World/Leagues/League.aspx?LeagueID=1" TargetMode="External"/><Relationship Id="rId98" Type="http://schemas.openxmlformats.org/officeDocument/2006/relationships/hyperlink" Target="http://www76.hattrick.org/World/Leagues/League.aspx?LeagueID=7" TargetMode="External"/><Relationship Id="rId3" Type="http://schemas.openxmlformats.org/officeDocument/2006/relationships/hyperlink" Target="http://www88.hattrick.org/World/Leagues/League.aspx?LeagueID=7" TargetMode="External"/><Relationship Id="rId25" Type="http://schemas.openxmlformats.org/officeDocument/2006/relationships/hyperlink" Target="http://www83.hattrick.org/World/Leagues/League.aspx?LeagueID=34" TargetMode="External"/><Relationship Id="rId46" Type="http://schemas.openxmlformats.org/officeDocument/2006/relationships/hyperlink" Target="http://www94.hattrick.org/World/Leagues/League.aspx?LeagueID=7" TargetMode="External"/><Relationship Id="rId67" Type="http://schemas.openxmlformats.org/officeDocument/2006/relationships/hyperlink" Target="http://www78.hattrick.org/World/Leagues/League.aspx?LeagueID=19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518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517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B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516" name="Picture 9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B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515" name="Picture 10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B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514" name="Picture 11" descr="Hella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600-0000B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513" name="Picture 12" descr="Scotland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600-0000B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512" name="Picture 13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B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11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510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B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9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8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B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507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6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B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5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4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3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2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1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Azq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0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A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9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98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A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97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A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96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A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9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494" name="Picture 31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A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93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A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492" name="Picture 7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491" name="Picture 9" descr="Argentina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600-0000A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490" name="Picture 1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9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A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88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A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7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9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6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8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9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4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9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3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9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9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1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9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9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79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9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78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9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7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76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9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7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9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74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73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472" name="Picture 32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71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7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69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8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68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8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67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66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65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8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64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8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63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62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8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61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6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8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59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8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8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7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6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8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7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4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7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7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2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7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1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7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7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49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48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7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47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7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446" name="Picture 26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4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44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43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42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7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41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7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40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39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38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6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3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436" name="Picture 36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6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35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34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6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33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32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6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31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3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9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8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6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7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6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6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6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6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4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6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3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5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2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1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5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2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19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418" name="Picture 26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5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17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16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1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14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13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5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12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11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5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10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09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408" name="Picture 37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600-00005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07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4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06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05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4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04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03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4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02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4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01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4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0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9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4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8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4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4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6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4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4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4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4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3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4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2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4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9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90" name="Picture 24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3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8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8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8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86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85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3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84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3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8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82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81" name="Picture 36" descr="România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00000000-0008-0000-0600-00003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80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3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9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78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3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7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6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3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75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4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3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2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2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1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2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2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69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2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68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2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67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2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66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6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2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64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6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2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62" name="Picture 26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2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61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6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59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58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1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5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56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1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5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54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53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1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52" name="Picture 38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1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51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50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9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8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1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47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1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6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1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5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4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1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3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0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2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0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1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0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0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0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39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38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0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37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0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36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0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3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34" name="Picture 25" descr="France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00000000-0008-0000-0600-00000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3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0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32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31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30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29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28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0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27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26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F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25" name="Picture 3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24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F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23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2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F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2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2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F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F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29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29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C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C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9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5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5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5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5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5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xOZ8V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zq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Az6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1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0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9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8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7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6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5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3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2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1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0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9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8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7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6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5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4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3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2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6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3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1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1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1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6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6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64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10160</xdr:colOff>
      <xdr:row>23</xdr:row>
      <xdr:rowOff>9525</xdr:rowOff>
    </xdr:to>
    <xdr:pic>
      <xdr:nvPicPr>
        <xdr:cNvPr id="2863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cAAAALAAAAAAAAABcAAAALAAAAMQADAFAjAAA2H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58597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10160</xdr:colOff>
      <xdr:row>20</xdr:row>
      <xdr:rowOff>9525</xdr:rowOff>
    </xdr:to>
    <xdr:pic>
      <xdr:nvPicPr>
        <xdr:cNvPr id="2862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LAAAAAAAAABQAAAALAAAAMQADAFAj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98780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10160</xdr:colOff>
      <xdr:row>21</xdr:row>
      <xdr:rowOff>9525</xdr:rowOff>
    </xdr:to>
    <xdr:pic>
      <xdr:nvPicPr>
        <xdr:cNvPr id="2861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DAFAjAADCG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18719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10160</xdr:colOff>
      <xdr:row>21</xdr:row>
      <xdr:rowOff>9525</xdr:rowOff>
    </xdr:to>
    <xdr:pic>
      <xdr:nvPicPr>
        <xdr:cNvPr id="286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UAAAALAAAAAAAAABUAAAALAAAAMQADAFAjAADCG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18719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10160</xdr:colOff>
      <xdr:row>21</xdr:row>
      <xdr:rowOff>9525</xdr:rowOff>
    </xdr:to>
    <xdr:pic>
      <xdr:nvPicPr>
        <xdr:cNvPr id="2859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DAFAjAADCG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18719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58" name="Picture 30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2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10160</xdr:colOff>
      <xdr:row>20</xdr:row>
      <xdr:rowOff>9525</xdr:rowOff>
    </xdr:to>
    <xdr:pic>
      <xdr:nvPicPr>
        <xdr:cNvPr id="2857" name="Picture 31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2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LAAAAAAAAABQAAAALAAAAMQADAFAj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98780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10160</xdr:colOff>
      <xdr:row>21</xdr:row>
      <xdr:rowOff>9525</xdr:rowOff>
    </xdr:to>
    <xdr:pic>
      <xdr:nvPicPr>
        <xdr:cNvPr id="2856" name="Picture 32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2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DAFAjAADCG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18719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10160</xdr:colOff>
      <xdr:row>21</xdr:row>
      <xdr:rowOff>9525</xdr:rowOff>
    </xdr:to>
    <xdr:pic>
      <xdr:nvPicPr>
        <xdr:cNvPr id="2855" name="Picture 33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2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LAAAAAAAAABUAAAALAAAAMQADAFAjAADCG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18719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10160</xdr:colOff>
      <xdr:row>21</xdr:row>
      <xdr:rowOff>9525</xdr:rowOff>
    </xdr:to>
    <xdr:pic>
      <xdr:nvPicPr>
        <xdr:cNvPr id="2854" name="Picture 4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DAFAjAADCG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18719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304165</xdr:colOff>
      <xdr:row>22</xdr:row>
      <xdr:rowOff>95250</xdr:rowOff>
    </xdr:to>
    <xdr:sp macro="" textlink="" fLocksText="0">
      <xdr:nvSpPr>
        <xdr:cNvPr id="2853" name="AutoShape 42" descr="Imprevisible">
          <a:extLst>
            <a:ext uri="{FF2B5EF4-FFF2-40B4-BE49-F238E27FC236}">
              <a16:creationId xmlns:a16="http://schemas.microsoft.com/office/drawing/2014/main" id="{00000000-0008-0000-0600-0000250B0000}"/>
            </a:ext>
          </a:extLst>
        </xdr:cNvPr>
        <xdr:cNvSpPr>
          <a:spLocks noChangeAspect="1"/>
          <a:extLst>
            <a:ext uri="smNativeData">
              <pm:smNativeData xmlns="" xmlns:pm="smNativeData" val="SMDATA_11_+/0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FQAAAAsAAAAAAAAAFgAAAAsAAADpAVsAUCMAAMIZAADfAQAA0AEAAAEAAAA="/>
            </a:ext>
          </a:extLst>
        </xdr:cNvSpPr>
      </xdr:nvSpPr>
      <xdr:spPr>
        <a:xfrm>
          <a:off x="5740400" y="4187190"/>
          <a:ext cx="304165" cy="29464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52" name="Picture 4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304165</xdr:colOff>
      <xdr:row>23</xdr:row>
      <xdr:rowOff>104775</xdr:rowOff>
    </xdr:to>
    <xdr:sp macro="" textlink="" fLocksText="0">
      <xdr:nvSpPr>
        <xdr:cNvPr id="2851" name="AutoShape 44" descr="Ràpid">
          <a:extLst>
            <a:ext uri="{FF2B5EF4-FFF2-40B4-BE49-F238E27FC236}">
              <a16:creationId xmlns:a16="http://schemas.microsoft.com/office/drawing/2014/main" id="{00000000-0008-0000-0600-0000230B0000}"/>
            </a:ext>
          </a:extLst>
        </xdr:cNvPr>
        <xdr:cNvSpPr>
          <a:spLocks noChangeAspect="1"/>
          <a:extLst>
            <a:ext uri="smNativeData">
              <pm:smNativeData xmlns="" xmlns:pm="smNativeData" val="SMDATA_11_+/0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FgAAAAsAAAAAAAAAFwAAAAsAAAAaAlsAUCMAAPwaAADfAQAA3wEAAAEAAAA="/>
            </a:ext>
          </a:extLst>
        </xdr:cNvSpPr>
      </xdr:nvSpPr>
      <xdr:spPr>
        <a:xfrm>
          <a:off x="5740400" y="4386580"/>
          <a:ext cx="304165" cy="30416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304165</xdr:colOff>
      <xdr:row>18</xdr:row>
      <xdr:rowOff>104775</xdr:rowOff>
    </xdr:to>
    <xdr:sp macro="" textlink="" fLocksText="0">
      <xdr:nvSpPr>
        <xdr:cNvPr id="2850" name="AutoShape 47" descr="Entrenador">
          <a:extLst>
            <a:ext uri="{FF2B5EF4-FFF2-40B4-BE49-F238E27FC236}">
              <a16:creationId xmlns:a16="http://schemas.microsoft.com/office/drawing/2014/main" id="{00000000-0008-0000-0600-0000220B0000}"/>
            </a:ext>
          </a:extLst>
        </xdr:cNvPr>
        <xdr:cNvSpPr>
          <a:spLocks noChangeAspect="1"/>
          <a:extLst>
            <a:ext uri="smNativeData">
              <pm:smNativeData xmlns="" xmlns:pm="smNativeData" val="SMDATA_11_+/0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EQAAAAsAAAAAAAAAEgAAAAsAAAAaAlsAUCMAANoUAADfAQAA3wEAAAEAAAA="/>
            </a:ext>
          </a:extLst>
        </xdr:cNvSpPr>
      </xdr:nvSpPr>
      <xdr:spPr>
        <a:xfrm>
          <a:off x="5740400" y="3389630"/>
          <a:ext cx="304165" cy="30416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304165</xdr:colOff>
      <xdr:row>18</xdr:row>
      <xdr:rowOff>104775</xdr:rowOff>
    </xdr:to>
    <xdr:sp macro="" textlink="" fLocksText="0">
      <xdr:nvSpPr>
        <xdr:cNvPr id="2849" name="AutoShape 48" descr="Imprevisible">
          <a:extLst>
            <a:ext uri="{FF2B5EF4-FFF2-40B4-BE49-F238E27FC236}">
              <a16:creationId xmlns:a16="http://schemas.microsoft.com/office/drawing/2014/main" id="{00000000-0008-0000-0600-0000210B0000}"/>
            </a:ext>
          </a:extLst>
        </xdr:cNvPr>
        <xdr:cNvSpPr>
          <a:spLocks noChangeAspect="1"/>
          <a:extLst>
            <a:ext uri="smNativeData">
              <pm:smNativeData xmlns="" xmlns:pm="smNativeData" val="SMDATA_11_+/0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EQAAAAsAAAAAAAAAEgAAAAsAAAAaAlsAUCMAANoUAADfAQAA3wEAAAEAAAA="/>
            </a:ext>
          </a:extLst>
        </xdr:cNvSpPr>
      </xdr:nvSpPr>
      <xdr:spPr>
        <a:xfrm>
          <a:off x="5740400" y="3389630"/>
          <a:ext cx="304165" cy="30416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48" name="Picture 50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2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304165</xdr:colOff>
      <xdr:row>20</xdr:row>
      <xdr:rowOff>104775</xdr:rowOff>
    </xdr:to>
    <xdr:sp macro="" textlink="" fLocksText="0">
      <xdr:nvSpPr>
        <xdr:cNvPr id="2847" name="AutoShape 51" descr="Tècnic">
          <a:extLst>
            <a:ext uri="{FF2B5EF4-FFF2-40B4-BE49-F238E27FC236}">
              <a16:creationId xmlns:a16="http://schemas.microsoft.com/office/drawing/2014/main" id="{00000000-0008-0000-0600-00001F0B0000}"/>
            </a:ext>
          </a:extLst>
        </xdr:cNvPr>
        <xdr:cNvSpPr>
          <a:spLocks noChangeAspect="1"/>
          <a:extLst>
            <a:ext uri="smNativeData">
              <pm:smNativeData xmlns="" xmlns:pm="smNativeData" val="SMDATA_11_+/0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EwAAAAsAAAAAAAAAFAAAAAsAAAAaAlsAUCMAAE4XAADfAQAA3wEAAAEAAAA="/>
            </a:ext>
          </a:extLst>
        </xdr:cNvSpPr>
      </xdr:nvSpPr>
      <xdr:spPr>
        <a:xfrm>
          <a:off x="5740400" y="3788410"/>
          <a:ext cx="304165" cy="30416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10160</xdr:colOff>
      <xdr:row>20</xdr:row>
      <xdr:rowOff>9525</xdr:rowOff>
    </xdr:to>
    <xdr:pic>
      <xdr:nvPicPr>
        <xdr:cNvPr id="2846" name="Picture 52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600-00001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BQAAAALAAAAAAAAABQAAAALAAAAMQADAFAj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98780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10160</xdr:colOff>
      <xdr:row>21</xdr:row>
      <xdr:rowOff>9525</xdr:rowOff>
    </xdr:to>
    <xdr:pic>
      <xdr:nvPicPr>
        <xdr:cNvPr id="2845" name="Picture 5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DAFAjAADCG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18719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44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1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43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1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wzqLD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42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1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41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4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9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1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8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1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7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1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6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1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1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4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3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2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1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0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6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0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4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3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2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0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1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0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19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8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6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F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4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3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F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2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9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F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7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F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6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F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4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F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3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F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2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F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1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F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9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E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E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7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E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6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E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E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4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E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E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2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E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1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E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E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9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E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8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E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7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E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6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E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4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3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D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D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1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D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D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9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D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8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D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D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6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D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D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4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D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3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D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2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D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1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D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D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9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D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8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D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6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4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C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3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2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1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C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C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9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C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8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C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7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C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6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C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4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C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3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2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1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9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B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8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7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6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B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4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3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2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B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1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B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9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B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8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B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7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B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6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A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4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1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9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8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A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7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A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6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A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4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A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3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A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2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A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1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A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A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9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8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9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9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6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4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9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2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9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1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9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9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9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9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8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9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7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9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6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9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9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4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9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3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8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2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8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1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8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8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9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8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8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8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6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4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3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8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8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9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8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7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6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4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3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1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9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8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7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6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4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3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2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1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8890</xdr:colOff>
      <xdr:row>12</xdr:row>
      <xdr:rowOff>9525</xdr:rowOff>
    </xdr:to>
    <xdr:pic>
      <xdr:nvPicPr>
        <xdr:cNvPr id="2379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OAAAAAAAAAAwAAAAOAAAAMQAGAMB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8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4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7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4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6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4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5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4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3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4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2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4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1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4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0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9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4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8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7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3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6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3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5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3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4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3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3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1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0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3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9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8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7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6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3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5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3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4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3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3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2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1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2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0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2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9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2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8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7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2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6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4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3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2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1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2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0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2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9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8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2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7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2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6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5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4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1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3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1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1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1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1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1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9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1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8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1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6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1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1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4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3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2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1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1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1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0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9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8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7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0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6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0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5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4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0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3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0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2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0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1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0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0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0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9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0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8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0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7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6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0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4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3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F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2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F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1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0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9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8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F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7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6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5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F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4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F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3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F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2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F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1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F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0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F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9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8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F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7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E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6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E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E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4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E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3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E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2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E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1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0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9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E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8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E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7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6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E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5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E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4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E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3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E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2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E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1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D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0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D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9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D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6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5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4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3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2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D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1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D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0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9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D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8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D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7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D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6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D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5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C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4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C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3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C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2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C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1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C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0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9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8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C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6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C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5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4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3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C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2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C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1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0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C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9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B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8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B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7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B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6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B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5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4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B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3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B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2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1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B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0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9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8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7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6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B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9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3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2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1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0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9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8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7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5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4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3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2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1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0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9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8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7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6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5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4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913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8890</xdr:colOff>
      <xdr:row>12</xdr:row>
      <xdr:rowOff>9525</xdr:rowOff>
    </xdr:to>
    <xdr:pic>
      <xdr:nvPicPr>
        <xdr:cNvPr id="1912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OAAAAAAAAAAwAAAAOAAAAMQAGAMB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11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7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10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7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9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7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8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7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6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7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5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7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4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7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3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2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6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1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9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8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7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6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6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5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4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3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6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2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1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0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9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6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8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6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7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5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6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5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4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5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3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5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2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5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1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0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5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9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8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7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6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5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5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4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5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3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5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1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4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0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4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9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4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8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7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4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6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4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5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4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4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4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3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4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2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4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1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4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0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9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4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8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4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7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6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5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3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4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3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3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2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1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3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9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3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8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7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3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6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3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5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3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4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3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3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3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2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3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1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3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0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9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2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8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7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6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2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5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2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4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3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2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1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2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2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9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8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2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7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2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6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2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2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4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2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3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1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2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1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1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0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9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8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7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6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1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5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4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3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2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1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1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1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9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1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8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1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6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0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0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4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3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0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2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0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0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9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8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7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6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5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0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4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0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3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2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0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1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F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F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9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F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8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F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7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F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6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F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F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4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F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3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2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1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F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0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9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F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8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7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6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F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5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E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4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3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E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2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E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1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E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0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E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9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E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8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E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7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E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6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E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4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E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3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2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1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0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E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9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D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C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C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9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6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5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4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3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2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1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0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8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7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6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5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4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3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2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1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0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9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8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7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446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44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4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A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3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A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2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A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1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9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9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8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9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7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9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6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9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4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9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3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2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1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9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6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4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3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2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8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1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8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8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19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8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8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6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8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8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4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3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8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2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9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8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7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7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6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7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4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7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3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7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2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7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1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7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9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7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7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7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7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6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7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7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4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7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2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7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1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6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6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9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6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8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6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7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6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6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6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4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3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6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6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1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6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9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6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8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6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6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6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6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5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4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5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3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2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5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1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9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5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8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5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6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4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5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3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2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1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5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5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9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4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8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4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7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4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6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4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4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4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3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2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1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9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4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8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7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6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4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4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4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3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2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3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1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3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3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9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3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8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3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7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3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6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3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3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4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1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9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8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3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7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6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2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4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2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3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2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2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2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1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2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2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9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8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2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2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6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4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2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2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2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1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9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1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8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1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7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6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1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1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4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1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3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1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2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1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1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1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1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9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1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8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1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6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4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3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0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2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F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F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9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8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7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6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4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3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1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9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8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7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6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4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3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2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1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979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978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7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D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6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D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C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4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3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2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C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1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C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0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C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9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8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C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7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6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5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4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3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C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2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1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0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9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B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8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7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6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5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B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4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B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3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2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51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5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9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B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8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B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7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6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5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4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3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2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A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0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A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9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A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7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A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6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A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5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A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4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3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A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2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A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1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A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0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A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9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A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8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A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7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9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6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5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9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4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9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3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2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1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9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0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9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9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8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7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6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9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5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9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4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3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9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2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9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1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8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0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8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9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8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8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8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7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8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6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5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8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4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3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2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8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1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8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0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9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8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8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8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7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8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6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8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5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4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7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3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7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2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7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1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7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0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7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9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7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8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7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7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7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6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7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5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4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3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2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7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1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0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9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8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6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7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6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6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5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6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4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6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6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2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6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1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6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0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6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9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6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8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6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7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6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4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3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2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1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5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0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5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9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8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5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7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5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6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5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5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5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4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5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3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5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2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5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1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5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0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5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9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8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7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4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6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4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5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4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4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3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2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4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1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4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0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9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4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8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4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7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4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6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4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5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4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4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4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3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4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2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4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1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0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3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9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8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7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6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3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5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3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2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1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0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9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8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7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6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4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3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2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1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9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8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7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6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5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4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3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512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511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10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9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F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8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F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7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6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5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4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3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2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1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0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9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8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7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6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4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2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1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89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88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87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86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85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84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8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82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81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80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9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8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7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6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5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4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3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2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1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0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9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8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7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6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5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4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3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2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1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0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9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8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7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6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5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4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3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2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1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0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9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7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6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4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2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1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9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8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7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6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5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4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2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1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0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9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8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7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6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5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4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3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2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1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0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9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8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7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6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5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4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3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2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1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0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9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8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7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6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5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4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3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2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1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0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9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7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6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5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4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3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2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1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0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9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8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7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6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5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4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2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1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0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9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8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7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6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5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4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3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2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1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0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9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8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7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6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5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4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2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1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0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9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0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9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8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4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44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43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42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41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40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9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8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7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6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5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4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3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2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1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0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29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28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27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26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25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24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23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22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21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20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9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8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7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6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5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4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3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2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1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0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9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8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7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6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4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3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2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254635</xdr:colOff>
      <xdr:row>2</xdr:row>
      <xdr:rowOff>175894</xdr:rowOff>
    </xdr:from>
    <xdr:to>
      <xdr:col>7</xdr:col>
      <xdr:colOff>571500</xdr:colOff>
      <xdr:row>26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152400</xdr:rowOff>
    </xdr:from>
    <xdr:to>
      <xdr:col>8</xdr:col>
      <xdr:colOff>685800</xdr:colOff>
      <xdr:row>20</xdr:row>
      <xdr:rowOff>28575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6AA4E1B-5805-4AB7-9620-CCFD80CE8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6654" t="21356" r="51939" b="53213"/>
        <a:stretch/>
      </xdr:blipFill>
      <xdr:spPr>
        <a:xfrm>
          <a:off x="142875" y="152400"/>
          <a:ext cx="6257925" cy="36861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uny11/HI/projects/current/hattrick/2-Ac@demiaSit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ENDARIO"/>
      <sheetName val="Jugadores"/>
      <sheetName val="Promocionados"/>
      <sheetName val="%entreno"/>
      <sheetName val="Recomendaciones"/>
      <sheetName val="Denominaciones"/>
      <sheetName val="NivelInicial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RTA Isaac" refreshedDate="44082.748898726852" createdVersion="4" refreshedVersion="6" minRefreshableVersion="3" recordCount="226" xr:uid="{00000000-000A-0000-FFFF-FFFF01000000}">
  <cacheSource type="worksheet">
    <worksheetSource ref="A1:H1048576" sheet="EstudioConversion"/>
  </cacheSource>
  <cacheFields count="8">
    <cacheField name="Fecha" numFmtId="0">
      <sharedItems containsNonDate="0" containsDate="1" containsString="0" containsBlank="1" minDate="2019-03-13T00:00:00" maxDate="2020-07-24T00:00:00"/>
    </cacheField>
    <cacheField name="Local" numFmtId="0">
      <sharedItems containsBlank="1"/>
    </cacheField>
    <cacheField name="Visitante" numFmtId="0">
      <sharedItems containsBlank="1"/>
    </cacheField>
    <cacheField name="NivelTactica" numFmtId="0">
      <sharedItems containsString="0" containsBlank="1" containsNumber="1" containsInteger="1" minValue="13" maxValue="24" count="13">
        <n v="14"/>
        <n v="15"/>
        <n v="16"/>
        <n v="17"/>
        <n v="18"/>
        <n v="19"/>
        <n v="20"/>
        <n v="21"/>
        <n v="23"/>
        <n v="22"/>
        <n v="24"/>
        <m/>
        <n v="13" u="1"/>
      </sharedItems>
    </cacheField>
    <cacheField name="NivelMedioVader" numFmtId="0">
      <sharedItems containsString="0" containsBlank="1" containsNumber="1" minValue="10.545454545454545" maxValue="13.181818181818182"/>
    </cacheField>
    <cacheField name="OcasionesFalladas" numFmtId="0">
      <sharedItems containsString="0" containsBlank="1" containsNumber="1" containsInteger="1" minValue="3" maxValue="12"/>
    </cacheField>
    <cacheField name="CAs" numFmtId="0">
      <sharedItems containsString="0" containsBlank="1" containsNumber="1" containsInteger="1" minValue="1" maxValue="7"/>
    </cacheField>
    <cacheField name="%_Conversión" numFmtId="0">
      <sharedItems containsString="0" containsBlank="1" containsNumber="1" minValue="0.14285714285714285" maxValue="0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6">
  <r>
    <d v="2019-07-24T00:00:00"/>
    <s v="V@der SC"/>
    <s v="Fernando de Rojas"/>
    <x v="0"/>
    <n v="11.545454545454545"/>
    <n v="7"/>
    <n v="2"/>
    <n v="0.2857142857142857"/>
  </r>
  <r>
    <d v="2019-06-01T00:00:00"/>
    <s v="Prodigy Sucany"/>
    <s v="V@der SC"/>
    <x v="1"/>
    <n v="11.727272727272727"/>
    <n v="9"/>
    <n v="2"/>
    <n v="0.22222222222222221"/>
  </r>
  <r>
    <d v="2019-08-07T00:00:00"/>
    <s v="white widow"/>
    <s v="V@der SC"/>
    <x v="1"/>
    <n v="10.545454545454545"/>
    <n v="9"/>
    <n v="4"/>
    <n v="0.44444444444444442"/>
  </r>
  <r>
    <d v="2019-08-14T00:00:00"/>
    <s v="mehmet"/>
    <s v="V@der SC"/>
    <x v="1"/>
    <n v="10.818181818181818"/>
    <n v="6"/>
    <n v="2"/>
    <n v="0.33333333333333331"/>
  </r>
  <r>
    <d v="2019-08-03T00:00:00"/>
    <s v="V@der SC"/>
    <s v="Splug Team"/>
    <x v="2"/>
    <n v="11.818181818181818"/>
    <n v="4"/>
    <n v="1"/>
    <n v="0.25"/>
  </r>
  <r>
    <d v="2019-07-31T00:00:00"/>
    <s v="Los amiguitos de Don Pimpon"/>
    <s v="V@der SC"/>
    <x v="2"/>
    <n v="11"/>
    <n v="7"/>
    <n v="3"/>
    <n v="0.42857142857142855"/>
  </r>
  <r>
    <d v="2019-06-26T00:00:00"/>
    <s v="V@der SC"/>
    <s v="John Rebus F.c"/>
    <x v="2"/>
    <n v="12.181818181818182"/>
    <n v="9"/>
    <n v="3"/>
    <n v="0.33333333333333331"/>
  </r>
  <r>
    <d v="2019-06-25T00:00:00"/>
    <s v="VINATIKA FC 2"/>
    <s v="V@der SC"/>
    <x v="2"/>
    <n v="12.181818181818182"/>
    <n v="6"/>
    <n v="2"/>
    <n v="0.33333333333333331"/>
  </r>
  <r>
    <d v="2019-06-25T00:00:00"/>
    <s v="V@der SC"/>
    <s v="Basil444"/>
    <x v="2"/>
    <n v="12.181818181818182"/>
    <n v="4"/>
    <n v="2"/>
    <n v="0.5"/>
  </r>
  <r>
    <d v="2019-06-24T00:00:00"/>
    <s v="konary"/>
    <s v="V@der SC"/>
    <x v="2"/>
    <n v="12.181818181818182"/>
    <n v="3"/>
    <n v="2"/>
    <n v="0.66666666666666663"/>
  </r>
  <r>
    <d v="2019-06-20T00:00:00"/>
    <s v="Ladány City"/>
    <s v="V@der SC"/>
    <x v="2"/>
    <n v="12.181818181818182"/>
    <n v="9"/>
    <n v="2"/>
    <n v="0.22222222222222221"/>
  </r>
  <r>
    <d v="2019-06-19T00:00:00"/>
    <s v="V@der SC"/>
    <s v="Nie Zjednoczeni Kaczory"/>
    <x v="2"/>
    <n v="12.181818181818182"/>
    <n v="7"/>
    <n v="2"/>
    <n v="0.2857142857142857"/>
  </r>
  <r>
    <d v="2019-06-19T00:00:00"/>
    <s v="V@der SC"/>
    <s v="Cuchufritos F.C."/>
    <x v="2"/>
    <n v="12.181818181818182"/>
    <n v="5"/>
    <n v="2"/>
    <n v="0.4"/>
  </r>
  <r>
    <d v="2019-06-18T00:00:00"/>
    <s v="Ju.far72"/>
    <s v="V@der SC"/>
    <x v="2"/>
    <n v="12.181818181818182"/>
    <n v="9"/>
    <n v="3"/>
    <n v="0.33333333333333331"/>
  </r>
  <r>
    <d v="2019-06-18T00:00:00"/>
    <s v="Mks Pilica PEDEZET"/>
    <s v="V@der SC"/>
    <x v="2"/>
    <n v="12.181818181818182"/>
    <n v="6"/>
    <n v="2"/>
    <n v="0.33333333333333331"/>
  </r>
  <r>
    <d v="2019-06-17T00:00:00"/>
    <s v="V@der SC"/>
    <s v="FC Bayern München 16"/>
    <x v="2"/>
    <n v="12.181818181818182"/>
    <n v="10"/>
    <n v="3"/>
    <n v="0.3"/>
  </r>
  <r>
    <d v="2019-06-17T00:00:00"/>
    <s v="V@der SC"/>
    <s v="Grasshopper Club Nidwalden"/>
    <x v="2"/>
    <n v="12.181818181818182"/>
    <n v="7"/>
    <n v="3"/>
    <n v="0.42857142857142855"/>
  </r>
  <r>
    <d v="2019-06-08T00:00:00"/>
    <s v="CD Castalia"/>
    <s v="V@der SC"/>
    <x v="2"/>
    <n v="12.181818181818182"/>
    <n v="4"/>
    <n v="2"/>
    <n v="0.5"/>
  </r>
  <r>
    <d v="2019-06-01T00:00:00"/>
    <s v="Cogollos F.C"/>
    <s v="V@der SC"/>
    <x v="2"/>
    <n v="12"/>
    <n v="5"/>
    <n v="3"/>
    <n v="0.6"/>
  </r>
  <r>
    <d v="2019-05-30T00:00:00"/>
    <s v="V@der SC"/>
    <s v="Ulls de Gat Mesquer"/>
    <x v="2"/>
    <n v="12.363636363636363"/>
    <n v="9"/>
    <n v="4"/>
    <n v="0.44444444444444442"/>
  </r>
  <r>
    <d v="2019-05-25T00:00:00"/>
    <s v="V@der SC"/>
    <s v="iRatlle"/>
    <x v="2"/>
    <n v="12.090909090909092"/>
    <n v="5"/>
    <n v="3"/>
    <n v="0.6"/>
  </r>
  <r>
    <d v="2019-05-17T00:00:00"/>
    <s v="Hakom"/>
    <s v="V@der SC"/>
    <x v="2"/>
    <n v="12.090909090909092"/>
    <n v="6"/>
    <n v="3"/>
    <n v="0.5"/>
  </r>
  <r>
    <d v="2019-03-26T00:00:00"/>
    <s v="Santa Barbosa Aludosa"/>
    <s v="V@der SC"/>
    <x v="2"/>
    <n v="11.727272727272727"/>
    <n v="4"/>
    <n v="2"/>
    <n v="0.5"/>
  </r>
  <r>
    <d v="2019-06-28T00:00:00"/>
    <s v="V@der SC"/>
    <s v="Fc De Rositas"/>
    <x v="3"/>
    <n v="11.818181818181818"/>
    <n v="10"/>
    <n v="4"/>
    <n v="0.4"/>
  </r>
  <r>
    <d v="2019-06-27T00:00:00"/>
    <s v="Insulae Atlantis"/>
    <s v="V@der SC"/>
    <x v="3"/>
    <n v="12.181818181818182"/>
    <n v="4"/>
    <n v="2"/>
    <n v="0.5"/>
  </r>
  <r>
    <d v="2019-06-27T00:00:00"/>
    <s v="V@der SC"/>
    <s v="Bar Karakas C.F."/>
    <x v="3"/>
    <n v="12.181818181818182"/>
    <n v="6"/>
    <n v="1"/>
    <n v="0.16666666666666666"/>
  </r>
  <r>
    <d v="2019-06-27T00:00:00"/>
    <s v="Dzsoni Valkur"/>
    <s v="V@der SC"/>
    <x v="3"/>
    <n v="12.181818181818182"/>
    <n v="7"/>
    <n v="3"/>
    <n v="0.42857142857142855"/>
  </r>
  <r>
    <d v="2019-06-26T00:00:00"/>
    <s v="Wisla Skawina"/>
    <s v="V@der SC"/>
    <x v="3"/>
    <n v="12.181818181818182"/>
    <n v="7"/>
    <n v="1"/>
    <n v="0.14285714285714285"/>
  </r>
  <r>
    <d v="2019-06-25T00:00:00"/>
    <s v="V@der SC"/>
    <s v="Ornitorrincos Purpura"/>
    <x v="3"/>
    <n v="12.181818181818182"/>
    <n v="8"/>
    <n v="3"/>
    <n v="0.375"/>
  </r>
  <r>
    <d v="2019-06-20T00:00:00"/>
    <s v="USC Olaf Football"/>
    <s v="V@der SC"/>
    <x v="3"/>
    <n v="12.181818181818182"/>
    <n v="8"/>
    <n v="3"/>
    <n v="0.375"/>
  </r>
  <r>
    <d v="2019-05-18T00:00:00"/>
    <s v="Refucilo CF"/>
    <s v="V@der SC"/>
    <x v="3"/>
    <n v="12.090909090909092"/>
    <n v="9"/>
    <n v="5"/>
    <n v="0.55555555555555558"/>
  </r>
  <r>
    <d v="2019-05-11T00:00:00"/>
    <s v="V@der SC"/>
    <s v="Splug Team"/>
    <x v="3"/>
    <n v="12.090909090909092"/>
    <n v="6"/>
    <n v="1"/>
    <n v="0.16666666666666666"/>
  </r>
  <r>
    <d v="2019-05-04T00:00:00"/>
    <s v="Kersky"/>
    <s v="V@der SC"/>
    <x v="3"/>
    <n v="11.909090909090908"/>
    <n v="8"/>
    <n v="4"/>
    <n v="0.5"/>
  </r>
  <r>
    <d v="2019-03-23T00:00:00"/>
    <s v="V@der SC"/>
    <s v="CD Castalia"/>
    <x v="3"/>
    <n v="11.909090909090908"/>
    <n v="5"/>
    <n v="1"/>
    <n v="0.2"/>
  </r>
  <r>
    <d v="2019-03-16T00:00:00"/>
    <s v="Menkoko C.F."/>
    <s v="V@der SC"/>
    <x v="3"/>
    <n v="11.727272727272727"/>
    <n v="7"/>
    <n v="3"/>
    <n v="0.42857142857142855"/>
  </r>
  <r>
    <d v="2019-03-13T00:00:00"/>
    <s v="Tuviejahuelemal"/>
    <s v="V@der SC"/>
    <x v="3"/>
    <n v="11.727272727272727"/>
    <n v="7"/>
    <n v="4"/>
    <n v="0.5714285714285714"/>
  </r>
  <r>
    <d v="2019-08-27T00:00:00"/>
    <s v="V@der SC"/>
    <s v="CSD Avengers"/>
    <x v="4"/>
    <n v="12.545454545454545"/>
    <n v="4"/>
    <n v="1"/>
    <n v="0.25"/>
  </r>
  <r>
    <d v="2019-07-10T00:00:00"/>
    <s v="Lobos del Viento"/>
    <s v="V@der SC"/>
    <x v="4"/>
    <n v="12.181818181818182"/>
    <n v="6"/>
    <n v="2"/>
    <n v="0.33333333333333331"/>
  </r>
  <r>
    <d v="2019-07-10T00:00:00"/>
    <s v="V@der SC"/>
    <s v="US Women National Tema"/>
    <x v="4"/>
    <n v="12"/>
    <n v="3"/>
    <n v="1"/>
    <n v="0.33333333333333331"/>
  </r>
  <r>
    <d v="2019-07-09T00:00:00"/>
    <s v="V@der SC"/>
    <s v="S.H.M.Piast Gliwice"/>
    <x v="4"/>
    <n v="11.909090909090908"/>
    <n v="5"/>
    <n v="1"/>
    <n v="0.2"/>
  </r>
  <r>
    <d v="2019-04-27T00:00:00"/>
    <s v="V@der SC"/>
    <s v="Kersky"/>
    <x v="4"/>
    <n v="11.909090909090908"/>
    <n v="7"/>
    <n v="2"/>
    <n v="0.2857142857142857"/>
  </r>
  <r>
    <d v="2019-04-20T00:00:00"/>
    <s v="Splug Team"/>
    <s v="V@der SC"/>
    <x v="4"/>
    <n v="11.909090909090908"/>
    <n v="9"/>
    <n v="3"/>
    <n v="0.33333333333333331"/>
  </r>
  <r>
    <d v="2019-04-13T00:00:00"/>
    <s v="V@der SC"/>
    <s v="Refucilo CF"/>
    <x v="4"/>
    <n v="11.909090909090908"/>
    <n v="8"/>
    <n v="3"/>
    <n v="0.375"/>
  </r>
  <r>
    <d v="2019-04-06T00:00:00"/>
    <s v="iRatlle"/>
    <s v="V@der SC"/>
    <x v="4"/>
    <n v="11.909090909090908"/>
    <n v="8"/>
    <n v="3"/>
    <n v="0.375"/>
  </r>
  <r>
    <d v="2019-03-30T00:00:00"/>
    <s v="V@der SC"/>
    <s v="Cogollos F.C"/>
    <x v="4"/>
    <n v="11.909090909090908"/>
    <n v="6"/>
    <n v="1"/>
    <n v="0.16666666666666666"/>
  </r>
  <r>
    <d v="2019-08-10T00:00:00"/>
    <s v="TOERS TEAM"/>
    <s v="V@der SC"/>
    <x v="4"/>
    <n v="12.545454545454545"/>
    <n v="5"/>
    <n v="1"/>
    <n v="0.2"/>
  </r>
  <r>
    <d v="2019-08-24T00:00:00"/>
    <s v="V@der SC"/>
    <s v="Proxibecas"/>
    <x v="4"/>
    <n v="12.818181818181818"/>
    <n v="8"/>
    <n v="3"/>
    <n v="0.375"/>
  </r>
  <r>
    <d v="2019-07-20T00:00:00"/>
    <s v="CD Castalia"/>
    <s v="V@der SC"/>
    <x v="5"/>
    <n v="11.454545454545455"/>
    <n v="5"/>
    <n v="2"/>
    <n v="0.4"/>
  </r>
  <r>
    <d v="2019-07-11T00:00:00"/>
    <s v="V@der SC"/>
    <s v="I treni di Tozeur"/>
    <x v="5"/>
    <n v="11.909090909090908"/>
    <n v="12"/>
    <n v="5"/>
    <n v="0.41666666666666669"/>
  </r>
  <r>
    <d v="2019-07-06T00:00:00"/>
    <s v="V@der SC"/>
    <s v="The Pyramid Mystery"/>
    <x v="5"/>
    <n v="11.909090909090908"/>
    <n v="9"/>
    <n v="5"/>
    <n v="0.55555555555555558"/>
  </r>
  <r>
    <d v="2019-07-31T00:00:00"/>
    <s v="V@der SC"/>
    <s v="Wing Men"/>
    <x v="6"/>
    <n v="12.272727272727273"/>
    <n v="6"/>
    <n v="2"/>
    <n v="0.33333333333333331"/>
  </r>
  <r>
    <d v="2019-07-26T00:00:00"/>
    <s v="FC BvB"/>
    <s v="V@der SC"/>
    <x v="6"/>
    <n v="12.272727272727273"/>
    <n v="5"/>
    <n v="3"/>
    <n v="0.6"/>
  </r>
  <r>
    <d v="2019-07-17T00:00:00"/>
    <s v="V@der SC"/>
    <s v="Mendibil"/>
    <x v="6"/>
    <n v="12.409090909090908"/>
    <n v="7"/>
    <n v="4"/>
    <n v="0.5714285714285714"/>
  </r>
  <r>
    <d v="2019-08-31T00:00:00"/>
    <s v="V@der SC"/>
    <s v="TOWERS TEAM"/>
    <x v="3"/>
    <n v="12.545454545454545"/>
    <n v="4"/>
    <n v="2"/>
    <n v="0.5"/>
  </r>
  <r>
    <d v="2019-09-03T00:00:00"/>
    <s v="Romdi"/>
    <s v="V@der SC"/>
    <x v="2"/>
    <n v="12.727272727272727"/>
    <n v="7"/>
    <n v="4"/>
    <n v="0.5714285714285714"/>
  </r>
  <r>
    <d v="2019-09-05T00:00:00"/>
    <s v="V@der SC"/>
    <s v="Babbu team"/>
    <x v="5"/>
    <n v="13.090909090909092"/>
    <n v="10"/>
    <n v="3"/>
    <n v="0.3"/>
  </r>
  <r>
    <d v="2019-09-05T00:00:00"/>
    <s v="V@der SC"/>
    <s v="Club de Catalunya"/>
    <x v="4"/>
    <n v="13.090909090909092"/>
    <n v="4"/>
    <n v="2"/>
    <n v="0.5"/>
  </r>
  <r>
    <d v="2019-09-07T00:00:00"/>
    <s v="Splug Team"/>
    <s v="V@der SC"/>
    <x v="5"/>
    <n v="12.818181818181818"/>
    <n v="7"/>
    <n v="4"/>
    <n v="0.5714285714285714"/>
  </r>
  <r>
    <d v="2019-09-09T00:00:00"/>
    <s v="V@der SC"/>
    <s v="Atletico ius"/>
    <x v="4"/>
    <n v="11.909090909090908"/>
    <n v="6"/>
    <n v="3"/>
    <n v="0.5"/>
  </r>
  <r>
    <d v="2019-09-11T00:00:00"/>
    <s v="Funkickers zwarte Schapen"/>
    <s v="V@der SC"/>
    <x v="4"/>
    <n v="13.090909090909092"/>
    <n v="4"/>
    <n v="1"/>
    <n v="0.25"/>
  </r>
  <r>
    <d v="2019-09-14T00:00:00"/>
    <s v="Menkoko C.F."/>
    <s v="V@der SC"/>
    <x v="4"/>
    <n v="12.090909090909092"/>
    <n v="3"/>
    <n v="1"/>
    <n v="0.33333333333333331"/>
  </r>
  <r>
    <d v="2019-09-16T00:00:00"/>
    <s v="V@der SC"/>
    <s v="Bandurrias del Sur"/>
    <x v="5"/>
    <n v="12.818181818181818"/>
    <n v="6"/>
    <n v="2"/>
    <n v="0.33333333333333331"/>
  </r>
  <r>
    <d v="2019-09-23T00:00:00"/>
    <s v="von der veck"/>
    <s v="V@der SC"/>
    <x v="4"/>
    <n v="12.818181818181818"/>
    <n v="9"/>
    <n v="4"/>
    <n v="0.44444444444444442"/>
  </r>
  <r>
    <d v="2019-09-28T00:00:00"/>
    <s v="P.C.N"/>
    <s v="V@der SC"/>
    <x v="5"/>
    <n v="12.727272727272727"/>
    <n v="4"/>
    <n v="2"/>
    <n v="0.5"/>
  </r>
  <r>
    <d v="2019-09-30T00:00:00"/>
    <s v="V@der SC"/>
    <s v="Nacidos de la Bruma"/>
    <x v="5"/>
    <n v="13.090909090909092"/>
    <n v="9"/>
    <n v="5"/>
    <n v="0.55555555555555558"/>
  </r>
  <r>
    <d v="2019-10-01T00:00:00"/>
    <s v="F.c. de Rositas"/>
    <s v="V@der SC"/>
    <x v="4"/>
    <n v="13.181818181818182"/>
    <n v="7"/>
    <n v="3"/>
    <n v="0.42857142857142855"/>
  </r>
  <r>
    <d v="2019-10-04T00:00:00"/>
    <s v="V@der SC"/>
    <s v="La Pobla FC"/>
    <x v="5"/>
    <n v="13.181818181818182"/>
    <n v="6"/>
    <n v="3"/>
    <n v="0.5"/>
  </r>
  <r>
    <d v="2019-10-05T00:00:00"/>
    <s v="F.c. de Rositas"/>
    <s v="V@der SC"/>
    <x v="4"/>
    <n v="13.181818181818182"/>
    <n v="10"/>
    <n v="3"/>
    <n v="0.3"/>
  </r>
  <r>
    <d v="2019-10-07T00:00:00"/>
    <s v="Dinamo skiejef"/>
    <s v="V@der SC"/>
    <x v="5"/>
    <n v="13.181818181818182"/>
    <n v="7"/>
    <n v="4"/>
    <n v="0.5714285714285714"/>
  </r>
  <r>
    <d v="2019-10-07T00:00:00"/>
    <s v="Athletic MSS"/>
    <s v="V@der SC"/>
    <x v="5"/>
    <n v="13.181818181818182"/>
    <n v="7"/>
    <n v="2"/>
    <n v="0.2857142857142857"/>
  </r>
  <r>
    <d v="2019-10-07T00:00:00"/>
    <s v="V@der SC"/>
    <s v="Demos returns"/>
    <x v="5"/>
    <n v="13.181818181818182"/>
    <n v="12"/>
    <n v="3"/>
    <n v="0.25"/>
  </r>
  <r>
    <d v="2019-10-07T00:00:00"/>
    <s v="V@der SC"/>
    <s v="P.E.C. Zwolle"/>
    <x v="5"/>
    <n v="13.181818181818182"/>
    <n v="9"/>
    <n v="5"/>
    <n v="0.55555555555555558"/>
  </r>
  <r>
    <d v="2019-10-08T00:00:00"/>
    <s v="Luso Futebol do Dafundo"/>
    <s v="V@der SC"/>
    <x v="4"/>
    <n v="13.181818181818182"/>
    <n v="9"/>
    <n v="3"/>
    <n v="0.33333333333333331"/>
  </r>
  <r>
    <d v="2019-10-08T00:00:00"/>
    <s v="FC FLEW"/>
    <s v="V@der SC"/>
    <x v="5"/>
    <n v="13.181818181818182"/>
    <n v="10"/>
    <n v="5"/>
    <n v="0.5"/>
  </r>
  <r>
    <d v="2019-10-09T00:00:00"/>
    <s v="CF Crystynho 07"/>
    <s v="V@der SC"/>
    <x v="5"/>
    <n v="12.909090909090908"/>
    <n v="10"/>
    <n v="2"/>
    <n v="0.2"/>
  </r>
  <r>
    <d v="2019-10-10T00:00:00"/>
    <s v="V@der SC"/>
    <s v="Start Rudnik"/>
    <x v="4"/>
    <n v="12.909090909090908"/>
    <n v="8"/>
    <n v="3"/>
    <n v="0.375"/>
  </r>
  <r>
    <d v="2019-10-10T00:00:00"/>
    <s v="V@der SC"/>
    <s v="Vicers PS"/>
    <x v="5"/>
    <n v="12.909090909090908"/>
    <n v="7"/>
    <n v="3"/>
    <n v="0.42857142857142855"/>
  </r>
  <r>
    <d v="2019-10-10T00:00:00"/>
    <s v="V@der SC"/>
    <s v="Organización"/>
    <x v="5"/>
    <n v="12.909090909090908"/>
    <n v="8"/>
    <n v="3"/>
    <n v="0.375"/>
  </r>
  <r>
    <d v="2019-10-15T00:00:00"/>
    <s v="Legazpi de Maputo"/>
    <s v="V@der SC"/>
    <x v="4"/>
    <n v="12.909090909090908"/>
    <n v="8"/>
    <n v="3"/>
    <n v="0.375"/>
  </r>
  <r>
    <d v="2019-10-15T00:00:00"/>
    <s v="CMM Canoa Polo Triste"/>
    <s v="V@der SC"/>
    <x v="5"/>
    <n v="12.909090909090908"/>
    <n v="6"/>
    <n v="1"/>
    <n v="0.16666666666666666"/>
  </r>
  <r>
    <d v="2019-10-15T00:00:00"/>
    <s v="Gälka Warriors"/>
    <s v="V@der SC"/>
    <x v="5"/>
    <n v="12.909090909090908"/>
    <n v="9"/>
    <n v="4"/>
    <n v="0.44444444444444442"/>
  </r>
  <r>
    <d v="2019-10-16T00:00:00"/>
    <s v="V@der SC"/>
    <s v="Jyderups Jubelasnor"/>
    <x v="5"/>
    <n v="12.909090909090908"/>
    <n v="9"/>
    <n v="4"/>
    <n v="0.44444444444444442"/>
  </r>
  <r>
    <d v="2019-10-16T00:00:00"/>
    <s v="Die Nashorner Logans"/>
    <s v="V@der SC"/>
    <x v="5"/>
    <n v="12.909090909090908"/>
    <n v="7"/>
    <n v="3"/>
    <n v="0.42857142857142855"/>
  </r>
  <r>
    <d v="2019-10-16T00:00:00"/>
    <s v="V@der SC"/>
    <s v="CabaretVoltaire"/>
    <x v="5"/>
    <n v="12.909090909090908"/>
    <n v="6"/>
    <n v="2"/>
    <n v="0.33333333333333331"/>
  </r>
  <r>
    <d v="2019-10-17T00:00:00"/>
    <s v="V@der SC"/>
    <s v="UF_United"/>
    <x v="5"/>
    <n v="12.909090909090908"/>
    <n v="8"/>
    <n v="4"/>
    <n v="0.5"/>
  </r>
  <r>
    <d v="2019-10-26T00:00:00"/>
    <s v="V@der SC"/>
    <s v="Profesioteam."/>
    <x v="5"/>
    <m/>
    <n v="6"/>
    <n v="3"/>
    <n v="0.5"/>
  </r>
  <r>
    <d v="2019-11-02T00:00:00"/>
    <s v="Los Recios de Gonzus"/>
    <s v="V@der SC"/>
    <x v="5"/>
    <m/>
    <n v="8"/>
    <n v="4"/>
    <n v="0.5"/>
  </r>
  <r>
    <d v="2019-11-04T00:00:00"/>
    <s v="Thea F.C."/>
    <s v="V@der SC"/>
    <x v="6"/>
    <m/>
    <n v="6"/>
    <n v="3"/>
    <n v="0.5"/>
  </r>
  <r>
    <d v="2019-11-06T00:00:00"/>
    <s v="Papuchis CF"/>
    <s v="V@der SC"/>
    <x v="6"/>
    <m/>
    <n v="9"/>
    <n v="2"/>
    <n v="0.22222222222222221"/>
  </r>
  <r>
    <d v="2019-11-12T00:00:00"/>
    <s v="White Shark Team"/>
    <s v="V@der SC"/>
    <x v="6"/>
    <m/>
    <n v="8"/>
    <n v="3"/>
    <n v="0.375"/>
  </r>
  <r>
    <d v="2019-11-13T00:00:00"/>
    <s v="V@der SC"/>
    <s v="27_juni_2000"/>
    <x v="4"/>
    <m/>
    <n v="6"/>
    <n v="3"/>
    <n v="0.5"/>
  </r>
  <r>
    <d v="2019-11-16T00:00:00"/>
    <s v="FC Los Urrutias"/>
    <s v="V@der SC"/>
    <x v="7"/>
    <m/>
    <n v="9"/>
    <n v="4"/>
    <n v="0.44444444444444442"/>
  </r>
  <r>
    <d v="2019-11-18T00:00:00"/>
    <s v="Club de Catalunya"/>
    <s v="V@der SC"/>
    <x v="5"/>
    <m/>
    <n v="10"/>
    <n v="5"/>
    <n v="0.5"/>
  </r>
  <r>
    <d v="2019-11-20T00:00:00"/>
    <s v="V@der SC"/>
    <s v="tikitaca"/>
    <x v="7"/>
    <m/>
    <n v="7"/>
    <n v="2"/>
    <n v="0.2857142857142857"/>
  </r>
  <r>
    <d v="2019-11-23T00:00:00"/>
    <s v="V@der SC"/>
    <s v="Baden5400"/>
    <x v="7"/>
    <m/>
    <n v="7"/>
    <n v="2"/>
    <n v="0.2857142857142857"/>
  </r>
  <r>
    <d v="2019-11-25T00:00:00"/>
    <s v="V@der SC"/>
    <s v="Racmio F.C."/>
    <x v="5"/>
    <m/>
    <n v="6"/>
    <n v="2"/>
    <n v="0.33333333333333331"/>
  </r>
  <r>
    <d v="2019-11-27T00:00:00"/>
    <s v="V@der SC"/>
    <s v="Polgas Coin"/>
    <x v="5"/>
    <m/>
    <n v="6"/>
    <n v="3"/>
    <n v="0.5"/>
  </r>
  <r>
    <d v="2019-11-27T00:00:00"/>
    <s v="White Shark Team"/>
    <s v="V@der SC"/>
    <x v="5"/>
    <m/>
    <n v="7"/>
    <n v="2"/>
    <n v="0.2857142857142857"/>
  </r>
  <r>
    <d v="2019-11-30T00:00:00"/>
    <s v="CuatroK"/>
    <s v="V@der SC"/>
    <x v="5"/>
    <m/>
    <n v="8"/>
    <n v="3"/>
    <n v="0.375"/>
  </r>
  <r>
    <d v="2019-12-01T00:00:00"/>
    <s v="C.I.D. Tigers"/>
    <s v="V@der SC"/>
    <x v="5"/>
    <m/>
    <n v="6"/>
    <n v="3"/>
    <n v="0.5"/>
  </r>
  <r>
    <d v="2019-12-04T00:00:00"/>
    <s v="ventura c.f."/>
    <s v="V@der SC"/>
    <x v="6"/>
    <m/>
    <n v="7"/>
    <n v="3"/>
    <n v="0.42857142857142855"/>
  </r>
  <r>
    <d v="2019-12-05T00:00:00"/>
    <s v="LECH Poznan"/>
    <s v="V@der SC"/>
    <x v="6"/>
    <m/>
    <n v="8"/>
    <n v="3"/>
    <n v="0.375"/>
  </r>
  <r>
    <d v="2019-12-07T00:00:00"/>
    <s v="V@der SC"/>
    <s v="FC Kalambrazo"/>
    <x v="5"/>
    <m/>
    <n v="5"/>
    <n v="1"/>
    <n v="0.2"/>
  </r>
  <r>
    <d v="2019-12-11T00:00:00"/>
    <s v="V@der SC"/>
    <s v="Yarca Athletic"/>
    <x v="6"/>
    <m/>
    <n v="7"/>
    <n v="2"/>
    <n v="0.2857142857142857"/>
  </r>
  <r>
    <d v="2019-12-21T00:00:00"/>
    <s v="V@der SC"/>
    <s v="CuatroK"/>
    <x v="6"/>
    <m/>
    <n v="9"/>
    <n v="5"/>
    <n v="0.55555555555555558"/>
  </r>
  <r>
    <d v="2019-12-28T00:00:00"/>
    <s v="Baden5400"/>
    <s v="V@der SC"/>
    <x v="6"/>
    <m/>
    <n v="9"/>
    <n v="3"/>
    <n v="0.33333333333333331"/>
  </r>
  <r>
    <d v="2020-01-07T00:00:00"/>
    <s v="Fc De Rositas"/>
    <s v="V@der SC"/>
    <x v="7"/>
    <m/>
    <n v="9"/>
    <n v="4"/>
    <n v="0.44444444444444442"/>
  </r>
  <r>
    <d v="2020-01-11T00:00:00"/>
    <s v="HotNumbers"/>
    <s v="V@der SC"/>
    <x v="7"/>
    <m/>
    <n v="8"/>
    <n v="3"/>
    <n v="0.375"/>
  </r>
  <r>
    <d v="2020-01-11T00:00:00"/>
    <s v="shalke_temeto"/>
    <s v="V@der SC"/>
    <x v="7"/>
    <m/>
    <n v="9"/>
    <n v="4"/>
    <n v="0.44444444444444442"/>
  </r>
  <r>
    <d v="2020-01-18T00:00:00"/>
    <s v="V@der SC"/>
    <s v="Los Recios de Gonzus"/>
    <x v="6"/>
    <m/>
    <n v="7"/>
    <n v="2"/>
    <n v="0.2857142857142857"/>
  </r>
  <r>
    <d v="2020-01-24T00:00:00"/>
    <s v="Buchs FC"/>
    <s v="V@der SC"/>
    <x v="7"/>
    <m/>
    <n v="6"/>
    <n v="2"/>
    <n v="0.33333333333333331"/>
  </r>
  <r>
    <d v="2020-01-25T00:00:00"/>
    <s v="Profesioteam."/>
    <s v="V@der SC"/>
    <x v="6"/>
    <m/>
    <n v="7"/>
    <n v="3"/>
    <n v="0.42857142857142855"/>
  </r>
  <r>
    <d v="2020-02-01T00:00:00"/>
    <s v="Los de castellon"/>
    <s v="V@der SC"/>
    <x v="7"/>
    <m/>
    <n v="11"/>
    <n v="4"/>
    <n v="0.36363636363636365"/>
  </r>
  <r>
    <d v="2020-02-19T00:00:00"/>
    <s v="Cordura Bajo Cero"/>
    <s v="V@der SC"/>
    <x v="7"/>
    <m/>
    <n v="10"/>
    <n v="6"/>
    <n v="0.6"/>
  </r>
  <r>
    <d v="2020-02-22T00:00:00"/>
    <s v="Enxebre FC"/>
    <s v="V@der SC"/>
    <x v="8"/>
    <m/>
    <n v="10"/>
    <n v="4"/>
    <n v="0.4"/>
  </r>
  <r>
    <d v="2020-02-26T00:00:00"/>
    <s v="Lluisos de Gràcia"/>
    <s v="V@der SC"/>
    <x v="9"/>
    <m/>
    <n v="6"/>
    <n v="2"/>
    <n v="0.33333333333333331"/>
  </r>
  <r>
    <d v="2020-02-29T00:00:00"/>
    <s v="Lirio de Oña"/>
    <s v="V@der SC"/>
    <x v="8"/>
    <m/>
    <n v="8"/>
    <n v="2"/>
    <n v="0.25"/>
  </r>
  <r>
    <d v="2020-03-07T00:00:00"/>
    <s v="V@der SC"/>
    <s v="Menorca Horses"/>
    <x v="7"/>
    <m/>
    <n v="6"/>
    <n v="4"/>
    <n v="0.66666666666666663"/>
  </r>
  <r>
    <d v="2020-03-11T00:00:00"/>
    <s v="RRDG F.C."/>
    <s v="V@der SC"/>
    <x v="6"/>
    <m/>
    <n v="9"/>
    <n v="4"/>
    <n v="0.44444444444444442"/>
  </r>
  <r>
    <d v="2020-03-14T00:00:00"/>
    <s v="AKELARRE U.D."/>
    <s v="V@der SC"/>
    <x v="7"/>
    <m/>
    <n v="9"/>
    <n v="5"/>
    <n v="0.55555555555555558"/>
  </r>
  <r>
    <d v="2020-03-18T00:00:00"/>
    <s v="V@der SC"/>
    <s v="Granota UE"/>
    <x v="7"/>
    <m/>
    <n v="8"/>
    <n v="2"/>
    <n v="0.25"/>
  </r>
  <r>
    <d v="2020-03-20T00:00:00"/>
    <s v="V@der SC"/>
    <s v="GrimReapers"/>
    <x v="7"/>
    <m/>
    <n v="10"/>
    <n v="7"/>
    <n v="0.7"/>
  </r>
  <r>
    <d v="2020-03-21T00:00:00"/>
    <s v="V@der SC"/>
    <s v="Rayo Txamberi"/>
    <x v="9"/>
    <m/>
    <n v="8"/>
    <n v="3"/>
    <n v="0.375"/>
  </r>
  <r>
    <d v="2020-03-21T00:00:00"/>
    <s v="V@der SC"/>
    <s v="Xtra's"/>
    <x v="9"/>
    <m/>
    <n v="9"/>
    <n v="3"/>
    <n v="0.33333333333333331"/>
  </r>
  <r>
    <d v="2020-03-23T00:00:00"/>
    <s v="V@der SC"/>
    <s v="REALUSIA"/>
    <x v="7"/>
    <m/>
    <n v="10"/>
    <n v="5"/>
    <n v="0.5"/>
  </r>
  <r>
    <d v="2020-03-25T00:00:00"/>
    <s v="Mañariako taldea"/>
    <s v="V@der SC"/>
    <x v="7"/>
    <m/>
    <n v="9"/>
    <n v="3"/>
    <n v="0.33333333333333331"/>
  </r>
  <r>
    <d v="2020-03-26T00:00:00"/>
    <s v="V@der SC"/>
    <s v="ronkis78 FC"/>
    <x v="7"/>
    <m/>
    <n v="10"/>
    <n v="3"/>
    <n v="0.3"/>
  </r>
  <r>
    <d v="2020-03-26T00:00:00"/>
    <s v="V@der SC"/>
    <s v="Sporting Rukkel F.C."/>
    <x v="7"/>
    <m/>
    <n v="11"/>
    <n v="4"/>
    <n v="0.36363636363636365"/>
  </r>
  <r>
    <d v="2020-03-28T00:00:00"/>
    <s v="Amics del futbol"/>
    <s v="V@der SC"/>
    <x v="9"/>
    <m/>
    <n v="8"/>
    <n v="2"/>
    <n v="0.25"/>
  </r>
  <r>
    <d v="2020-04-04T00:00:00"/>
    <s v="V@der SC"/>
    <s v="Amics del futbol"/>
    <x v="8"/>
    <m/>
    <n v="9"/>
    <n v="4"/>
    <n v="0.44444444444444442"/>
  </r>
  <r>
    <d v="2020-04-08T00:00:00"/>
    <s v="TJ Zitenice"/>
    <s v="V@der SC"/>
    <x v="8"/>
    <m/>
    <n v="6"/>
    <n v="4"/>
    <n v="0.66666666666666663"/>
  </r>
  <r>
    <d v="2020-04-11T00:00:00"/>
    <s v="Rayo Txamberi"/>
    <s v="V@der SC"/>
    <x v="8"/>
    <m/>
    <n v="8"/>
    <n v="5"/>
    <n v="0.625"/>
  </r>
  <r>
    <d v="2020-04-18T00:00:00"/>
    <s v="V@der SC"/>
    <s v="AKELARRE U.D"/>
    <x v="9"/>
    <m/>
    <n v="7"/>
    <n v="2"/>
    <n v="0.2857142857142857"/>
  </r>
  <r>
    <d v="2020-04-22T00:00:00"/>
    <s v="martina titus cinta fc"/>
    <s v="V@der SC"/>
    <x v="9"/>
    <m/>
    <n v="9"/>
    <n v="4"/>
    <n v="0.44444444444444442"/>
  </r>
  <r>
    <d v="2020-04-25T00:00:00"/>
    <s v="Menorca Horses"/>
    <s v="V@der SC"/>
    <x v="10"/>
    <m/>
    <n v="9"/>
    <n v="4"/>
    <n v="0.44444444444444442"/>
  </r>
  <r>
    <d v="2020-04-28T00:00:00"/>
    <s v="martina titus cinta fc"/>
    <s v="V@der SC"/>
    <x v="10"/>
    <m/>
    <n v="9"/>
    <n v="5"/>
    <n v="0.55555555555555558"/>
  </r>
  <r>
    <d v="2020-05-02T00:00:00"/>
    <s v="V@der SC"/>
    <s v="Lirio de Oña"/>
    <x v="8"/>
    <m/>
    <n v="8"/>
    <n v="4"/>
    <n v="0.5"/>
  </r>
  <r>
    <d v="2020-05-09T00:00:00"/>
    <s v="V@der SC"/>
    <s v="Enxebre FC"/>
    <x v="10"/>
    <m/>
    <n v="7"/>
    <n v="4"/>
    <n v="0.5714285714285714"/>
  </r>
  <r>
    <d v="2020-05-16T00:00:00"/>
    <s v="Atlético Uzumaki"/>
    <s v="V@der SC"/>
    <x v="7"/>
    <m/>
    <n v="9"/>
    <n v="4"/>
    <n v="0.44444444444444442"/>
  </r>
  <r>
    <d v="2020-05-18T00:00:00"/>
    <s v="V@der SC"/>
    <s v="Fc kickers ZH"/>
    <x v="8"/>
    <m/>
    <n v="9"/>
    <n v="4"/>
    <n v="0.44444444444444442"/>
  </r>
  <r>
    <d v="2020-05-19T00:00:00"/>
    <s v="Brattforce"/>
    <s v="V@der SC"/>
    <x v="8"/>
    <m/>
    <n v="8"/>
    <n v="5"/>
    <n v="0.625"/>
  </r>
  <r>
    <d v="2020-05-19T00:00:00"/>
    <s v="El Dorado F.C"/>
    <s v="V@der SC"/>
    <x v="7"/>
    <m/>
    <n v="9"/>
    <n v="5"/>
    <n v="0.55555555555555558"/>
  </r>
  <r>
    <d v="2020-05-20T00:00:00"/>
    <s v="V@der SC"/>
    <s v="iSoccer"/>
    <x v="8"/>
    <m/>
    <n v="9"/>
    <n v="3"/>
    <n v="0.33333333333333331"/>
  </r>
  <r>
    <d v="2020-05-20T00:00:00"/>
    <s v="TIGRII FURIOSI"/>
    <s v="V@der SC"/>
    <x v="9"/>
    <m/>
    <n v="9"/>
    <n v="2"/>
    <n v="0.22222222222222221"/>
  </r>
  <r>
    <d v="2020-05-21T00:00:00"/>
    <s v="Royal lions 2"/>
    <s v="V@der SC"/>
    <x v="8"/>
    <m/>
    <n v="8"/>
    <n v="5"/>
    <n v="0.625"/>
  </r>
  <r>
    <d v="2020-05-21T00:00:00"/>
    <s v="V@der SC"/>
    <s v="Sant Andreu"/>
    <x v="9"/>
    <m/>
    <n v="5"/>
    <n v="2"/>
    <n v="0.4"/>
  </r>
  <r>
    <d v="2020-05-21T00:00:00"/>
    <s v="FC Myth"/>
    <s v="V@der SC"/>
    <x v="7"/>
    <m/>
    <n v="5"/>
    <n v="2"/>
    <n v="0.4"/>
  </r>
  <r>
    <d v="2020-05-22T00:00:00"/>
    <s v="Brocklers"/>
    <s v="V@der SC"/>
    <x v="7"/>
    <m/>
    <n v="10"/>
    <n v="4"/>
    <n v="0.4"/>
  </r>
  <r>
    <d v="2020-05-25T00:00:00"/>
    <s v="V@der SC"/>
    <s v="FC HV 1964"/>
    <x v="9"/>
    <m/>
    <n v="6"/>
    <n v="4"/>
    <n v="0.66666666666666663"/>
  </r>
  <r>
    <d v="2020-05-26T00:00:00"/>
    <s v="V@der SC"/>
    <s v="SALSEPAREILLE"/>
    <x v="8"/>
    <m/>
    <n v="6"/>
    <n v="4"/>
    <n v="0.66666666666666663"/>
  </r>
  <r>
    <d v="2020-05-26T00:00:00"/>
    <s v="Divine Overconfidence"/>
    <s v="V@der SC"/>
    <x v="8"/>
    <m/>
    <n v="8"/>
    <n v="3"/>
    <n v="0.375"/>
  </r>
  <r>
    <d v="2020-05-26T00:00:00"/>
    <s v="Os Marcos do Nordeste"/>
    <s v="V@der SC"/>
    <x v="8"/>
    <m/>
    <n v="6"/>
    <n v="2"/>
    <n v="0.33333333333333331"/>
  </r>
  <r>
    <d v="2020-05-27T00:00:00"/>
    <s v="V@der SC"/>
    <s v="Lazio Princes Town"/>
    <x v="8"/>
    <m/>
    <n v="7"/>
    <n v="3"/>
    <n v="0.42857142857142855"/>
  </r>
  <r>
    <d v="2020-05-27T00:00:00"/>
    <s v="SS Scappati di Casa"/>
    <s v="V@der SC"/>
    <x v="8"/>
    <m/>
    <n v="7"/>
    <n v="3"/>
    <n v="0.42857142857142855"/>
  </r>
  <r>
    <d v="2020-05-27T00:00:00"/>
    <s v="V@der SC"/>
    <s v="FC Glasscherbenviertel"/>
    <x v="10"/>
    <m/>
    <n v="9"/>
    <n v="4"/>
    <n v="0.44444444444444442"/>
  </r>
  <r>
    <d v="2020-05-28T00:00:00"/>
    <s v="V@der SC"/>
    <s v="Blues Nord"/>
    <x v="8"/>
    <m/>
    <n v="7"/>
    <n v="4"/>
    <n v="0.5714285714285714"/>
  </r>
  <r>
    <d v="2020-05-28T00:00:00"/>
    <s v="V@der SC"/>
    <s v="Juventus de kudus"/>
    <x v="8"/>
    <m/>
    <n v="8"/>
    <n v="3"/>
    <n v="0.375"/>
  </r>
  <r>
    <d v="2020-05-28T00:00:00"/>
    <s v="Clerks II"/>
    <s v="V@der SC"/>
    <x v="10"/>
    <m/>
    <n v="8"/>
    <n v="3"/>
    <n v="0.375"/>
  </r>
  <r>
    <d v="2020-06-06T00:00:00"/>
    <s v="Amics del futbol"/>
    <s v="V@der SC"/>
    <x v="8"/>
    <m/>
    <n v="7"/>
    <n v="3"/>
    <n v="0.42857142857142855"/>
  </r>
  <r>
    <d v="2020-06-10T00:00:00"/>
    <s v="PIRA TEAM"/>
    <s v="V@der SC"/>
    <x v="3"/>
    <m/>
    <n v="5"/>
    <n v="1"/>
    <n v="0.2"/>
  </r>
  <r>
    <d v="2020-06-13T00:00:00"/>
    <m/>
    <s v="C.D. Badajoz"/>
    <x v="9"/>
    <m/>
    <n v="7"/>
    <n v="3"/>
    <n v="0.42857142857142855"/>
  </r>
  <r>
    <d v="2020-06-17T00:00:00"/>
    <s v="C.F. Establiments"/>
    <m/>
    <x v="7"/>
    <m/>
    <n v="5"/>
    <n v="2"/>
    <n v="0.4"/>
  </r>
  <r>
    <d v="2020-06-20T00:00:00"/>
    <s v="AKELARRE U.D."/>
    <m/>
    <x v="8"/>
    <m/>
    <n v="9"/>
    <n v="4"/>
    <n v="0.44444444444444442"/>
  </r>
  <r>
    <d v="2020-06-24T00:00:00"/>
    <s v="Lucentum!!!!!"/>
    <m/>
    <x v="9"/>
    <m/>
    <n v="9"/>
    <n v="5"/>
    <n v="0.55555555555555558"/>
  </r>
  <r>
    <d v="2020-06-25T00:00:00"/>
    <s v="C.E. Badalona S.A.D."/>
    <m/>
    <x v="8"/>
    <m/>
    <n v="8"/>
    <n v="5"/>
    <n v="0.625"/>
  </r>
  <r>
    <d v="2020-06-26T00:00:00"/>
    <s v="CSIII"/>
    <m/>
    <x v="10"/>
    <m/>
    <n v="7"/>
    <n v="3"/>
    <n v="0.42857142857142855"/>
  </r>
  <r>
    <d v="2020-06-28T00:00:00"/>
    <m/>
    <s v="FC Aversi"/>
    <x v="10"/>
    <m/>
    <n v="7"/>
    <n v="2"/>
    <n v="0.2857142857142857"/>
  </r>
  <r>
    <d v="2020-06-30T00:00:00"/>
    <s v="Bayern de Sants"/>
    <m/>
    <x v="10"/>
    <m/>
    <n v="7"/>
    <n v="4"/>
    <n v="0.5714285714285714"/>
  </r>
  <r>
    <d v="2020-07-01T00:00:00"/>
    <s v="abrams"/>
    <m/>
    <x v="8"/>
    <m/>
    <n v="7"/>
    <n v="2"/>
    <n v="0.2857142857142857"/>
  </r>
  <r>
    <d v="2020-07-02T00:00:00"/>
    <m/>
    <s v="Estel Roig Genovès"/>
    <x v="10"/>
    <m/>
    <n v="9"/>
    <n v="6"/>
    <n v="0.66666666666666663"/>
  </r>
  <r>
    <d v="2020-07-03T00:00:00"/>
    <s v="Cosecha Roja"/>
    <m/>
    <x v="10"/>
    <m/>
    <n v="7"/>
    <n v="2"/>
    <n v="0.2857142857142857"/>
  </r>
  <r>
    <d v="2020-07-05T00:00:00"/>
    <s v="AVG Hostafrancs"/>
    <m/>
    <x v="10"/>
    <m/>
    <n v="9"/>
    <n v="5"/>
    <n v="0.55555555555555558"/>
  </r>
  <r>
    <d v="2020-07-07T00:00:00"/>
    <m/>
    <s v="FC Virrei Amat"/>
    <x v="10"/>
    <m/>
    <n v="9"/>
    <n v="5"/>
    <n v="0.55555555555555558"/>
  </r>
  <r>
    <d v="2020-07-08T00:00:00"/>
    <s v="Som-hi un altre cop!!"/>
    <m/>
    <x v="8"/>
    <m/>
    <n v="8"/>
    <n v="2"/>
    <n v="0.25"/>
  </r>
  <r>
    <d v="2020-07-11T00:00:00"/>
    <s v="La gabarra a pique"/>
    <m/>
    <x v="10"/>
    <m/>
    <n v="8"/>
    <n v="5"/>
    <n v="0.625"/>
  </r>
  <r>
    <d v="2020-07-14T00:00:00"/>
    <s v="Birreri Sabadell"/>
    <m/>
    <x v="10"/>
    <m/>
    <n v="9"/>
    <n v="5"/>
    <n v="0.55555555555555558"/>
  </r>
  <r>
    <d v="2020-07-15T00:00:00"/>
    <s v="coco's tema"/>
    <m/>
    <x v="9"/>
    <m/>
    <n v="9"/>
    <n v="4"/>
    <n v="0.44444444444444442"/>
  </r>
  <r>
    <d v="2020-07-16T00:00:00"/>
    <m/>
    <s v="Monkey 47"/>
    <x v="8"/>
    <m/>
    <n v="9"/>
    <n v="4"/>
    <n v="0.44444444444444442"/>
  </r>
  <r>
    <d v="2020-07-17T00:00:00"/>
    <s v="Treskitos Team"/>
    <m/>
    <x v="10"/>
    <m/>
    <n v="8"/>
    <n v="3"/>
    <n v="0.375"/>
  </r>
  <r>
    <d v="2020-07-18T00:00:00"/>
    <m/>
    <s v="AS Nano CF"/>
    <x v="8"/>
    <m/>
    <n v="10"/>
    <n v="4"/>
    <n v="0.4"/>
  </r>
  <r>
    <d v="2020-07-19T00:00:00"/>
    <s v="Inedit CF"/>
    <m/>
    <x v="8"/>
    <m/>
    <n v="8"/>
    <n v="3"/>
    <n v="0.375"/>
  </r>
  <r>
    <d v="2020-07-21T00:00:00"/>
    <m/>
    <s v="SE Europa"/>
    <x v="10"/>
    <m/>
    <n v="7"/>
    <n v="3"/>
    <n v="0.42857142857142855"/>
  </r>
  <r>
    <d v="2020-07-22T00:00:00"/>
    <m/>
    <s v="Sinsen Racing Club"/>
    <x v="8"/>
    <m/>
    <n v="3"/>
    <n v="2"/>
    <n v="0.66666666666666663"/>
  </r>
  <r>
    <d v="2020-07-23T00:00:00"/>
    <m/>
    <s v="Real Mollet"/>
    <x v="8"/>
    <m/>
    <n v="7"/>
    <n v="4"/>
    <n v="0.5714285714285714"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TablaDinámica1" cacheId="0" applyNumberFormats="0" applyBorderFormats="0" applyFontFormats="0" applyPatternFormats="0" applyAlignmentFormats="0" applyWidthHeightFormats="1" dataCaption="Valores" missingCaption="" updatedVersion="6" minRefreshableVersion="3" useAutoFormatting="1" createdVersion="4" indent="0" multipleFieldFilters="0">
  <location ref="J1:M13" firstHeaderRow="0" firstDataRow="1" firstDataCol="1"/>
  <pivotFields count="8">
    <pivotField dataField="1" showAll="0" includeNewItemsInFilter="1" sortType="ascending"/>
    <pivotField showAll="0" includeNewItemsInFilter="1" sortType="ascending"/>
    <pivotField showAll="0" includeNewItemsInFilter="1" sortType="ascending"/>
    <pivotField axis="axisRow" showAll="0" includeNewItemsInFilter="1" sortType="ascending">
      <items count="14">
        <item m="1" x="12"/>
        <item x="0"/>
        <item x="1"/>
        <item x="2"/>
        <item x="3"/>
        <item x="4"/>
        <item x="5"/>
        <item x="6"/>
        <item x="7"/>
        <item x="9"/>
        <item x="8"/>
        <item x="10"/>
        <item h="1" x="11"/>
        <item t="default"/>
      </items>
    </pivotField>
    <pivotField showAll="0" includeNewItemsInFilter="1" sortType="ascending"/>
    <pivotField dataField="1" showAll="0" includeNewItemsInFilter="1" sortType="ascending"/>
    <pivotField dataField="1" showAll="0" includeNewItemsInFilter="1" sortType="ascending"/>
    <pivotField showAll="0" includeNewItemsInFilter="1" sortType="ascending"/>
  </pivotFields>
  <rowFields count="1">
    <field x="3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artidos" fld="0" subtotal="count" baseField="0" baseItem="0"/>
    <dataField name="Suma de OcasionesFalladas" fld="5" baseField="0" baseItem="0"/>
    <dataField name="Suma de CAs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P46"/>
  <sheetViews>
    <sheetView workbookViewId="0">
      <selection activeCell="B3" sqref="B3"/>
    </sheetView>
  </sheetViews>
  <sheetFormatPr baseColWidth="10" defaultColWidth="11.42578125" defaultRowHeight="15" x14ac:dyDescent="0.25"/>
  <cols>
    <col min="1" max="1" width="12.28515625" customWidth="1"/>
    <col min="2" max="2" width="22.42578125" customWidth="1"/>
    <col min="3" max="3" width="10.7109375" customWidth="1"/>
    <col min="4" max="4" width="9.140625" style="42" customWidth="1"/>
    <col min="5" max="5" width="5.140625" customWidth="1"/>
    <col min="6" max="6" width="5.28515625" style="42" customWidth="1"/>
    <col min="7" max="7" width="20.85546875" customWidth="1"/>
    <col min="8" max="8" width="5.85546875" style="42" customWidth="1"/>
    <col min="9" max="9" width="6.85546875" customWidth="1"/>
    <col min="10" max="10" width="5.28515625" style="42" customWidth="1"/>
    <col min="11" max="11" width="21.7109375" customWidth="1"/>
    <col min="12" max="12" width="5.85546875" customWidth="1"/>
    <col min="13" max="13" width="6.140625" customWidth="1"/>
    <col min="14" max="14" width="5.28515625" style="42" customWidth="1"/>
    <col min="15" max="15" width="21.28515625" customWidth="1"/>
    <col min="16" max="16" width="5.85546875" customWidth="1"/>
  </cols>
  <sheetData>
    <row r="1" spans="1:16" x14ac:dyDescent="0.25">
      <c r="A1" s="92" t="s">
        <v>0</v>
      </c>
      <c r="F1" s="94" t="s">
        <v>1</v>
      </c>
      <c r="G1" s="575" t="s">
        <v>2</v>
      </c>
      <c r="H1" s="575"/>
      <c r="J1" s="94" t="s">
        <v>1</v>
      </c>
      <c r="K1" s="575" t="s">
        <v>3</v>
      </c>
      <c r="L1" s="575"/>
      <c r="N1" s="94" t="s">
        <v>1</v>
      </c>
      <c r="O1" s="575" t="s">
        <v>4</v>
      </c>
      <c r="P1" s="575"/>
    </row>
    <row r="2" spans="1:16" x14ac:dyDescent="0.25">
      <c r="A2" s="443">
        <v>44263</v>
      </c>
      <c r="F2" s="43">
        <v>1</v>
      </c>
      <c r="G2" s="93" t="s">
        <v>5</v>
      </c>
      <c r="H2" s="42" t="s">
        <v>6</v>
      </c>
      <c r="J2" s="43">
        <v>1</v>
      </c>
      <c r="K2" s="353" t="s">
        <v>14</v>
      </c>
      <c r="L2" s="42">
        <v>200</v>
      </c>
      <c r="N2" s="43">
        <v>1</v>
      </c>
      <c r="O2" s="353" t="s">
        <v>31</v>
      </c>
      <c r="P2" s="42">
        <v>102</v>
      </c>
    </row>
    <row r="3" spans="1:16" x14ac:dyDescent="0.25">
      <c r="F3" s="43">
        <v>2</v>
      </c>
      <c r="G3" s="93" t="s">
        <v>10</v>
      </c>
      <c r="H3" s="42" t="s">
        <v>11</v>
      </c>
      <c r="J3" s="43">
        <v>2</v>
      </c>
      <c r="K3" s="353" t="s">
        <v>34</v>
      </c>
      <c r="L3" s="42">
        <v>192</v>
      </c>
      <c r="N3" s="43">
        <v>2</v>
      </c>
      <c r="O3" s="93" t="s">
        <v>8</v>
      </c>
      <c r="P3" s="42">
        <v>58</v>
      </c>
    </row>
    <row r="4" spans="1:16" x14ac:dyDescent="0.25">
      <c r="A4" s="92" t="s">
        <v>15</v>
      </c>
      <c r="F4" s="43">
        <v>3</v>
      </c>
      <c r="G4" s="93" t="s">
        <v>16</v>
      </c>
      <c r="H4" s="42" t="s">
        <v>17</v>
      </c>
      <c r="J4" s="43">
        <v>3</v>
      </c>
      <c r="K4" s="353" t="s">
        <v>20</v>
      </c>
      <c r="L4" s="42">
        <v>190</v>
      </c>
      <c r="N4" s="43">
        <v>3</v>
      </c>
      <c r="O4" s="93" t="s">
        <v>13</v>
      </c>
      <c r="P4" s="42">
        <v>57</v>
      </c>
    </row>
    <row r="5" spans="1:16" x14ac:dyDescent="0.25">
      <c r="A5" s="42" t="s">
        <v>21</v>
      </c>
      <c r="B5" t="s">
        <v>22</v>
      </c>
      <c r="C5" s="23">
        <v>42847</v>
      </c>
      <c r="D5" s="43" t="s">
        <v>23</v>
      </c>
      <c r="F5" s="43">
        <v>4</v>
      </c>
      <c r="G5" s="93" t="s">
        <v>24</v>
      </c>
      <c r="H5" s="42" t="s">
        <v>25</v>
      </c>
      <c r="J5" s="43">
        <v>4</v>
      </c>
      <c r="K5" s="93" t="s">
        <v>7</v>
      </c>
      <c r="L5" s="42">
        <v>175</v>
      </c>
      <c r="N5" s="43">
        <v>4</v>
      </c>
      <c r="O5" s="93" t="s">
        <v>10</v>
      </c>
      <c r="P5" s="42">
        <v>44</v>
      </c>
    </row>
    <row r="6" spans="1:16" x14ac:dyDescent="0.25">
      <c r="A6" s="42" t="s">
        <v>28</v>
      </c>
      <c r="B6" t="s">
        <v>29</v>
      </c>
      <c r="C6" s="23">
        <v>42991</v>
      </c>
      <c r="D6" s="43" t="s">
        <v>30</v>
      </c>
      <c r="F6" s="43">
        <v>4</v>
      </c>
      <c r="G6" s="93" t="s">
        <v>8</v>
      </c>
      <c r="H6" s="42" t="s">
        <v>25</v>
      </c>
      <c r="J6" s="43">
        <v>5</v>
      </c>
      <c r="K6" s="353" t="s">
        <v>26</v>
      </c>
      <c r="L6" s="42">
        <v>174</v>
      </c>
      <c r="N6" s="43">
        <v>4</v>
      </c>
      <c r="O6" s="353" t="s">
        <v>26</v>
      </c>
      <c r="P6" s="42">
        <v>44</v>
      </c>
    </row>
    <row r="7" spans="1:16" x14ac:dyDescent="0.25">
      <c r="F7" s="43">
        <v>4</v>
      </c>
      <c r="G7" s="353" t="s">
        <v>896</v>
      </c>
      <c r="H7" s="42" t="s">
        <v>25</v>
      </c>
      <c r="J7" s="43">
        <v>6</v>
      </c>
      <c r="K7" s="353" t="s">
        <v>31</v>
      </c>
      <c r="L7" s="42">
        <v>173</v>
      </c>
      <c r="N7" s="43">
        <v>6</v>
      </c>
      <c r="O7" s="93" t="s">
        <v>5</v>
      </c>
      <c r="P7" s="42">
        <v>42</v>
      </c>
    </row>
    <row r="8" spans="1:16" x14ac:dyDescent="0.25">
      <c r="A8" s="94" t="s">
        <v>1</v>
      </c>
      <c r="B8" s="575" t="s">
        <v>35</v>
      </c>
      <c r="C8" s="575"/>
      <c r="F8" s="43">
        <v>7</v>
      </c>
      <c r="G8" s="93" t="s">
        <v>18</v>
      </c>
      <c r="H8" s="42" t="s">
        <v>32</v>
      </c>
      <c r="J8" s="43">
        <v>7</v>
      </c>
      <c r="K8" s="353" t="s">
        <v>9</v>
      </c>
      <c r="L8" s="42">
        <v>163</v>
      </c>
      <c r="N8" s="43">
        <v>7</v>
      </c>
      <c r="O8" s="93" t="s">
        <v>33</v>
      </c>
      <c r="P8" s="42">
        <v>29</v>
      </c>
    </row>
    <row r="9" spans="1:16" x14ac:dyDescent="0.25">
      <c r="A9" s="43">
        <v>1</v>
      </c>
      <c r="B9" s="93" t="s">
        <v>7</v>
      </c>
      <c r="C9" s="42">
        <v>71</v>
      </c>
      <c r="F9" s="43">
        <v>8</v>
      </c>
      <c r="G9" s="93" t="s">
        <v>36</v>
      </c>
      <c r="H9" s="42" t="s">
        <v>37</v>
      </c>
      <c r="J9" s="43">
        <v>8</v>
      </c>
      <c r="K9" s="93" t="s">
        <v>12</v>
      </c>
      <c r="L9" s="42">
        <v>155</v>
      </c>
      <c r="N9" s="43">
        <v>8</v>
      </c>
      <c r="O9" s="93" t="s">
        <v>16</v>
      </c>
      <c r="P9" s="42">
        <v>27</v>
      </c>
    </row>
    <row r="10" spans="1:16" x14ac:dyDescent="0.25">
      <c r="A10" s="43">
        <v>2</v>
      </c>
      <c r="B10" s="353" t="s">
        <v>9</v>
      </c>
      <c r="C10" s="42">
        <v>57</v>
      </c>
      <c r="F10" s="43">
        <v>8</v>
      </c>
      <c r="G10" s="353" t="s">
        <v>951</v>
      </c>
      <c r="H10" s="42" t="s">
        <v>37</v>
      </c>
      <c r="J10" s="43">
        <v>9</v>
      </c>
      <c r="K10" s="93" t="s">
        <v>18</v>
      </c>
      <c r="L10" s="42">
        <v>145</v>
      </c>
      <c r="N10" s="43">
        <v>9</v>
      </c>
      <c r="O10" s="93" t="s">
        <v>41</v>
      </c>
      <c r="P10" s="42">
        <v>22</v>
      </c>
    </row>
    <row r="11" spans="1:16" x14ac:dyDescent="0.25">
      <c r="A11" s="43">
        <v>3</v>
      </c>
      <c r="B11" s="93" t="s">
        <v>42</v>
      </c>
      <c r="C11" s="42">
        <v>29</v>
      </c>
      <c r="F11" s="43">
        <v>10</v>
      </c>
      <c r="G11" s="93" t="s">
        <v>39</v>
      </c>
      <c r="H11" s="42" t="s">
        <v>40</v>
      </c>
      <c r="J11" s="43">
        <v>10</v>
      </c>
      <c r="K11" s="93" t="s">
        <v>24</v>
      </c>
      <c r="L11" s="42">
        <v>144</v>
      </c>
      <c r="N11" s="43">
        <v>10</v>
      </c>
      <c r="O11" s="93" t="s">
        <v>44</v>
      </c>
      <c r="P11" s="42">
        <v>20</v>
      </c>
    </row>
    <row r="12" spans="1:16" x14ac:dyDescent="0.25">
      <c r="A12" s="43">
        <v>4</v>
      </c>
      <c r="B12" s="93" t="s">
        <v>45</v>
      </c>
      <c r="C12" s="42">
        <v>16</v>
      </c>
      <c r="F12" s="43">
        <v>10</v>
      </c>
      <c r="G12" s="93" t="s">
        <v>43</v>
      </c>
      <c r="H12" s="42" t="s">
        <v>40</v>
      </c>
      <c r="J12" s="43">
        <v>11</v>
      </c>
      <c r="K12" s="93" t="s">
        <v>5</v>
      </c>
      <c r="L12" s="42">
        <v>141</v>
      </c>
      <c r="N12" s="43">
        <v>11</v>
      </c>
      <c r="O12" s="93" t="s">
        <v>48</v>
      </c>
      <c r="P12" s="42">
        <v>13</v>
      </c>
    </row>
    <row r="13" spans="1:16" x14ac:dyDescent="0.25">
      <c r="A13" s="43">
        <v>5</v>
      </c>
      <c r="B13" s="93" t="s">
        <v>52</v>
      </c>
      <c r="C13" s="42">
        <v>12</v>
      </c>
      <c r="F13" s="43">
        <v>10</v>
      </c>
      <c r="G13" s="93" t="s">
        <v>46</v>
      </c>
      <c r="H13" s="42" t="s">
        <v>40</v>
      </c>
      <c r="J13" s="43">
        <v>12</v>
      </c>
      <c r="K13" s="93" t="s">
        <v>13</v>
      </c>
      <c r="L13" s="42">
        <v>140</v>
      </c>
      <c r="N13" s="43">
        <v>12</v>
      </c>
      <c r="O13" s="93" t="s">
        <v>51</v>
      </c>
      <c r="P13" s="42">
        <v>12</v>
      </c>
    </row>
    <row r="14" spans="1:16" x14ac:dyDescent="0.25">
      <c r="A14" s="43">
        <v>6</v>
      </c>
      <c r="B14" s="93" t="s">
        <v>56</v>
      </c>
      <c r="C14" s="42">
        <v>11</v>
      </c>
      <c r="F14" s="43">
        <v>10</v>
      </c>
      <c r="G14" s="93" t="s">
        <v>50</v>
      </c>
      <c r="H14" s="42" t="s">
        <v>40</v>
      </c>
      <c r="J14" s="43">
        <v>13</v>
      </c>
      <c r="K14" s="93" t="s">
        <v>38</v>
      </c>
      <c r="L14" s="42">
        <v>135</v>
      </c>
      <c r="N14" s="43">
        <v>12</v>
      </c>
      <c r="O14" s="93" t="s">
        <v>55</v>
      </c>
      <c r="P14" s="42">
        <v>12</v>
      </c>
    </row>
    <row r="15" spans="1:16" x14ac:dyDescent="0.25">
      <c r="A15" s="43">
        <v>6</v>
      </c>
      <c r="B15" s="93" t="s">
        <v>60</v>
      </c>
      <c r="C15" s="42">
        <v>11</v>
      </c>
      <c r="F15" s="43">
        <v>10</v>
      </c>
      <c r="G15" s="353" t="s">
        <v>9</v>
      </c>
      <c r="H15" s="42" t="s">
        <v>40</v>
      </c>
      <c r="J15" s="43">
        <v>14</v>
      </c>
      <c r="K15" s="353" t="s">
        <v>49</v>
      </c>
      <c r="L15" s="42">
        <v>121</v>
      </c>
      <c r="N15" s="43">
        <v>14</v>
      </c>
      <c r="O15" s="93" t="s">
        <v>58</v>
      </c>
      <c r="P15" s="42">
        <v>11</v>
      </c>
    </row>
    <row r="16" spans="1:16" x14ac:dyDescent="0.25">
      <c r="A16" s="43">
        <v>8</v>
      </c>
      <c r="B16" s="353" t="s">
        <v>65</v>
      </c>
      <c r="C16" s="42">
        <v>10</v>
      </c>
      <c r="F16" s="43">
        <v>10</v>
      </c>
      <c r="G16" s="444" t="s">
        <v>178</v>
      </c>
      <c r="H16" s="42" t="s">
        <v>40</v>
      </c>
      <c r="J16" s="43">
        <v>15</v>
      </c>
      <c r="K16" s="353" t="s">
        <v>68</v>
      </c>
      <c r="L16" s="42">
        <v>118</v>
      </c>
      <c r="N16" s="43">
        <v>14</v>
      </c>
      <c r="O16" s="93" t="s">
        <v>56</v>
      </c>
      <c r="P16" s="42">
        <v>11</v>
      </c>
    </row>
    <row r="17" spans="1:16" x14ac:dyDescent="0.25">
      <c r="A17" s="43">
        <v>8</v>
      </c>
      <c r="B17" s="93" t="s">
        <v>62</v>
      </c>
      <c r="C17" s="42">
        <v>6</v>
      </c>
      <c r="F17" s="43">
        <v>16</v>
      </c>
      <c r="G17" s="93" t="s">
        <v>53</v>
      </c>
      <c r="H17" s="42" t="s">
        <v>54</v>
      </c>
      <c r="J17" s="43">
        <v>16</v>
      </c>
      <c r="K17" s="353" t="s">
        <v>27</v>
      </c>
      <c r="L17" s="42">
        <v>115</v>
      </c>
      <c r="N17" s="43">
        <v>16</v>
      </c>
      <c r="O17" s="93" t="s">
        <v>67</v>
      </c>
      <c r="P17" s="42">
        <v>8</v>
      </c>
    </row>
    <row r="18" spans="1:16" x14ac:dyDescent="0.25">
      <c r="A18" s="43">
        <v>10</v>
      </c>
      <c r="B18" s="93" t="s">
        <v>69</v>
      </c>
      <c r="C18" s="42">
        <v>4</v>
      </c>
      <c r="F18" s="43">
        <v>16</v>
      </c>
      <c r="G18" s="93" t="s">
        <v>57</v>
      </c>
      <c r="H18" s="42" t="s">
        <v>54</v>
      </c>
      <c r="J18" s="43">
        <v>17</v>
      </c>
      <c r="K18" s="93" t="s">
        <v>39</v>
      </c>
      <c r="L18" s="42">
        <v>111</v>
      </c>
      <c r="N18" s="43">
        <v>16</v>
      </c>
      <c r="O18" s="93" t="s">
        <v>73</v>
      </c>
      <c r="P18" s="42">
        <v>8</v>
      </c>
    </row>
    <row r="19" spans="1:16" x14ac:dyDescent="0.25">
      <c r="A19" s="43">
        <v>11</v>
      </c>
      <c r="B19" s="93" t="s">
        <v>75</v>
      </c>
      <c r="C19" s="42">
        <v>3</v>
      </c>
      <c r="F19" s="43">
        <v>16</v>
      </c>
      <c r="G19" s="93" t="s">
        <v>61</v>
      </c>
      <c r="H19" s="42" t="s">
        <v>54</v>
      </c>
      <c r="J19" s="43">
        <v>18</v>
      </c>
      <c r="K19" s="93" t="s">
        <v>47</v>
      </c>
      <c r="L19" s="42">
        <v>105</v>
      </c>
      <c r="N19" s="43">
        <v>16</v>
      </c>
      <c r="O19" s="93" t="s">
        <v>77</v>
      </c>
      <c r="P19" s="42">
        <v>8</v>
      </c>
    </row>
    <row r="20" spans="1:16" x14ac:dyDescent="0.25">
      <c r="A20" s="43">
        <v>12</v>
      </c>
      <c r="B20" s="93" t="s">
        <v>78</v>
      </c>
      <c r="C20" s="42">
        <v>2</v>
      </c>
      <c r="F20" s="43">
        <v>16</v>
      </c>
      <c r="G20" s="93" t="s">
        <v>63</v>
      </c>
      <c r="H20" s="42" t="s">
        <v>54</v>
      </c>
      <c r="J20" s="43">
        <v>19</v>
      </c>
      <c r="K20" s="93" t="s">
        <v>1008</v>
      </c>
      <c r="L20" s="42">
        <v>102</v>
      </c>
      <c r="M20" s="42"/>
      <c r="N20" s="43">
        <v>19</v>
      </c>
      <c r="O20" s="93" t="s">
        <v>80</v>
      </c>
      <c r="P20" s="42">
        <v>7</v>
      </c>
    </row>
    <row r="21" spans="1:16" x14ac:dyDescent="0.25">
      <c r="A21" s="43">
        <v>12</v>
      </c>
      <c r="B21" s="93" t="s">
        <v>81</v>
      </c>
      <c r="C21" s="42">
        <v>2</v>
      </c>
      <c r="F21" s="43">
        <v>16</v>
      </c>
      <c r="G21" s="93" t="s">
        <v>7</v>
      </c>
      <c r="H21" s="42" t="s">
        <v>54</v>
      </c>
      <c r="J21" s="43">
        <v>20</v>
      </c>
      <c r="K21" s="93" t="s">
        <v>42</v>
      </c>
      <c r="L21" s="42">
        <v>93</v>
      </c>
      <c r="N21" s="43">
        <v>19</v>
      </c>
      <c r="O21" s="93" t="s">
        <v>84</v>
      </c>
      <c r="P21" s="42">
        <v>7</v>
      </c>
    </row>
    <row r="22" spans="1:16" x14ac:dyDescent="0.25">
      <c r="A22" s="43">
        <v>14</v>
      </c>
      <c r="B22" s="93" t="s">
        <v>85</v>
      </c>
      <c r="C22" s="42">
        <v>1</v>
      </c>
      <c r="F22" s="43">
        <v>16</v>
      </c>
      <c r="G22" s="93" t="s">
        <v>179</v>
      </c>
      <c r="H22" s="42" t="s">
        <v>54</v>
      </c>
      <c r="J22" s="43">
        <v>21</v>
      </c>
      <c r="K22" s="353" t="s">
        <v>74</v>
      </c>
      <c r="L22" s="42">
        <v>84</v>
      </c>
      <c r="N22" s="43">
        <v>19</v>
      </c>
      <c r="O22" s="93" t="s">
        <v>59</v>
      </c>
      <c r="P22" s="42">
        <v>7</v>
      </c>
    </row>
    <row r="23" spans="1:16" x14ac:dyDescent="0.25">
      <c r="A23" s="43">
        <v>14</v>
      </c>
      <c r="B23" s="93" t="s">
        <v>87</v>
      </c>
      <c r="C23" s="42">
        <v>1</v>
      </c>
      <c r="F23" s="43">
        <v>16</v>
      </c>
      <c r="G23" s="444" t="s">
        <v>14</v>
      </c>
      <c r="H23" s="42" t="s">
        <v>54</v>
      </c>
      <c r="J23" s="43">
        <v>22</v>
      </c>
      <c r="K23" s="93" t="s">
        <v>66</v>
      </c>
      <c r="L23" s="42">
        <v>83</v>
      </c>
      <c r="N23" s="43">
        <v>22</v>
      </c>
      <c r="O23" s="93" t="s">
        <v>89</v>
      </c>
      <c r="P23" s="42">
        <v>6</v>
      </c>
    </row>
    <row r="24" spans="1:16" x14ac:dyDescent="0.25">
      <c r="A24" s="43">
        <v>14</v>
      </c>
      <c r="B24" s="93" t="s">
        <v>90</v>
      </c>
      <c r="C24" s="42">
        <v>1</v>
      </c>
      <c r="F24" s="43">
        <v>16</v>
      </c>
      <c r="G24" s="444" t="s">
        <v>1007</v>
      </c>
      <c r="H24" s="42" t="s">
        <v>54</v>
      </c>
      <c r="J24" s="43">
        <v>22</v>
      </c>
      <c r="K24" s="353" t="s">
        <v>1009</v>
      </c>
      <c r="L24" s="42">
        <v>83</v>
      </c>
      <c r="N24" s="43">
        <v>22</v>
      </c>
      <c r="O24" s="93" t="s">
        <v>91</v>
      </c>
      <c r="P24" s="42">
        <v>6</v>
      </c>
    </row>
    <row r="25" spans="1:16" x14ac:dyDescent="0.25">
      <c r="A25" s="43">
        <v>14</v>
      </c>
      <c r="B25" s="93" t="s">
        <v>92</v>
      </c>
      <c r="C25" s="42">
        <v>1</v>
      </c>
      <c r="F25" s="43">
        <v>16</v>
      </c>
      <c r="G25" s="353" t="s">
        <v>26</v>
      </c>
      <c r="H25" s="42" t="s">
        <v>54</v>
      </c>
      <c r="J25" s="43">
        <v>24</v>
      </c>
      <c r="K25" s="353" t="s">
        <v>896</v>
      </c>
      <c r="L25" s="42">
        <v>79</v>
      </c>
      <c r="N25" s="43">
        <v>22</v>
      </c>
      <c r="O25" s="93" t="s">
        <v>38</v>
      </c>
      <c r="P25" s="42">
        <v>6</v>
      </c>
    </row>
    <row r="26" spans="1:16" x14ac:dyDescent="0.25">
      <c r="A26" s="43">
        <v>14</v>
      </c>
      <c r="B26" s="93" t="s">
        <v>93</v>
      </c>
      <c r="C26" s="42">
        <v>1</v>
      </c>
      <c r="F26" s="43">
        <v>25</v>
      </c>
      <c r="G26" s="93" t="s">
        <v>70</v>
      </c>
      <c r="H26" s="42" t="s">
        <v>71</v>
      </c>
      <c r="J26" s="43">
        <v>25</v>
      </c>
      <c r="K26" s="93" t="s">
        <v>72</v>
      </c>
      <c r="L26" s="42">
        <v>78</v>
      </c>
    </row>
    <row r="27" spans="1:16" x14ac:dyDescent="0.25">
      <c r="A27" s="43">
        <v>14</v>
      </c>
      <c r="B27" s="93" t="s">
        <v>95</v>
      </c>
      <c r="C27" s="42">
        <v>1</v>
      </c>
      <c r="F27" s="43">
        <v>25</v>
      </c>
      <c r="G27" s="93" t="s">
        <v>76</v>
      </c>
      <c r="H27" s="42" t="s">
        <v>71</v>
      </c>
      <c r="J27" s="43">
        <v>26</v>
      </c>
      <c r="K27" s="93" t="s">
        <v>61</v>
      </c>
      <c r="L27" s="42">
        <v>67</v>
      </c>
    </row>
    <row r="28" spans="1:16" x14ac:dyDescent="0.25">
      <c r="A28" s="43">
        <v>14</v>
      </c>
      <c r="B28" s="93" t="s">
        <v>98</v>
      </c>
      <c r="C28" s="42">
        <v>1</v>
      </c>
      <c r="F28" s="43">
        <v>25</v>
      </c>
      <c r="G28" s="93" t="s">
        <v>79</v>
      </c>
      <c r="H28" s="42" t="s">
        <v>71</v>
      </c>
      <c r="J28" s="43">
        <v>27</v>
      </c>
      <c r="K28" s="93" t="s">
        <v>8</v>
      </c>
      <c r="L28" s="42">
        <v>64</v>
      </c>
    </row>
    <row r="29" spans="1:16" x14ac:dyDescent="0.25">
      <c r="A29" s="43">
        <v>14</v>
      </c>
      <c r="B29" s="93" t="s">
        <v>100</v>
      </c>
      <c r="C29" s="42">
        <v>1</v>
      </c>
      <c r="F29" s="43">
        <v>25</v>
      </c>
      <c r="G29" s="93" t="s">
        <v>82</v>
      </c>
      <c r="H29" s="42" t="s">
        <v>71</v>
      </c>
      <c r="J29" s="43">
        <v>28</v>
      </c>
      <c r="K29" s="353" t="s">
        <v>64</v>
      </c>
      <c r="L29" s="42">
        <v>63</v>
      </c>
    </row>
    <row r="30" spans="1:16" x14ac:dyDescent="0.25">
      <c r="A30" s="43">
        <v>14</v>
      </c>
      <c r="B30" s="93" t="s">
        <v>102</v>
      </c>
      <c r="C30" s="42">
        <v>1</v>
      </c>
      <c r="F30" s="43">
        <v>25</v>
      </c>
      <c r="G30" s="93" t="s">
        <v>86</v>
      </c>
      <c r="H30" s="42" t="s">
        <v>71</v>
      </c>
      <c r="J30" s="43">
        <v>29</v>
      </c>
      <c r="K30" s="93" t="s">
        <v>83</v>
      </c>
      <c r="L30" s="42">
        <v>60</v>
      </c>
    </row>
    <row r="31" spans="1:16" x14ac:dyDescent="0.25">
      <c r="A31" s="43">
        <v>14</v>
      </c>
      <c r="B31" s="93" t="s">
        <v>105</v>
      </c>
      <c r="C31" s="42">
        <v>1</v>
      </c>
      <c r="F31" s="43">
        <v>25</v>
      </c>
      <c r="G31" s="93" t="s">
        <v>66</v>
      </c>
      <c r="H31" s="42" t="s">
        <v>71</v>
      </c>
      <c r="J31" s="43">
        <v>29</v>
      </c>
      <c r="K31" s="93" t="s">
        <v>63</v>
      </c>
      <c r="L31" s="42">
        <v>60</v>
      </c>
    </row>
    <row r="32" spans="1:16" x14ac:dyDescent="0.25">
      <c r="A32" s="43">
        <v>14</v>
      </c>
      <c r="B32" s="93" t="s">
        <v>107</v>
      </c>
      <c r="C32" s="42">
        <v>1</v>
      </c>
      <c r="F32" s="43">
        <v>25</v>
      </c>
      <c r="G32" s="93" t="s">
        <v>72</v>
      </c>
      <c r="H32" s="42" t="s">
        <v>71</v>
      </c>
      <c r="J32" s="43">
        <v>31</v>
      </c>
      <c r="K32" s="93" t="s">
        <v>88</v>
      </c>
      <c r="L32" s="42">
        <v>58</v>
      </c>
    </row>
    <row r="33" spans="6:12" x14ac:dyDescent="0.25">
      <c r="F33" s="43">
        <v>25</v>
      </c>
      <c r="G33" s="93" t="s">
        <v>83</v>
      </c>
      <c r="H33" s="42" t="s">
        <v>71</v>
      </c>
      <c r="J33" s="43">
        <v>32</v>
      </c>
      <c r="K33" s="93" t="s">
        <v>41</v>
      </c>
      <c r="L33" s="42">
        <v>57</v>
      </c>
    </row>
    <row r="34" spans="6:12" x14ac:dyDescent="0.25">
      <c r="F34" s="43">
        <v>25</v>
      </c>
      <c r="G34" s="93" t="s">
        <v>94</v>
      </c>
      <c r="H34" s="42" t="s">
        <v>71</v>
      </c>
      <c r="J34" s="43">
        <v>32</v>
      </c>
      <c r="K34" s="93" t="s">
        <v>10</v>
      </c>
      <c r="L34" s="42">
        <v>57</v>
      </c>
    </row>
    <row r="35" spans="6:12" x14ac:dyDescent="0.25">
      <c r="F35" s="43">
        <v>25</v>
      </c>
      <c r="G35" s="93" t="s">
        <v>96</v>
      </c>
      <c r="H35" s="42" t="s">
        <v>71</v>
      </c>
      <c r="J35" s="43">
        <v>34</v>
      </c>
      <c r="K35" s="93" t="s">
        <v>97</v>
      </c>
      <c r="L35" s="42">
        <v>56</v>
      </c>
    </row>
    <row r="36" spans="6:12" x14ac:dyDescent="0.25">
      <c r="F36" s="43">
        <v>25</v>
      </c>
      <c r="G36" s="93" t="s">
        <v>99</v>
      </c>
      <c r="H36" s="42" t="s">
        <v>71</v>
      </c>
      <c r="J36" s="43">
        <v>34</v>
      </c>
      <c r="K36" s="93" t="s">
        <v>76</v>
      </c>
      <c r="L36" s="42">
        <v>56</v>
      </c>
    </row>
    <row r="37" spans="6:12" x14ac:dyDescent="0.25">
      <c r="F37" s="43">
        <v>25</v>
      </c>
      <c r="G37" s="93" t="s">
        <v>101</v>
      </c>
      <c r="H37" s="42" t="s">
        <v>71</v>
      </c>
      <c r="J37" s="43">
        <v>36</v>
      </c>
      <c r="K37" s="93" t="s">
        <v>36</v>
      </c>
      <c r="L37" s="42">
        <v>54</v>
      </c>
    </row>
    <row r="38" spans="6:12" x14ac:dyDescent="0.25">
      <c r="F38" s="43">
        <v>25</v>
      </c>
      <c r="G38" s="93" t="s">
        <v>103</v>
      </c>
      <c r="H38" s="42" t="s">
        <v>71</v>
      </c>
      <c r="J38" s="43">
        <v>37</v>
      </c>
      <c r="K38" s="54" t="s">
        <v>104</v>
      </c>
      <c r="L38" s="42">
        <v>52</v>
      </c>
    </row>
    <row r="39" spans="6:12" x14ac:dyDescent="0.25">
      <c r="F39" s="43">
        <v>25</v>
      </c>
      <c r="G39" s="93" t="s">
        <v>106</v>
      </c>
      <c r="H39" s="42" t="s">
        <v>71</v>
      </c>
      <c r="J39" s="43">
        <v>38</v>
      </c>
      <c r="K39" s="93" t="s">
        <v>99</v>
      </c>
      <c r="L39" s="42">
        <v>51</v>
      </c>
    </row>
    <row r="40" spans="6:12" x14ac:dyDescent="0.25">
      <c r="F40" s="43">
        <v>25</v>
      </c>
      <c r="G40" s="353" t="s">
        <v>49</v>
      </c>
      <c r="H40" s="42" t="s">
        <v>71</v>
      </c>
      <c r="J40" s="43">
        <v>38</v>
      </c>
      <c r="K40" s="93" t="s">
        <v>77</v>
      </c>
      <c r="L40" s="42">
        <v>51</v>
      </c>
    </row>
    <row r="41" spans="6:12" x14ac:dyDescent="0.25">
      <c r="F41" s="43">
        <v>25</v>
      </c>
      <c r="G41" s="353" t="s">
        <v>27</v>
      </c>
      <c r="H41" s="42" t="s">
        <v>71</v>
      </c>
    </row>
    <row r="42" spans="6:12" x14ac:dyDescent="0.25">
      <c r="F42" s="43">
        <v>25</v>
      </c>
      <c r="G42" s="93" t="s">
        <v>897</v>
      </c>
      <c r="H42" s="42" t="s">
        <v>71</v>
      </c>
    </row>
    <row r="43" spans="6:12" x14ac:dyDescent="0.25">
      <c r="F43" s="43">
        <v>25</v>
      </c>
      <c r="G43" s="353" t="s">
        <v>20</v>
      </c>
      <c r="H43" s="42" t="s">
        <v>71</v>
      </c>
    </row>
    <row r="44" spans="6:12" x14ac:dyDescent="0.25">
      <c r="F44" s="43">
        <v>25</v>
      </c>
      <c r="G44" s="93" t="s">
        <v>19</v>
      </c>
      <c r="H44" s="42" t="s">
        <v>71</v>
      </c>
    </row>
    <row r="45" spans="6:12" x14ac:dyDescent="0.25">
      <c r="F45" s="43">
        <v>25</v>
      </c>
      <c r="G45" s="353" t="s">
        <v>34</v>
      </c>
      <c r="H45" s="42" t="s">
        <v>71</v>
      </c>
    </row>
    <row r="46" spans="6:12" x14ac:dyDescent="0.25">
      <c r="F46" s="43">
        <v>25</v>
      </c>
      <c r="G46" s="93" t="s">
        <v>1008</v>
      </c>
      <c r="H46" s="42" t="s">
        <v>71</v>
      </c>
    </row>
  </sheetData>
  <mergeCells count="4">
    <mergeCell ref="B8:C8"/>
    <mergeCell ref="G1:H1"/>
    <mergeCell ref="K1:L1"/>
    <mergeCell ref="O1:P1"/>
  </mergeCells>
  <pageMargins left="0.7" right="0.7" top="0.75" bottom="0.75" header="0.3" footer="0.3"/>
  <pageSetup paperSize="9" fitToWidth="0" orientation="portrait"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B7DEE8"/>
  </sheetPr>
  <dimension ref="A1:N226"/>
  <sheetViews>
    <sheetView workbookViewId="0">
      <selection activeCell="J17" sqref="J17"/>
    </sheetView>
  </sheetViews>
  <sheetFormatPr baseColWidth="10" defaultColWidth="10.7109375" defaultRowHeight="15" x14ac:dyDescent="0.25"/>
  <cols>
    <col min="1" max="1" width="12.5703125" style="42" customWidth="1"/>
    <col min="2" max="2" width="27.42578125" style="42" customWidth="1"/>
    <col min="3" max="3" width="27.140625" style="42" customWidth="1"/>
    <col min="4" max="4" width="11.7109375" style="42" customWidth="1"/>
    <col min="5" max="5" width="16.85546875" style="42" customWidth="1"/>
    <col min="6" max="6" width="17.28515625" style="42" customWidth="1"/>
    <col min="7" max="7" width="4.28515625" style="42" customWidth="1"/>
    <col min="8" max="8" width="13.5703125" style="42" customWidth="1"/>
    <col min="10" max="10" width="17.5703125" bestFit="1" customWidth="1"/>
    <col min="11" max="11" width="8.28515625" bestFit="1" customWidth="1"/>
    <col min="12" max="12" width="25.42578125" bestFit="1" customWidth="1"/>
    <col min="13" max="13" width="12.28515625" bestFit="1" customWidth="1"/>
  </cols>
  <sheetData>
    <row r="1" spans="1:14" x14ac:dyDescent="0.25">
      <c r="A1" s="43" t="s">
        <v>215</v>
      </c>
      <c r="B1" s="43" t="s">
        <v>606</v>
      </c>
      <c r="C1" s="43" t="s">
        <v>607</v>
      </c>
      <c r="D1" s="43" t="s">
        <v>608</v>
      </c>
      <c r="E1" s="43" t="s">
        <v>609</v>
      </c>
      <c r="F1" s="43" t="s">
        <v>610</v>
      </c>
      <c r="G1" s="43" t="s">
        <v>611</v>
      </c>
      <c r="H1" s="43" t="s">
        <v>612</v>
      </c>
      <c r="J1" s="446" t="s">
        <v>613</v>
      </c>
      <c r="K1" t="s">
        <v>614</v>
      </c>
      <c r="L1" t="s">
        <v>615</v>
      </c>
      <c r="M1" t="s">
        <v>616</v>
      </c>
      <c r="N1" s="42" t="s">
        <v>617</v>
      </c>
    </row>
    <row r="2" spans="1:14" x14ac:dyDescent="0.25">
      <c r="A2" s="445">
        <v>43670</v>
      </c>
      <c r="B2" s="42" t="s">
        <v>429</v>
      </c>
      <c r="C2" s="42" t="s">
        <v>618</v>
      </c>
      <c r="D2" s="42">
        <v>14</v>
      </c>
      <c r="E2" s="29">
        <f>(7+11+14+11+10+12+14+11+13+14+10)/11</f>
        <v>11.545454545454545</v>
      </c>
      <c r="F2" s="42">
        <v>7</v>
      </c>
      <c r="G2" s="42">
        <v>2</v>
      </c>
      <c r="H2" s="38">
        <f t="shared" ref="H2:H33" si="0">G2/F2</f>
        <v>0.2857142857142857</v>
      </c>
      <c r="J2" s="343">
        <v>14</v>
      </c>
      <c r="K2" s="447">
        <v>1</v>
      </c>
      <c r="L2" s="447">
        <v>7</v>
      </c>
      <c r="M2" s="447">
        <v>2</v>
      </c>
      <c r="N2" s="58">
        <f t="shared" ref="N2:N12" si="1">M2/L2</f>
        <v>0.2857142857142857</v>
      </c>
    </row>
    <row r="3" spans="1:14" x14ac:dyDescent="0.25">
      <c r="A3" s="445">
        <v>43617</v>
      </c>
      <c r="B3" s="42" t="s">
        <v>619</v>
      </c>
      <c r="C3" s="42" t="s">
        <v>429</v>
      </c>
      <c r="D3" s="42">
        <v>15</v>
      </c>
      <c r="E3" s="29">
        <f>(15+8+9+11+14+11+14+9+13+13+12)/11</f>
        <v>11.727272727272727</v>
      </c>
      <c r="F3" s="42">
        <v>9</v>
      </c>
      <c r="G3" s="42">
        <v>2</v>
      </c>
      <c r="H3" s="38">
        <f t="shared" si="0"/>
        <v>0.22222222222222221</v>
      </c>
      <c r="J3" s="343">
        <v>15</v>
      </c>
      <c r="K3" s="447">
        <v>3</v>
      </c>
      <c r="L3" s="447">
        <v>24</v>
      </c>
      <c r="M3" s="447">
        <v>8</v>
      </c>
      <c r="N3" s="58">
        <f t="shared" si="1"/>
        <v>0.33333333333333331</v>
      </c>
    </row>
    <row r="4" spans="1:14" x14ac:dyDescent="0.25">
      <c r="A4" s="445">
        <v>43684</v>
      </c>
      <c r="B4" s="42" t="s">
        <v>620</v>
      </c>
      <c r="C4" s="42" t="s">
        <v>429</v>
      </c>
      <c r="D4" s="42">
        <v>15</v>
      </c>
      <c r="E4" s="29">
        <f>(6+10+12+11+12+9+11+12+12+12+9)/11</f>
        <v>10.545454545454545</v>
      </c>
      <c r="F4" s="42">
        <v>9</v>
      </c>
      <c r="G4" s="42">
        <v>4</v>
      </c>
      <c r="H4" s="38">
        <f t="shared" si="0"/>
        <v>0.44444444444444442</v>
      </c>
      <c r="J4" s="343">
        <v>16</v>
      </c>
      <c r="K4" s="447">
        <v>20</v>
      </c>
      <c r="L4" s="447">
        <v>126</v>
      </c>
      <c r="M4" s="447">
        <v>51</v>
      </c>
      <c r="N4" s="58">
        <f t="shared" si="1"/>
        <v>0.40476190476190477</v>
      </c>
    </row>
    <row r="5" spans="1:14" x14ac:dyDescent="0.25">
      <c r="A5" s="445">
        <v>43691</v>
      </c>
      <c r="B5" s="42" t="s">
        <v>621</v>
      </c>
      <c r="C5" s="42" t="s">
        <v>429</v>
      </c>
      <c r="D5" s="42">
        <v>15</v>
      </c>
      <c r="E5" s="29">
        <f>(6+10+12+11+14+9+13+12+11+12+9)/11</f>
        <v>10.818181818181818</v>
      </c>
      <c r="F5" s="42">
        <v>6</v>
      </c>
      <c r="G5" s="42">
        <v>2</v>
      </c>
      <c r="H5" s="38">
        <f t="shared" si="0"/>
        <v>0.33333333333333331</v>
      </c>
      <c r="J5" s="343">
        <v>17</v>
      </c>
      <c r="K5" s="447">
        <v>15</v>
      </c>
      <c r="L5" s="447">
        <v>101</v>
      </c>
      <c r="M5" s="447">
        <v>38</v>
      </c>
      <c r="N5" s="58">
        <f t="shared" si="1"/>
        <v>0.37623762376237624</v>
      </c>
    </row>
    <row r="6" spans="1:14" x14ac:dyDescent="0.25">
      <c r="A6" s="445">
        <v>43680</v>
      </c>
      <c r="B6" s="42" t="s">
        <v>429</v>
      </c>
      <c r="C6" s="42" t="s">
        <v>622</v>
      </c>
      <c r="D6" s="42">
        <v>16</v>
      </c>
      <c r="E6" s="29">
        <f>(15+11+14+11+14+12+13+13+14+5+8)/11</f>
        <v>11.818181818181818</v>
      </c>
      <c r="F6" s="42">
        <v>4</v>
      </c>
      <c r="G6" s="43">
        <v>1</v>
      </c>
      <c r="H6" s="38">
        <f t="shared" si="0"/>
        <v>0.25</v>
      </c>
      <c r="J6" s="343">
        <v>18</v>
      </c>
      <c r="K6" s="447">
        <v>22</v>
      </c>
      <c r="L6" s="447">
        <v>143</v>
      </c>
      <c r="M6" s="447">
        <v>50</v>
      </c>
      <c r="N6" s="58">
        <f t="shared" si="1"/>
        <v>0.34965034965034963</v>
      </c>
    </row>
    <row r="7" spans="1:14" x14ac:dyDescent="0.25">
      <c r="A7" s="445">
        <v>43677</v>
      </c>
      <c r="B7" s="42" t="s">
        <v>623</v>
      </c>
      <c r="C7" s="42" t="s">
        <v>429</v>
      </c>
      <c r="D7" s="42">
        <v>16</v>
      </c>
      <c r="E7" s="29">
        <f>(15+9+10+8+12+8+12+13+13+9+12)/11</f>
        <v>11</v>
      </c>
      <c r="F7" s="42">
        <v>7</v>
      </c>
      <c r="G7" s="42">
        <v>3</v>
      </c>
      <c r="H7" s="38">
        <f t="shared" si="0"/>
        <v>0.42857142857142855</v>
      </c>
      <c r="J7" s="343">
        <v>19</v>
      </c>
      <c r="K7" s="447">
        <v>32</v>
      </c>
      <c r="L7" s="447">
        <v>245</v>
      </c>
      <c r="M7" s="447">
        <v>102</v>
      </c>
      <c r="N7" s="58">
        <f t="shared" si="1"/>
        <v>0.41632653061224489</v>
      </c>
    </row>
    <row r="8" spans="1:14" x14ac:dyDescent="0.25">
      <c r="A8" s="445">
        <v>43642</v>
      </c>
      <c r="B8" s="42" t="s">
        <v>429</v>
      </c>
      <c r="C8" s="42" t="s">
        <v>624</v>
      </c>
      <c r="D8" s="42">
        <v>16</v>
      </c>
      <c r="E8" s="29">
        <f t="shared" ref="E8:E19" si="2">(15+10+14+14+11+10+13+14+13+10+10)/11</f>
        <v>12.181818181818182</v>
      </c>
      <c r="F8" s="42">
        <v>9</v>
      </c>
      <c r="G8" s="42">
        <v>3</v>
      </c>
      <c r="H8" s="38">
        <f t="shared" si="0"/>
        <v>0.33333333333333331</v>
      </c>
      <c r="J8" s="343">
        <v>20</v>
      </c>
      <c r="K8" s="447">
        <v>14</v>
      </c>
      <c r="L8" s="447">
        <v>104</v>
      </c>
      <c r="M8" s="447">
        <v>42</v>
      </c>
      <c r="N8" s="58">
        <f t="shared" si="1"/>
        <v>0.40384615384615385</v>
      </c>
    </row>
    <row r="9" spans="1:14" x14ac:dyDescent="0.25">
      <c r="A9" s="445">
        <v>43641</v>
      </c>
      <c r="B9" s="42" t="s">
        <v>625</v>
      </c>
      <c r="C9" s="42" t="s">
        <v>429</v>
      </c>
      <c r="D9" s="42">
        <v>16</v>
      </c>
      <c r="E9" s="29">
        <f t="shared" si="2"/>
        <v>12.181818181818182</v>
      </c>
      <c r="F9" s="42">
        <v>6</v>
      </c>
      <c r="G9" s="42">
        <v>2</v>
      </c>
      <c r="H9" s="38">
        <f t="shared" si="0"/>
        <v>0.33333333333333331</v>
      </c>
      <c r="J9" s="343">
        <v>21</v>
      </c>
      <c r="K9" s="447">
        <v>22</v>
      </c>
      <c r="L9" s="447">
        <v>187</v>
      </c>
      <c r="M9" s="447">
        <v>81</v>
      </c>
      <c r="N9" s="58">
        <f t="shared" si="1"/>
        <v>0.43315508021390375</v>
      </c>
    </row>
    <row r="10" spans="1:14" x14ac:dyDescent="0.25">
      <c r="A10" s="445">
        <v>43641</v>
      </c>
      <c r="B10" s="42" t="s">
        <v>429</v>
      </c>
      <c r="C10" s="42" t="s">
        <v>627</v>
      </c>
      <c r="D10" s="42">
        <v>16</v>
      </c>
      <c r="E10" s="29">
        <f t="shared" si="2"/>
        <v>12.181818181818182</v>
      </c>
      <c r="F10" s="42">
        <v>4</v>
      </c>
      <c r="G10" s="42">
        <v>2</v>
      </c>
      <c r="H10" s="38">
        <f t="shared" si="0"/>
        <v>0.5</v>
      </c>
      <c r="J10" s="343">
        <v>22</v>
      </c>
      <c r="K10" s="447">
        <v>12</v>
      </c>
      <c r="L10" s="447">
        <v>92</v>
      </c>
      <c r="M10" s="447">
        <v>36</v>
      </c>
      <c r="N10" s="58">
        <f t="shared" si="1"/>
        <v>0.39130434782608697</v>
      </c>
    </row>
    <row r="11" spans="1:14" x14ac:dyDescent="0.25">
      <c r="A11" s="445">
        <v>43640</v>
      </c>
      <c r="B11" s="42" t="s">
        <v>628</v>
      </c>
      <c r="C11" s="42" t="s">
        <v>429</v>
      </c>
      <c r="D11" s="42">
        <v>16</v>
      </c>
      <c r="E11" s="29">
        <f t="shared" si="2"/>
        <v>12.181818181818182</v>
      </c>
      <c r="F11" s="42">
        <v>3</v>
      </c>
      <c r="G11" s="42">
        <v>2</v>
      </c>
      <c r="H11" s="38">
        <f t="shared" si="0"/>
        <v>0.66666666666666663</v>
      </c>
      <c r="I11" s="29"/>
      <c r="J11" s="343">
        <v>23</v>
      </c>
      <c r="K11" s="447">
        <v>27</v>
      </c>
      <c r="L11" s="447">
        <v>208</v>
      </c>
      <c r="M11" s="447">
        <v>95</v>
      </c>
      <c r="N11" s="58">
        <f t="shared" si="1"/>
        <v>0.45673076923076922</v>
      </c>
    </row>
    <row r="12" spans="1:14" x14ac:dyDescent="0.25">
      <c r="A12" s="445">
        <v>43636</v>
      </c>
      <c r="B12" s="42" t="s">
        <v>629</v>
      </c>
      <c r="C12" s="42" t="s">
        <v>429</v>
      </c>
      <c r="D12" s="42">
        <v>16</v>
      </c>
      <c r="E12" s="29">
        <f t="shared" si="2"/>
        <v>12.181818181818182</v>
      </c>
      <c r="F12" s="42">
        <v>9</v>
      </c>
      <c r="G12" s="42">
        <v>2</v>
      </c>
      <c r="H12" s="38">
        <f t="shared" si="0"/>
        <v>0.22222222222222221</v>
      </c>
      <c r="J12" s="343">
        <v>24</v>
      </c>
      <c r="K12" s="447">
        <v>16</v>
      </c>
      <c r="L12" s="447">
        <v>129</v>
      </c>
      <c r="M12" s="447">
        <v>63</v>
      </c>
      <c r="N12" s="58">
        <f t="shared" si="1"/>
        <v>0.48837209302325579</v>
      </c>
    </row>
    <row r="13" spans="1:14" x14ac:dyDescent="0.25">
      <c r="A13" s="445">
        <v>43635</v>
      </c>
      <c r="B13" s="42" t="s">
        <v>429</v>
      </c>
      <c r="C13" s="42" t="s">
        <v>630</v>
      </c>
      <c r="D13" s="42">
        <v>16</v>
      </c>
      <c r="E13" s="29">
        <f t="shared" si="2"/>
        <v>12.181818181818182</v>
      </c>
      <c r="F13" s="42">
        <v>7</v>
      </c>
      <c r="G13" s="42">
        <v>2</v>
      </c>
      <c r="H13" s="38">
        <f t="shared" si="0"/>
        <v>0.2857142857142857</v>
      </c>
      <c r="J13" s="343" t="s">
        <v>626</v>
      </c>
      <c r="K13" s="447">
        <v>184</v>
      </c>
      <c r="L13" s="447">
        <v>1366</v>
      </c>
      <c r="M13" s="447">
        <v>568</v>
      </c>
      <c r="N13" s="58"/>
    </row>
    <row r="14" spans="1:14" x14ac:dyDescent="0.25">
      <c r="A14" s="445">
        <v>43635</v>
      </c>
      <c r="B14" s="42" t="s">
        <v>429</v>
      </c>
      <c r="C14" s="42" t="s">
        <v>631</v>
      </c>
      <c r="D14" s="42">
        <v>16</v>
      </c>
      <c r="E14" s="29">
        <f t="shared" si="2"/>
        <v>12.181818181818182</v>
      </c>
      <c r="F14" s="42">
        <v>5</v>
      </c>
      <c r="G14" s="42">
        <v>2</v>
      </c>
      <c r="H14" s="38">
        <f t="shared" si="0"/>
        <v>0.4</v>
      </c>
    </row>
    <row r="15" spans="1:14" x14ac:dyDescent="0.25">
      <c r="A15" s="445">
        <v>43634</v>
      </c>
      <c r="B15" s="42" t="s">
        <v>632</v>
      </c>
      <c r="C15" s="42" t="s">
        <v>429</v>
      </c>
      <c r="D15" s="42">
        <v>16</v>
      </c>
      <c r="E15" s="29">
        <f t="shared" si="2"/>
        <v>12.181818181818182</v>
      </c>
      <c r="F15" s="42">
        <v>9</v>
      </c>
      <c r="G15" s="42">
        <v>3</v>
      </c>
      <c r="H15" s="38">
        <f t="shared" si="0"/>
        <v>0.33333333333333331</v>
      </c>
    </row>
    <row r="16" spans="1:14" x14ac:dyDescent="0.25">
      <c r="A16" s="445">
        <v>43634</v>
      </c>
      <c r="B16" s="42" t="s">
        <v>633</v>
      </c>
      <c r="C16" s="42" t="s">
        <v>429</v>
      </c>
      <c r="D16" s="42">
        <v>16</v>
      </c>
      <c r="E16" s="29">
        <f t="shared" si="2"/>
        <v>12.181818181818182</v>
      </c>
      <c r="F16" s="42">
        <v>6</v>
      </c>
      <c r="G16" s="42">
        <v>2</v>
      </c>
      <c r="H16" s="38">
        <f t="shared" si="0"/>
        <v>0.33333333333333331</v>
      </c>
    </row>
    <row r="17" spans="1:8" x14ac:dyDescent="0.25">
      <c r="A17" s="445">
        <v>43633</v>
      </c>
      <c r="B17" s="42" t="s">
        <v>429</v>
      </c>
      <c r="C17" s="42" t="s">
        <v>634</v>
      </c>
      <c r="D17" s="42">
        <v>16</v>
      </c>
      <c r="E17" s="29">
        <f t="shared" si="2"/>
        <v>12.181818181818182</v>
      </c>
      <c r="F17" s="42">
        <v>10</v>
      </c>
      <c r="G17" s="42">
        <v>3</v>
      </c>
      <c r="H17" s="38">
        <f t="shared" si="0"/>
        <v>0.3</v>
      </c>
    </row>
    <row r="18" spans="1:8" x14ac:dyDescent="0.25">
      <c r="A18" s="445">
        <v>43633</v>
      </c>
      <c r="B18" s="42" t="s">
        <v>429</v>
      </c>
      <c r="C18" s="42" t="s">
        <v>635</v>
      </c>
      <c r="D18" s="42">
        <v>16</v>
      </c>
      <c r="E18" s="29">
        <f t="shared" si="2"/>
        <v>12.181818181818182</v>
      </c>
      <c r="F18" s="42">
        <v>7</v>
      </c>
      <c r="G18" s="42">
        <v>3</v>
      </c>
      <c r="H18" s="38">
        <f t="shared" si="0"/>
        <v>0.42857142857142855</v>
      </c>
    </row>
    <row r="19" spans="1:8" x14ac:dyDescent="0.25">
      <c r="A19" s="445">
        <v>43624</v>
      </c>
      <c r="B19" s="42" t="s">
        <v>636</v>
      </c>
      <c r="C19" s="42" t="s">
        <v>429</v>
      </c>
      <c r="D19" s="42">
        <v>16</v>
      </c>
      <c r="E19" s="29">
        <f t="shared" si="2"/>
        <v>12.181818181818182</v>
      </c>
      <c r="F19" s="42">
        <v>4</v>
      </c>
      <c r="G19" s="42">
        <v>2</v>
      </c>
      <c r="H19" s="38">
        <f t="shared" si="0"/>
        <v>0.5</v>
      </c>
    </row>
    <row r="20" spans="1:8" x14ac:dyDescent="0.25">
      <c r="A20" s="445">
        <v>43617</v>
      </c>
      <c r="B20" s="42" t="s">
        <v>637</v>
      </c>
      <c r="C20" s="42" t="s">
        <v>429</v>
      </c>
      <c r="D20" s="42">
        <v>16</v>
      </c>
      <c r="E20" s="29">
        <f>(15+10+14+10+11+10+13+14+13+10+12)/11</f>
        <v>12</v>
      </c>
      <c r="F20" s="42">
        <v>5</v>
      </c>
      <c r="G20" s="42">
        <v>3</v>
      </c>
      <c r="H20" s="38">
        <f t="shared" si="0"/>
        <v>0.6</v>
      </c>
    </row>
    <row r="21" spans="1:8" x14ac:dyDescent="0.25">
      <c r="A21" s="445">
        <v>43615</v>
      </c>
      <c r="B21" s="42" t="s">
        <v>429</v>
      </c>
      <c r="C21" s="42" t="s">
        <v>638</v>
      </c>
      <c r="D21" s="42">
        <v>16</v>
      </c>
      <c r="E21" s="29">
        <f>(15+11+11+14+14+10+14+13+13+9+12)/11</f>
        <v>12.363636363636363</v>
      </c>
      <c r="F21" s="42">
        <v>9</v>
      </c>
      <c r="G21" s="42">
        <v>4</v>
      </c>
      <c r="H21" s="38">
        <f t="shared" si="0"/>
        <v>0.44444444444444442</v>
      </c>
    </row>
    <row r="22" spans="1:8" x14ac:dyDescent="0.25">
      <c r="A22" s="445">
        <v>43610</v>
      </c>
      <c r="B22" s="42" t="s">
        <v>429</v>
      </c>
      <c r="C22" s="42" t="s">
        <v>639</v>
      </c>
      <c r="D22" s="42">
        <v>16</v>
      </c>
      <c r="E22" s="29">
        <f>(15+11+11+14+14+10+14+13+13+9+9)/11</f>
        <v>12.090909090909092</v>
      </c>
      <c r="F22" s="42">
        <v>5</v>
      </c>
      <c r="G22" s="42">
        <v>3</v>
      </c>
      <c r="H22" s="38">
        <f t="shared" si="0"/>
        <v>0.6</v>
      </c>
    </row>
    <row r="23" spans="1:8" x14ac:dyDescent="0.25">
      <c r="A23" s="445">
        <v>43602</v>
      </c>
      <c r="B23" s="42" t="s">
        <v>640</v>
      </c>
      <c r="C23" s="42" t="s">
        <v>429</v>
      </c>
      <c r="D23" s="42">
        <v>16</v>
      </c>
      <c r="E23" s="29">
        <f>(15+11+11+14+14+10+14+13+13+9+9)/11</f>
        <v>12.090909090909092</v>
      </c>
      <c r="F23" s="42">
        <v>6</v>
      </c>
      <c r="G23" s="42">
        <v>3</v>
      </c>
      <c r="H23" s="38">
        <f t="shared" si="0"/>
        <v>0.5</v>
      </c>
    </row>
    <row r="24" spans="1:8" x14ac:dyDescent="0.25">
      <c r="A24" s="445">
        <v>43550</v>
      </c>
      <c r="B24" s="42" t="s">
        <v>641</v>
      </c>
      <c r="C24" s="42" t="s">
        <v>429</v>
      </c>
      <c r="D24" s="42">
        <v>16</v>
      </c>
      <c r="E24" s="29">
        <f>(15+8+9+11+14+11+14+9+13+13+12)/11</f>
        <v>11.727272727272727</v>
      </c>
      <c r="F24" s="42">
        <v>4</v>
      </c>
      <c r="G24" s="42">
        <v>2</v>
      </c>
      <c r="H24" s="38">
        <f t="shared" si="0"/>
        <v>0.5</v>
      </c>
    </row>
    <row r="25" spans="1:8" x14ac:dyDescent="0.25">
      <c r="A25" s="445">
        <v>43644</v>
      </c>
      <c r="B25" s="42" t="s">
        <v>429</v>
      </c>
      <c r="C25" s="42" t="s">
        <v>642</v>
      </c>
      <c r="D25" s="42">
        <v>17</v>
      </c>
      <c r="E25" s="29">
        <f>(15+10+10+14+11+10+13+14+13+10+10)/11</f>
        <v>11.818181818181818</v>
      </c>
      <c r="F25" s="42">
        <v>10</v>
      </c>
      <c r="G25" s="42">
        <v>4</v>
      </c>
      <c r="H25" s="38">
        <f t="shared" si="0"/>
        <v>0.4</v>
      </c>
    </row>
    <row r="26" spans="1:8" x14ac:dyDescent="0.25">
      <c r="A26" s="445">
        <v>43643</v>
      </c>
      <c r="B26" s="42" t="s">
        <v>643</v>
      </c>
      <c r="C26" s="42" t="s">
        <v>429</v>
      </c>
      <c r="D26" s="42">
        <v>17</v>
      </c>
      <c r="E26" s="29">
        <f t="shared" ref="E26:E31" si="3">(15+10+14+14+11+10+13+14+13+10+10)/11</f>
        <v>12.181818181818182</v>
      </c>
      <c r="F26" s="42">
        <v>4</v>
      </c>
      <c r="G26" s="42">
        <v>2</v>
      </c>
      <c r="H26" s="38">
        <f t="shared" si="0"/>
        <v>0.5</v>
      </c>
    </row>
    <row r="27" spans="1:8" x14ac:dyDescent="0.25">
      <c r="A27" s="445">
        <v>43643</v>
      </c>
      <c r="B27" s="42" t="s">
        <v>429</v>
      </c>
      <c r="C27" s="42" t="s">
        <v>644</v>
      </c>
      <c r="D27" s="42">
        <v>17</v>
      </c>
      <c r="E27" s="29">
        <f t="shared" si="3"/>
        <v>12.181818181818182</v>
      </c>
      <c r="F27" s="42">
        <v>6</v>
      </c>
      <c r="G27" s="42">
        <v>1</v>
      </c>
      <c r="H27" s="38">
        <f t="shared" si="0"/>
        <v>0.16666666666666666</v>
      </c>
    </row>
    <row r="28" spans="1:8" x14ac:dyDescent="0.25">
      <c r="A28" s="445">
        <v>43643</v>
      </c>
      <c r="B28" s="42" t="s">
        <v>645</v>
      </c>
      <c r="C28" s="42" t="s">
        <v>429</v>
      </c>
      <c r="D28" s="42">
        <v>17</v>
      </c>
      <c r="E28" s="29">
        <f t="shared" si="3"/>
        <v>12.181818181818182</v>
      </c>
      <c r="F28" s="42">
        <v>7</v>
      </c>
      <c r="G28" s="42">
        <v>3</v>
      </c>
      <c r="H28" s="38">
        <f t="shared" si="0"/>
        <v>0.42857142857142855</v>
      </c>
    </row>
    <row r="29" spans="1:8" x14ac:dyDescent="0.25">
      <c r="A29" s="445">
        <v>43642</v>
      </c>
      <c r="B29" s="42" t="s">
        <v>646</v>
      </c>
      <c r="C29" s="42" t="s">
        <v>429</v>
      </c>
      <c r="D29" s="42">
        <v>17</v>
      </c>
      <c r="E29" s="29">
        <f t="shared" si="3"/>
        <v>12.181818181818182</v>
      </c>
      <c r="F29" s="42">
        <v>7</v>
      </c>
      <c r="G29" s="42">
        <v>1</v>
      </c>
      <c r="H29" s="38">
        <f t="shared" si="0"/>
        <v>0.14285714285714285</v>
      </c>
    </row>
    <row r="30" spans="1:8" x14ac:dyDescent="0.25">
      <c r="A30" s="445">
        <v>43641</v>
      </c>
      <c r="B30" s="42" t="s">
        <v>429</v>
      </c>
      <c r="C30" s="42" t="s">
        <v>647</v>
      </c>
      <c r="D30" s="42">
        <v>17</v>
      </c>
      <c r="E30" s="29">
        <f t="shared" si="3"/>
        <v>12.181818181818182</v>
      </c>
      <c r="F30" s="42">
        <v>8</v>
      </c>
      <c r="G30" s="42">
        <v>3</v>
      </c>
      <c r="H30" s="38">
        <f t="shared" si="0"/>
        <v>0.375</v>
      </c>
    </row>
    <row r="31" spans="1:8" x14ac:dyDescent="0.25">
      <c r="A31" s="445">
        <v>43636</v>
      </c>
      <c r="B31" s="42" t="s">
        <v>648</v>
      </c>
      <c r="C31" s="42" t="s">
        <v>429</v>
      </c>
      <c r="D31" s="42">
        <v>17</v>
      </c>
      <c r="E31" s="29">
        <f t="shared" si="3"/>
        <v>12.181818181818182</v>
      </c>
      <c r="F31" s="42">
        <v>8</v>
      </c>
      <c r="G31" s="42">
        <v>3</v>
      </c>
      <c r="H31" s="38">
        <f t="shared" si="0"/>
        <v>0.375</v>
      </c>
    </row>
    <row r="32" spans="1:8" x14ac:dyDescent="0.25">
      <c r="A32" s="445">
        <v>43603</v>
      </c>
      <c r="B32" s="42" t="s">
        <v>649</v>
      </c>
      <c r="C32" s="42" t="s">
        <v>429</v>
      </c>
      <c r="D32" s="42">
        <v>17</v>
      </c>
      <c r="E32" s="29">
        <f>(15+11+11+14+14+10+14+13+13+9+9)/11</f>
        <v>12.090909090909092</v>
      </c>
      <c r="F32" s="42">
        <v>9</v>
      </c>
      <c r="G32" s="42">
        <v>5</v>
      </c>
      <c r="H32" s="38">
        <f t="shared" si="0"/>
        <v>0.55555555555555558</v>
      </c>
    </row>
    <row r="33" spans="1:8" x14ac:dyDescent="0.25">
      <c r="A33" s="445">
        <v>43596</v>
      </c>
      <c r="B33" s="42" t="s">
        <v>429</v>
      </c>
      <c r="C33" s="42" t="s">
        <v>622</v>
      </c>
      <c r="D33" s="42">
        <v>17</v>
      </c>
      <c r="E33" s="29">
        <f>(15+11+11+14+14+10+14+13+13+9+9)/11</f>
        <v>12.090909090909092</v>
      </c>
      <c r="F33" s="42">
        <v>6</v>
      </c>
      <c r="G33" s="42">
        <v>1</v>
      </c>
      <c r="H33" s="38">
        <f t="shared" si="0"/>
        <v>0.16666666666666666</v>
      </c>
    </row>
    <row r="34" spans="1:8" x14ac:dyDescent="0.25">
      <c r="A34" s="445">
        <v>43589</v>
      </c>
      <c r="B34" s="42" t="s">
        <v>650</v>
      </c>
      <c r="C34" s="42" t="s">
        <v>429</v>
      </c>
      <c r="D34" s="42">
        <v>17</v>
      </c>
      <c r="E34" s="29">
        <f>(15+11+11+14+14+10+14+11+13+9+9)/11</f>
        <v>11.909090909090908</v>
      </c>
      <c r="F34" s="42">
        <v>8</v>
      </c>
      <c r="G34" s="42">
        <v>4</v>
      </c>
      <c r="H34" s="38">
        <f t="shared" ref="H34:H65" si="4">G34/F34</f>
        <v>0.5</v>
      </c>
    </row>
    <row r="35" spans="1:8" x14ac:dyDescent="0.25">
      <c r="A35" s="445">
        <v>43547</v>
      </c>
      <c r="B35" s="42" t="s">
        <v>429</v>
      </c>
      <c r="C35" s="42" t="s">
        <v>636</v>
      </c>
      <c r="D35" s="42">
        <v>17</v>
      </c>
      <c r="E35" s="29">
        <f>(15+11+14+11+14+10+13+11+14+9+9)/11</f>
        <v>11.909090909090908</v>
      </c>
      <c r="F35" s="42">
        <v>5</v>
      </c>
      <c r="G35" s="42">
        <v>1</v>
      </c>
      <c r="H35" s="38">
        <f t="shared" si="4"/>
        <v>0.2</v>
      </c>
    </row>
    <row r="36" spans="1:8" x14ac:dyDescent="0.25">
      <c r="A36" s="445">
        <v>43540</v>
      </c>
      <c r="B36" s="42" t="s">
        <v>651</v>
      </c>
      <c r="C36" s="42" t="s">
        <v>429</v>
      </c>
      <c r="D36" s="42">
        <v>17</v>
      </c>
      <c r="E36" s="29">
        <f>(15+8+9+11+14+11+14+9+13+13+12)/11</f>
        <v>11.727272727272727</v>
      </c>
      <c r="F36" s="42">
        <v>7</v>
      </c>
      <c r="G36" s="42">
        <v>3</v>
      </c>
      <c r="H36" s="38">
        <f t="shared" si="4"/>
        <v>0.42857142857142855</v>
      </c>
    </row>
    <row r="37" spans="1:8" x14ac:dyDescent="0.25">
      <c r="A37" s="445">
        <v>43537</v>
      </c>
      <c r="B37" s="42" t="s">
        <v>652</v>
      </c>
      <c r="C37" s="42" t="s">
        <v>429</v>
      </c>
      <c r="D37" s="42">
        <v>17</v>
      </c>
      <c r="E37" s="29">
        <f>(15+8+9+11+14+11+14+9+13+13+12)/11</f>
        <v>11.727272727272727</v>
      </c>
      <c r="F37" s="42">
        <v>7</v>
      </c>
      <c r="G37" s="42">
        <v>4</v>
      </c>
      <c r="H37" s="38">
        <f t="shared" si="4"/>
        <v>0.5714285714285714</v>
      </c>
    </row>
    <row r="38" spans="1:8" x14ac:dyDescent="0.25">
      <c r="A38" s="445">
        <v>43704</v>
      </c>
      <c r="B38" s="42" t="s">
        <v>429</v>
      </c>
      <c r="C38" s="42" t="s">
        <v>653</v>
      </c>
      <c r="D38" s="42">
        <v>18</v>
      </c>
      <c r="E38" s="29">
        <f>(15+12+15+11+12+12+13+13+14+12+9)/11</f>
        <v>12.545454545454545</v>
      </c>
      <c r="F38" s="42">
        <v>4</v>
      </c>
      <c r="G38" s="42">
        <v>1</v>
      </c>
      <c r="H38" s="38">
        <f t="shared" si="4"/>
        <v>0.25</v>
      </c>
    </row>
    <row r="39" spans="1:8" x14ac:dyDescent="0.25">
      <c r="A39" s="445">
        <v>43656</v>
      </c>
      <c r="B39" s="42" t="s">
        <v>654</v>
      </c>
      <c r="C39" s="42" t="s">
        <v>429</v>
      </c>
      <c r="D39" s="42">
        <v>18</v>
      </c>
      <c r="E39" s="29">
        <f>(12+10+14+13+14+10+12+10+14+10+15)/11</f>
        <v>12.181818181818182</v>
      </c>
      <c r="F39" s="42">
        <v>6</v>
      </c>
      <c r="G39" s="42">
        <v>2</v>
      </c>
      <c r="H39" s="38">
        <f t="shared" si="4"/>
        <v>0.33333333333333331</v>
      </c>
    </row>
    <row r="40" spans="1:8" x14ac:dyDescent="0.25">
      <c r="A40" s="445">
        <v>43656</v>
      </c>
      <c r="B40" s="42" t="s">
        <v>429</v>
      </c>
      <c r="C40" s="42" t="s">
        <v>655</v>
      </c>
      <c r="D40" s="42">
        <v>18</v>
      </c>
      <c r="E40" s="29">
        <f>(15+10+14+10+12+10+14+13+12+10+12)/11</f>
        <v>12</v>
      </c>
      <c r="F40" s="42">
        <v>3</v>
      </c>
      <c r="G40" s="42">
        <v>1</v>
      </c>
      <c r="H40" s="38">
        <f t="shared" si="4"/>
        <v>0.33333333333333331</v>
      </c>
    </row>
    <row r="41" spans="1:8" x14ac:dyDescent="0.25">
      <c r="A41" s="445">
        <v>43655</v>
      </c>
      <c r="B41" s="42" t="s">
        <v>429</v>
      </c>
      <c r="C41" s="42" t="s">
        <v>656</v>
      </c>
      <c r="D41" s="42">
        <v>18</v>
      </c>
      <c r="E41" s="29">
        <f>(15+10+14+10+12+10+14+13+14+10+9)/11</f>
        <v>11.909090909090908</v>
      </c>
      <c r="F41" s="42">
        <v>5</v>
      </c>
      <c r="G41" s="42">
        <v>1</v>
      </c>
      <c r="H41" s="38">
        <f t="shared" si="4"/>
        <v>0.2</v>
      </c>
    </row>
    <row r="42" spans="1:8" x14ac:dyDescent="0.25">
      <c r="A42" s="445">
        <v>43582</v>
      </c>
      <c r="B42" s="42" t="s">
        <v>429</v>
      </c>
      <c r="C42" s="42" t="s">
        <v>650</v>
      </c>
      <c r="D42" s="42">
        <v>18</v>
      </c>
      <c r="E42" s="29">
        <f>(15+11+11+14+14+10+14+11+13+9+9)/11</f>
        <v>11.909090909090908</v>
      </c>
      <c r="F42" s="42">
        <v>7</v>
      </c>
      <c r="G42" s="42">
        <v>2</v>
      </c>
      <c r="H42" s="38">
        <f t="shared" si="4"/>
        <v>0.2857142857142857</v>
      </c>
    </row>
    <row r="43" spans="1:8" x14ac:dyDescent="0.25">
      <c r="A43" s="445">
        <v>43575</v>
      </c>
      <c r="B43" s="42" t="s">
        <v>622</v>
      </c>
      <c r="C43" s="42" t="s">
        <v>429</v>
      </c>
      <c r="D43" s="42">
        <v>18</v>
      </c>
      <c r="E43" s="29">
        <f>(15+11+11+14+14+10+14+11+13+9+9)/11</f>
        <v>11.909090909090908</v>
      </c>
      <c r="F43" s="42">
        <v>9</v>
      </c>
      <c r="G43" s="42">
        <v>3</v>
      </c>
      <c r="H43" s="38">
        <f t="shared" si="4"/>
        <v>0.33333333333333331</v>
      </c>
    </row>
    <row r="44" spans="1:8" x14ac:dyDescent="0.25">
      <c r="A44" s="445">
        <v>43568</v>
      </c>
      <c r="B44" s="42" t="s">
        <v>429</v>
      </c>
      <c r="C44" s="42" t="s">
        <v>649</v>
      </c>
      <c r="D44" s="42">
        <v>18</v>
      </c>
      <c r="E44" s="29">
        <f>(15+11+11+14+14+10+14+11+13+9+9)/11</f>
        <v>11.909090909090908</v>
      </c>
      <c r="F44" s="42">
        <v>8</v>
      </c>
      <c r="G44" s="42">
        <v>3</v>
      </c>
      <c r="H44" s="38">
        <f t="shared" si="4"/>
        <v>0.375</v>
      </c>
    </row>
    <row r="45" spans="1:8" x14ac:dyDescent="0.25">
      <c r="A45" s="445">
        <v>43561</v>
      </c>
      <c r="B45" s="42" t="s">
        <v>639</v>
      </c>
      <c r="C45" s="42" t="s">
        <v>429</v>
      </c>
      <c r="D45" s="42">
        <v>18</v>
      </c>
      <c r="E45" s="29">
        <f>(15+11+11+14+14+10+14+11+13+9+9)/11</f>
        <v>11.909090909090908</v>
      </c>
      <c r="F45" s="42">
        <v>8</v>
      </c>
      <c r="G45" s="42">
        <v>3</v>
      </c>
      <c r="H45" s="38">
        <f t="shared" si="4"/>
        <v>0.375</v>
      </c>
    </row>
    <row r="46" spans="1:8" x14ac:dyDescent="0.25">
      <c r="A46" s="445">
        <v>43554</v>
      </c>
      <c r="B46" s="42" t="s">
        <v>429</v>
      </c>
      <c r="C46" s="42" t="s">
        <v>637</v>
      </c>
      <c r="D46" s="42">
        <v>18</v>
      </c>
      <c r="E46" s="29">
        <f>(15+11+14+11+14+10+13+11+14+9+9)/11</f>
        <v>11.909090909090908</v>
      </c>
      <c r="F46" s="42">
        <v>6</v>
      </c>
      <c r="G46" s="42">
        <v>1</v>
      </c>
      <c r="H46" s="38">
        <f t="shared" si="4"/>
        <v>0.16666666666666666</v>
      </c>
    </row>
    <row r="47" spans="1:8" x14ac:dyDescent="0.25">
      <c r="A47" s="445">
        <v>43687</v>
      </c>
      <c r="B47" s="42" t="s">
        <v>657</v>
      </c>
      <c r="C47" s="42" t="s">
        <v>429</v>
      </c>
      <c r="D47" s="42">
        <v>18</v>
      </c>
      <c r="E47" s="29">
        <f>(15+12+13+11+14+12+13+13+14+9+12)/11</f>
        <v>12.545454545454545</v>
      </c>
      <c r="F47" s="42">
        <v>5</v>
      </c>
      <c r="G47" s="42">
        <v>1</v>
      </c>
      <c r="H47" s="38">
        <f t="shared" si="4"/>
        <v>0.2</v>
      </c>
    </row>
    <row r="48" spans="1:8" x14ac:dyDescent="0.25">
      <c r="A48" s="445">
        <v>43701</v>
      </c>
      <c r="B48" s="42" t="s">
        <v>429</v>
      </c>
      <c r="C48" s="42" t="s">
        <v>658</v>
      </c>
      <c r="D48" s="42">
        <v>18</v>
      </c>
      <c r="E48" s="29">
        <f>(15+12+15+12+12+12+13+13+11+14+12)/11</f>
        <v>12.818181818181818</v>
      </c>
      <c r="F48" s="42">
        <v>8</v>
      </c>
      <c r="G48" s="42">
        <v>3</v>
      </c>
      <c r="H48" s="38">
        <f t="shared" si="4"/>
        <v>0.375</v>
      </c>
    </row>
    <row r="49" spans="1:8" x14ac:dyDescent="0.25">
      <c r="A49" s="445">
        <v>43666</v>
      </c>
      <c r="B49" s="42" t="s">
        <v>636</v>
      </c>
      <c r="C49" s="42" t="s">
        <v>429</v>
      </c>
      <c r="D49" s="42">
        <v>19</v>
      </c>
      <c r="E49" s="29">
        <f>(15+9+9+12+10+14+12+10+13+12+10)/11</f>
        <v>11.454545454545455</v>
      </c>
      <c r="F49" s="42">
        <v>5</v>
      </c>
      <c r="G49" s="42">
        <v>2</v>
      </c>
      <c r="H49" s="38">
        <f t="shared" si="4"/>
        <v>0.4</v>
      </c>
    </row>
    <row r="50" spans="1:8" x14ac:dyDescent="0.25">
      <c r="A50" s="445">
        <v>43657</v>
      </c>
      <c r="B50" s="42" t="s">
        <v>429</v>
      </c>
      <c r="C50" s="42" t="s">
        <v>659</v>
      </c>
      <c r="D50" s="42">
        <v>19</v>
      </c>
      <c r="E50" s="29">
        <f>(15+10+14+10+12+10+14+13+14+10+9)/11</f>
        <v>11.909090909090908</v>
      </c>
      <c r="F50" s="42">
        <v>12</v>
      </c>
      <c r="G50" s="42">
        <v>5</v>
      </c>
      <c r="H50" s="38">
        <f t="shared" si="4"/>
        <v>0.41666666666666669</v>
      </c>
    </row>
    <row r="51" spans="1:8" x14ac:dyDescent="0.25">
      <c r="A51" s="445">
        <v>43652</v>
      </c>
      <c r="B51" s="42" t="s">
        <v>429</v>
      </c>
      <c r="C51" s="42" t="s">
        <v>660</v>
      </c>
      <c r="D51" s="42">
        <v>19</v>
      </c>
      <c r="E51" s="29">
        <f>(15+10+14+10+12+10+14+13+14+10+9)/11</f>
        <v>11.909090909090908</v>
      </c>
      <c r="F51" s="42">
        <v>9</v>
      </c>
      <c r="G51" s="42">
        <v>5</v>
      </c>
      <c r="H51" s="38">
        <f t="shared" si="4"/>
        <v>0.55555555555555558</v>
      </c>
    </row>
    <row r="52" spans="1:8" x14ac:dyDescent="0.25">
      <c r="A52" s="445">
        <v>43677</v>
      </c>
      <c r="B52" s="42" t="s">
        <v>429</v>
      </c>
      <c r="C52" s="42" t="s">
        <v>661</v>
      </c>
      <c r="D52" s="42">
        <v>20</v>
      </c>
      <c r="E52" s="29">
        <f>(15+11+14+10+12+12+13+13+14+12+9)/11</f>
        <v>12.272727272727273</v>
      </c>
      <c r="F52" s="42">
        <v>6</v>
      </c>
      <c r="G52" s="42">
        <v>2</v>
      </c>
      <c r="H52" s="38">
        <f t="shared" si="4"/>
        <v>0.33333333333333331</v>
      </c>
    </row>
    <row r="53" spans="1:8" x14ac:dyDescent="0.25">
      <c r="A53" s="445">
        <v>43672</v>
      </c>
      <c r="B53" s="42" t="s">
        <v>662</v>
      </c>
      <c r="C53" s="42" t="s">
        <v>429</v>
      </c>
      <c r="D53" s="42">
        <v>20</v>
      </c>
      <c r="E53" s="29">
        <f>(15+12+12+10+14+10+13+13+14+10+12)/11</f>
        <v>12.272727272727273</v>
      </c>
      <c r="F53" s="42">
        <v>5</v>
      </c>
      <c r="G53" s="42">
        <v>3</v>
      </c>
      <c r="H53" s="38">
        <f t="shared" si="4"/>
        <v>0.6</v>
      </c>
    </row>
    <row r="54" spans="1:8" x14ac:dyDescent="0.25">
      <c r="A54" s="445">
        <v>43663</v>
      </c>
      <c r="B54" s="42" t="s">
        <v>429</v>
      </c>
      <c r="C54" s="42" t="s">
        <v>663</v>
      </c>
      <c r="D54" s="42">
        <v>20</v>
      </c>
      <c r="E54" s="29">
        <f>(15+12+14.5+10+12+11+14+13+14+9+12)/11</f>
        <v>12.409090909090908</v>
      </c>
      <c r="F54" s="42">
        <v>7</v>
      </c>
      <c r="G54" s="42">
        <v>4</v>
      </c>
      <c r="H54" s="38">
        <f t="shared" si="4"/>
        <v>0.5714285714285714</v>
      </c>
    </row>
    <row r="55" spans="1:8" x14ac:dyDescent="0.25">
      <c r="A55" s="445">
        <v>43708</v>
      </c>
      <c r="B55" s="42" t="s">
        <v>429</v>
      </c>
      <c r="C55" s="42" t="s">
        <v>664</v>
      </c>
      <c r="D55" s="42">
        <v>17</v>
      </c>
      <c r="E55" s="29">
        <f>(15+11+15+11+13+12+13+14+13+9+12)/11</f>
        <v>12.545454545454545</v>
      </c>
      <c r="F55" s="42">
        <v>4</v>
      </c>
      <c r="G55" s="42">
        <v>2</v>
      </c>
      <c r="H55" s="38">
        <f t="shared" si="4"/>
        <v>0.5</v>
      </c>
    </row>
    <row r="56" spans="1:8" x14ac:dyDescent="0.25">
      <c r="A56" s="445">
        <v>43711</v>
      </c>
      <c r="B56" s="42" t="s">
        <v>665</v>
      </c>
      <c r="C56" s="42" t="s">
        <v>429</v>
      </c>
      <c r="D56" s="42">
        <v>16</v>
      </c>
      <c r="E56" s="29">
        <f>(15+11+15+13+13+12+14+13+13+9+12)/11</f>
        <v>12.727272727272727</v>
      </c>
      <c r="F56" s="42">
        <v>7</v>
      </c>
      <c r="G56" s="42">
        <v>4</v>
      </c>
      <c r="H56" s="38">
        <f t="shared" si="4"/>
        <v>0.5714285714285714</v>
      </c>
    </row>
    <row r="57" spans="1:8" x14ac:dyDescent="0.25">
      <c r="A57" s="445">
        <v>43713</v>
      </c>
      <c r="B57" s="42" t="s">
        <v>429</v>
      </c>
      <c r="C57" s="42" t="s">
        <v>666</v>
      </c>
      <c r="D57" s="42">
        <v>19</v>
      </c>
      <c r="E57" s="29">
        <f>(15+12+15+13+13+12+13+13+14+12+12)/11</f>
        <v>13.090909090909092</v>
      </c>
      <c r="F57" s="42">
        <v>10</v>
      </c>
      <c r="G57" s="42">
        <v>3</v>
      </c>
      <c r="H57" s="38">
        <f t="shared" si="4"/>
        <v>0.3</v>
      </c>
    </row>
    <row r="58" spans="1:8" x14ac:dyDescent="0.25">
      <c r="A58" s="445">
        <v>43713</v>
      </c>
      <c r="B58" s="42" t="s">
        <v>429</v>
      </c>
      <c r="C58" s="42" t="s">
        <v>667</v>
      </c>
      <c r="D58" s="42">
        <v>18</v>
      </c>
      <c r="E58" s="29">
        <f>(15+12+15+13+13+12+13+13+14+12+12)/11</f>
        <v>13.090909090909092</v>
      </c>
      <c r="F58" s="42">
        <v>4</v>
      </c>
      <c r="G58" s="42">
        <v>2</v>
      </c>
      <c r="H58" s="38">
        <f t="shared" si="4"/>
        <v>0.5</v>
      </c>
    </row>
    <row r="59" spans="1:8" x14ac:dyDescent="0.25">
      <c r="A59" s="445">
        <v>43715</v>
      </c>
      <c r="B59" s="42" t="s">
        <v>622</v>
      </c>
      <c r="C59" s="42" t="s">
        <v>429</v>
      </c>
      <c r="D59" s="42">
        <v>19</v>
      </c>
      <c r="E59" s="29">
        <f>(15+12+15+13+13+12+13+13+14+12+9)/11</f>
        <v>12.818181818181818</v>
      </c>
      <c r="F59" s="42">
        <v>7</v>
      </c>
      <c r="G59" s="42">
        <v>4</v>
      </c>
      <c r="H59" s="38">
        <f t="shared" si="4"/>
        <v>0.5714285714285714</v>
      </c>
    </row>
    <row r="60" spans="1:8" x14ac:dyDescent="0.25">
      <c r="A60" s="445">
        <v>43717</v>
      </c>
      <c r="B60" s="42" t="s">
        <v>429</v>
      </c>
      <c r="C60" s="42" t="s">
        <v>668</v>
      </c>
      <c r="D60" s="42">
        <v>18</v>
      </c>
      <c r="E60" s="29">
        <f>(15+10+14+10+12+10+14+13+14+10+9)/11</f>
        <v>11.909090909090908</v>
      </c>
      <c r="F60" s="42">
        <v>6</v>
      </c>
      <c r="G60" s="42">
        <v>3</v>
      </c>
      <c r="H60" s="38">
        <f t="shared" si="4"/>
        <v>0.5</v>
      </c>
    </row>
    <row r="61" spans="1:8" x14ac:dyDescent="0.25">
      <c r="A61" s="445">
        <v>43719</v>
      </c>
      <c r="B61" s="42" t="s">
        <v>669</v>
      </c>
      <c r="C61" s="42" t="s">
        <v>429</v>
      </c>
      <c r="D61" s="42">
        <v>18</v>
      </c>
      <c r="E61" s="29">
        <f>(15+12+15+13+13+12+13+13+14+12+12)/11</f>
        <v>13.090909090909092</v>
      </c>
      <c r="F61" s="42">
        <v>4</v>
      </c>
      <c r="G61" s="42">
        <v>1</v>
      </c>
      <c r="H61" s="38">
        <f t="shared" si="4"/>
        <v>0.25</v>
      </c>
    </row>
    <row r="62" spans="1:8" x14ac:dyDescent="0.25">
      <c r="A62" s="445">
        <v>43722</v>
      </c>
      <c r="B62" s="42" t="s">
        <v>651</v>
      </c>
      <c r="C62" s="42" t="s">
        <v>429</v>
      </c>
      <c r="D62" s="42">
        <v>18</v>
      </c>
      <c r="E62" s="29">
        <f>(15+12+12+13+13+12+5+14+12+12+13)/11</f>
        <v>12.090909090909092</v>
      </c>
      <c r="F62" s="42">
        <v>3</v>
      </c>
      <c r="G62" s="42">
        <v>1</v>
      </c>
      <c r="H62" s="38">
        <f t="shared" si="4"/>
        <v>0.33333333333333331</v>
      </c>
    </row>
    <row r="63" spans="1:8" x14ac:dyDescent="0.25">
      <c r="A63" s="445">
        <v>43724</v>
      </c>
      <c r="B63" s="42" t="s">
        <v>429</v>
      </c>
      <c r="C63" s="42" t="s">
        <v>670</v>
      </c>
      <c r="D63" s="42">
        <v>19</v>
      </c>
      <c r="E63" s="29">
        <f>(13+12+15+13+15+13+13+13+13+9+12)/11</f>
        <v>12.818181818181818</v>
      </c>
      <c r="F63" s="42">
        <v>6</v>
      </c>
      <c r="G63" s="42">
        <v>2</v>
      </c>
      <c r="H63" s="38">
        <f t="shared" si="4"/>
        <v>0.33333333333333331</v>
      </c>
    </row>
    <row r="64" spans="1:8" x14ac:dyDescent="0.25">
      <c r="A64" s="445">
        <v>43731</v>
      </c>
      <c r="B64" s="42" t="s">
        <v>671</v>
      </c>
      <c r="C64" s="42" t="s">
        <v>429</v>
      </c>
      <c r="D64" s="42">
        <v>18</v>
      </c>
      <c r="E64" s="29">
        <f>(15+12+13+13+15+12+14+13+13+12+9)/11</f>
        <v>12.818181818181818</v>
      </c>
      <c r="F64" s="42">
        <v>9</v>
      </c>
      <c r="G64" s="42">
        <v>4</v>
      </c>
      <c r="H64" s="38">
        <f t="shared" si="4"/>
        <v>0.44444444444444442</v>
      </c>
    </row>
    <row r="65" spans="1:8" x14ac:dyDescent="0.25">
      <c r="A65" s="445">
        <v>43736</v>
      </c>
      <c r="B65" s="42" t="s">
        <v>672</v>
      </c>
      <c r="C65" s="42" t="s">
        <v>429</v>
      </c>
      <c r="D65" s="42">
        <v>19</v>
      </c>
      <c r="E65" s="29">
        <f>(15+15+13+13+15+13+13+13+13+5+12)/11</f>
        <v>12.727272727272727</v>
      </c>
      <c r="F65" s="42">
        <v>4</v>
      </c>
      <c r="G65" s="42">
        <v>2</v>
      </c>
      <c r="H65" s="38">
        <f t="shared" si="4"/>
        <v>0.5</v>
      </c>
    </row>
    <row r="66" spans="1:8" x14ac:dyDescent="0.25">
      <c r="A66" s="445">
        <v>43738</v>
      </c>
      <c r="B66" s="42" t="s">
        <v>429</v>
      </c>
      <c r="C66" s="42" t="s">
        <v>673</v>
      </c>
      <c r="D66" s="42">
        <v>19</v>
      </c>
      <c r="E66" s="29">
        <f>(15+15+13+13+15+13+13+13+13+9+12)/11</f>
        <v>13.090909090909092</v>
      </c>
      <c r="F66" s="42">
        <v>9</v>
      </c>
      <c r="G66" s="42">
        <v>5</v>
      </c>
      <c r="H66" s="38">
        <f t="shared" ref="H66:H185" si="5">G66/F66</f>
        <v>0.55555555555555558</v>
      </c>
    </row>
    <row r="67" spans="1:8" x14ac:dyDescent="0.25">
      <c r="A67" s="445">
        <v>43739</v>
      </c>
      <c r="B67" s="42" t="s">
        <v>674</v>
      </c>
      <c r="C67" s="42" t="s">
        <v>429</v>
      </c>
      <c r="D67" s="42">
        <v>18</v>
      </c>
      <c r="E67" s="29">
        <f t="shared" ref="E67:E73" si="6">(15+13+13+13+15+12+14+13+13+12+12)/11</f>
        <v>13.181818181818182</v>
      </c>
      <c r="F67" s="42">
        <v>7</v>
      </c>
      <c r="G67" s="42">
        <v>3</v>
      </c>
      <c r="H67" s="38">
        <f t="shared" si="5"/>
        <v>0.42857142857142855</v>
      </c>
    </row>
    <row r="68" spans="1:8" x14ac:dyDescent="0.25">
      <c r="A68" s="445">
        <v>43742</v>
      </c>
      <c r="B68" s="42" t="s">
        <v>429</v>
      </c>
      <c r="C68" s="42" t="s">
        <v>675</v>
      </c>
      <c r="D68" s="42">
        <v>19</v>
      </c>
      <c r="E68" s="29">
        <f t="shared" si="6"/>
        <v>13.181818181818182</v>
      </c>
      <c r="F68" s="42">
        <v>6</v>
      </c>
      <c r="G68" s="42">
        <v>3</v>
      </c>
      <c r="H68" s="38">
        <f t="shared" si="5"/>
        <v>0.5</v>
      </c>
    </row>
    <row r="69" spans="1:8" x14ac:dyDescent="0.25">
      <c r="A69" s="445">
        <v>43743</v>
      </c>
      <c r="B69" s="42" t="s">
        <v>674</v>
      </c>
      <c r="C69" s="42" t="s">
        <v>429</v>
      </c>
      <c r="D69" s="42">
        <v>18</v>
      </c>
      <c r="E69" s="29">
        <f t="shared" si="6"/>
        <v>13.181818181818182</v>
      </c>
      <c r="F69" s="42">
        <v>10</v>
      </c>
      <c r="G69" s="42">
        <v>3</v>
      </c>
      <c r="H69" s="38">
        <f t="shared" si="5"/>
        <v>0.3</v>
      </c>
    </row>
    <row r="70" spans="1:8" x14ac:dyDescent="0.25">
      <c r="A70" s="445">
        <v>43745</v>
      </c>
      <c r="B70" s="42" t="s">
        <v>676</v>
      </c>
      <c r="C70" s="42" t="s">
        <v>429</v>
      </c>
      <c r="D70" s="42">
        <v>19</v>
      </c>
      <c r="E70" s="29">
        <f t="shared" si="6"/>
        <v>13.181818181818182</v>
      </c>
      <c r="F70" s="42">
        <v>7</v>
      </c>
      <c r="G70" s="42">
        <v>4</v>
      </c>
      <c r="H70" s="38">
        <f t="shared" si="5"/>
        <v>0.5714285714285714</v>
      </c>
    </row>
    <row r="71" spans="1:8" x14ac:dyDescent="0.25">
      <c r="A71" s="445">
        <v>43745</v>
      </c>
      <c r="B71" s="42" t="s">
        <v>677</v>
      </c>
      <c r="C71" s="42" t="s">
        <v>429</v>
      </c>
      <c r="D71" s="42">
        <v>19</v>
      </c>
      <c r="E71" s="29">
        <f t="shared" si="6"/>
        <v>13.181818181818182</v>
      </c>
      <c r="F71" s="42">
        <v>7</v>
      </c>
      <c r="G71" s="42">
        <v>2</v>
      </c>
      <c r="H71" s="38">
        <f t="shared" si="5"/>
        <v>0.2857142857142857</v>
      </c>
    </row>
    <row r="72" spans="1:8" x14ac:dyDescent="0.25">
      <c r="A72" s="445">
        <v>43745</v>
      </c>
      <c r="B72" s="42" t="s">
        <v>429</v>
      </c>
      <c r="C72" s="42" t="s">
        <v>678</v>
      </c>
      <c r="D72" s="42">
        <v>19</v>
      </c>
      <c r="E72" s="29">
        <f t="shared" si="6"/>
        <v>13.181818181818182</v>
      </c>
      <c r="F72" s="42">
        <v>12</v>
      </c>
      <c r="G72" s="42">
        <v>3</v>
      </c>
      <c r="H72" s="38">
        <f t="shared" si="5"/>
        <v>0.25</v>
      </c>
    </row>
    <row r="73" spans="1:8" x14ac:dyDescent="0.25">
      <c r="A73" s="445">
        <v>43745</v>
      </c>
      <c r="B73" s="42" t="s">
        <v>429</v>
      </c>
      <c r="C73" s="42" t="s">
        <v>679</v>
      </c>
      <c r="D73" s="42">
        <v>19</v>
      </c>
      <c r="E73" s="29">
        <f t="shared" si="6"/>
        <v>13.181818181818182</v>
      </c>
      <c r="F73" s="42">
        <v>9</v>
      </c>
      <c r="G73" s="42">
        <v>5</v>
      </c>
      <c r="H73" s="38">
        <f t="shared" si="5"/>
        <v>0.55555555555555558</v>
      </c>
    </row>
    <row r="74" spans="1:8" x14ac:dyDescent="0.25">
      <c r="A74" s="445">
        <v>43746</v>
      </c>
      <c r="B74" s="42" t="s">
        <v>680</v>
      </c>
      <c r="C74" s="42" t="s">
        <v>429</v>
      </c>
      <c r="D74" s="42">
        <v>18</v>
      </c>
      <c r="E74" s="29">
        <f>(15+13+13+13+15+12+13+13+14+12+12)/11</f>
        <v>13.181818181818182</v>
      </c>
      <c r="F74" s="42">
        <v>9</v>
      </c>
      <c r="G74" s="42">
        <v>3</v>
      </c>
      <c r="H74" s="38">
        <f t="shared" si="5"/>
        <v>0.33333333333333331</v>
      </c>
    </row>
    <row r="75" spans="1:8" x14ac:dyDescent="0.25">
      <c r="A75" s="445">
        <v>43746</v>
      </c>
      <c r="B75" s="42" t="s">
        <v>681</v>
      </c>
      <c r="C75" s="42" t="s">
        <v>429</v>
      </c>
      <c r="D75" s="42">
        <v>19</v>
      </c>
      <c r="E75" s="29">
        <f>(15+13+13+13+15+12+13+13+14+12+12)/11</f>
        <v>13.181818181818182</v>
      </c>
      <c r="F75" s="42">
        <v>10</v>
      </c>
      <c r="G75" s="42">
        <v>5</v>
      </c>
      <c r="H75" s="38">
        <f t="shared" si="5"/>
        <v>0.5</v>
      </c>
    </row>
    <row r="76" spans="1:8" x14ac:dyDescent="0.25">
      <c r="A76" s="445">
        <v>43747</v>
      </c>
      <c r="B76" s="42" t="s">
        <v>682</v>
      </c>
      <c r="C76" s="42" t="s">
        <v>429</v>
      </c>
      <c r="D76" s="42">
        <v>19</v>
      </c>
      <c r="E76" s="29">
        <f t="shared" ref="E76:E86" si="7">(15+13+15+13+13+13+13+13+14+8+12)/11</f>
        <v>12.909090909090908</v>
      </c>
      <c r="F76" s="42">
        <v>10</v>
      </c>
      <c r="G76" s="42">
        <v>2</v>
      </c>
      <c r="H76" s="38">
        <f t="shared" si="5"/>
        <v>0.2</v>
      </c>
    </row>
    <row r="77" spans="1:8" x14ac:dyDescent="0.25">
      <c r="A77" s="445">
        <v>43748</v>
      </c>
      <c r="B77" s="42" t="s">
        <v>429</v>
      </c>
      <c r="C77" s="42" t="s">
        <v>683</v>
      </c>
      <c r="D77" s="42">
        <v>18</v>
      </c>
      <c r="E77" s="29">
        <f t="shared" si="7"/>
        <v>12.909090909090908</v>
      </c>
      <c r="F77" s="42">
        <v>8</v>
      </c>
      <c r="G77" s="42">
        <v>3</v>
      </c>
      <c r="H77" s="38">
        <f t="shared" si="5"/>
        <v>0.375</v>
      </c>
    </row>
    <row r="78" spans="1:8" x14ac:dyDescent="0.25">
      <c r="A78" s="445">
        <v>43748</v>
      </c>
      <c r="B78" s="42" t="s">
        <v>429</v>
      </c>
      <c r="C78" s="42" t="s">
        <v>684</v>
      </c>
      <c r="D78" s="42">
        <v>19</v>
      </c>
      <c r="E78" s="29">
        <f t="shared" si="7"/>
        <v>12.909090909090908</v>
      </c>
      <c r="F78" s="42">
        <v>7</v>
      </c>
      <c r="G78" s="42">
        <v>3</v>
      </c>
      <c r="H78" s="38">
        <f t="shared" si="5"/>
        <v>0.42857142857142855</v>
      </c>
    </row>
    <row r="79" spans="1:8" x14ac:dyDescent="0.25">
      <c r="A79" s="445">
        <v>43748</v>
      </c>
      <c r="B79" s="42" t="s">
        <v>429</v>
      </c>
      <c r="C79" s="42" t="s">
        <v>685</v>
      </c>
      <c r="D79" s="42">
        <v>19</v>
      </c>
      <c r="E79" s="29">
        <f t="shared" si="7"/>
        <v>12.909090909090908</v>
      </c>
      <c r="F79" s="42">
        <v>8</v>
      </c>
      <c r="G79" s="42">
        <v>3</v>
      </c>
      <c r="H79" s="38">
        <f t="shared" si="5"/>
        <v>0.375</v>
      </c>
    </row>
    <row r="80" spans="1:8" x14ac:dyDescent="0.25">
      <c r="A80" s="445">
        <v>43753</v>
      </c>
      <c r="B80" s="42" t="s">
        <v>686</v>
      </c>
      <c r="C80" s="42" t="s">
        <v>429</v>
      </c>
      <c r="D80" s="42">
        <v>18</v>
      </c>
      <c r="E80" s="29">
        <f t="shared" si="7"/>
        <v>12.909090909090908</v>
      </c>
      <c r="F80" s="42">
        <v>8</v>
      </c>
      <c r="G80" s="42">
        <v>3</v>
      </c>
      <c r="H80" s="38">
        <f t="shared" si="5"/>
        <v>0.375</v>
      </c>
    </row>
    <row r="81" spans="1:8" x14ac:dyDescent="0.25">
      <c r="A81" s="445">
        <v>43753</v>
      </c>
      <c r="B81" s="42" t="s">
        <v>687</v>
      </c>
      <c r="C81" s="42" t="s">
        <v>429</v>
      </c>
      <c r="D81" s="42">
        <v>19</v>
      </c>
      <c r="E81" s="29">
        <f t="shared" si="7"/>
        <v>12.909090909090908</v>
      </c>
      <c r="F81" s="42">
        <v>6</v>
      </c>
      <c r="G81" s="42">
        <v>1</v>
      </c>
      <c r="H81" s="38">
        <f t="shared" si="5"/>
        <v>0.16666666666666666</v>
      </c>
    </row>
    <row r="82" spans="1:8" x14ac:dyDescent="0.25">
      <c r="A82" s="445">
        <v>43753</v>
      </c>
      <c r="B82" s="42" t="s">
        <v>688</v>
      </c>
      <c r="C82" s="42" t="s">
        <v>429</v>
      </c>
      <c r="D82" s="42">
        <v>19</v>
      </c>
      <c r="E82" s="29">
        <f t="shared" si="7"/>
        <v>12.909090909090908</v>
      </c>
      <c r="F82" s="42">
        <v>9</v>
      </c>
      <c r="G82" s="42">
        <v>4</v>
      </c>
      <c r="H82" s="38">
        <f t="shared" si="5"/>
        <v>0.44444444444444442</v>
      </c>
    </row>
    <row r="83" spans="1:8" x14ac:dyDescent="0.25">
      <c r="A83" s="445">
        <v>43754</v>
      </c>
      <c r="B83" s="42" t="s">
        <v>429</v>
      </c>
      <c r="C83" s="42" t="s">
        <v>689</v>
      </c>
      <c r="D83" s="42">
        <v>19</v>
      </c>
      <c r="E83" s="29">
        <f t="shared" si="7"/>
        <v>12.909090909090908</v>
      </c>
      <c r="F83" s="42">
        <v>9</v>
      </c>
      <c r="G83" s="42">
        <v>4</v>
      </c>
      <c r="H83" s="38">
        <f t="shared" si="5"/>
        <v>0.44444444444444442</v>
      </c>
    </row>
    <row r="84" spans="1:8" x14ac:dyDescent="0.25">
      <c r="A84" s="445">
        <v>43754</v>
      </c>
      <c r="B84" s="42" t="s">
        <v>690</v>
      </c>
      <c r="C84" s="42" t="s">
        <v>429</v>
      </c>
      <c r="D84" s="42">
        <v>19</v>
      </c>
      <c r="E84" s="29">
        <f t="shared" si="7"/>
        <v>12.909090909090908</v>
      </c>
      <c r="F84" s="42">
        <v>7</v>
      </c>
      <c r="G84" s="42">
        <v>3</v>
      </c>
      <c r="H84" s="38">
        <f t="shared" si="5"/>
        <v>0.42857142857142855</v>
      </c>
    </row>
    <row r="85" spans="1:8" x14ac:dyDescent="0.25">
      <c r="A85" s="445">
        <v>43754</v>
      </c>
      <c r="B85" s="42" t="s">
        <v>429</v>
      </c>
      <c r="C85" s="42" t="s">
        <v>691</v>
      </c>
      <c r="D85" s="42">
        <v>19</v>
      </c>
      <c r="E85" s="29">
        <f t="shared" si="7"/>
        <v>12.909090909090908</v>
      </c>
      <c r="F85" s="42">
        <v>6</v>
      </c>
      <c r="G85" s="42">
        <v>2</v>
      </c>
      <c r="H85" s="38">
        <f t="shared" si="5"/>
        <v>0.33333333333333331</v>
      </c>
    </row>
    <row r="86" spans="1:8" x14ac:dyDescent="0.25">
      <c r="A86" s="445">
        <v>43755</v>
      </c>
      <c r="B86" s="42" t="s">
        <v>429</v>
      </c>
      <c r="C86" s="42" t="s">
        <v>692</v>
      </c>
      <c r="D86" s="42">
        <v>19</v>
      </c>
      <c r="E86" s="29">
        <f t="shared" si="7"/>
        <v>12.909090909090908</v>
      </c>
      <c r="F86" s="42">
        <v>8</v>
      </c>
      <c r="G86" s="42">
        <v>4</v>
      </c>
      <c r="H86" s="38">
        <f t="shared" si="5"/>
        <v>0.5</v>
      </c>
    </row>
    <row r="87" spans="1:8" x14ac:dyDescent="0.25">
      <c r="A87" s="445">
        <v>43764</v>
      </c>
      <c r="B87" s="42" t="s">
        <v>429</v>
      </c>
      <c r="C87" s="42" t="s">
        <v>435</v>
      </c>
      <c r="D87" s="42">
        <v>19</v>
      </c>
      <c r="F87" s="42">
        <v>6</v>
      </c>
      <c r="G87" s="42">
        <v>3</v>
      </c>
      <c r="H87" s="38">
        <f t="shared" si="5"/>
        <v>0.5</v>
      </c>
    </row>
    <row r="88" spans="1:8" x14ac:dyDescent="0.25">
      <c r="A88" s="445">
        <v>43771</v>
      </c>
      <c r="B88" s="42" t="s">
        <v>443</v>
      </c>
      <c r="C88" s="42" t="s">
        <v>429</v>
      </c>
      <c r="D88" s="42">
        <v>19</v>
      </c>
      <c r="F88" s="42">
        <v>8</v>
      </c>
      <c r="G88" s="42">
        <v>4</v>
      </c>
      <c r="H88" s="38">
        <f t="shared" si="5"/>
        <v>0.5</v>
      </c>
    </row>
    <row r="89" spans="1:8" x14ac:dyDescent="0.25">
      <c r="A89" s="445">
        <v>43773</v>
      </c>
      <c r="B89" s="42" t="s">
        <v>898</v>
      </c>
      <c r="C89" s="42" t="s">
        <v>429</v>
      </c>
      <c r="D89" s="42">
        <v>20</v>
      </c>
      <c r="F89" s="42">
        <v>6</v>
      </c>
      <c r="G89" s="42">
        <v>3</v>
      </c>
      <c r="H89" s="38">
        <f t="shared" si="5"/>
        <v>0.5</v>
      </c>
    </row>
    <row r="90" spans="1:8" x14ac:dyDescent="0.25">
      <c r="A90" s="445">
        <v>43775</v>
      </c>
      <c r="B90" s="42" t="s">
        <v>899</v>
      </c>
      <c r="C90" s="42" t="s">
        <v>429</v>
      </c>
      <c r="D90" s="42">
        <v>20</v>
      </c>
      <c r="F90" s="42">
        <v>9</v>
      </c>
      <c r="G90" s="42">
        <v>2</v>
      </c>
      <c r="H90" s="38">
        <f t="shared" si="5"/>
        <v>0.22222222222222221</v>
      </c>
    </row>
    <row r="91" spans="1:8" x14ac:dyDescent="0.25">
      <c r="A91" s="445">
        <v>43781</v>
      </c>
      <c r="B91" s="42" t="s">
        <v>900</v>
      </c>
      <c r="C91" s="42" t="s">
        <v>429</v>
      </c>
      <c r="D91" s="42">
        <v>20</v>
      </c>
      <c r="F91" s="42">
        <v>8</v>
      </c>
      <c r="G91" s="42">
        <v>3</v>
      </c>
      <c r="H91" s="38">
        <f t="shared" si="5"/>
        <v>0.375</v>
      </c>
    </row>
    <row r="92" spans="1:8" x14ac:dyDescent="0.25">
      <c r="A92" s="445">
        <v>43782</v>
      </c>
      <c r="B92" s="42" t="s">
        <v>429</v>
      </c>
      <c r="C92" s="42" t="s">
        <v>901</v>
      </c>
      <c r="D92" s="42">
        <v>18</v>
      </c>
      <c r="F92" s="42">
        <v>6</v>
      </c>
      <c r="G92" s="42">
        <v>3</v>
      </c>
      <c r="H92" s="38">
        <f t="shared" si="5"/>
        <v>0.5</v>
      </c>
    </row>
    <row r="93" spans="1:8" x14ac:dyDescent="0.25">
      <c r="A93" s="445">
        <v>43785</v>
      </c>
      <c r="B93" s="42" t="s">
        <v>450</v>
      </c>
      <c r="C93" s="42" t="s">
        <v>429</v>
      </c>
      <c r="D93" s="42">
        <v>21</v>
      </c>
      <c r="F93" s="42">
        <v>9</v>
      </c>
      <c r="G93" s="42">
        <v>4</v>
      </c>
      <c r="H93" s="38">
        <f t="shared" si="5"/>
        <v>0.44444444444444442</v>
      </c>
    </row>
    <row r="94" spans="1:8" x14ac:dyDescent="0.25">
      <c r="A94" s="445">
        <v>43787</v>
      </c>
      <c r="B94" s="42" t="s">
        <v>667</v>
      </c>
      <c r="C94" s="42" t="s">
        <v>429</v>
      </c>
      <c r="D94" s="42">
        <v>19</v>
      </c>
      <c r="F94" s="42">
        <v>10</v>
      </c>
      <c r="G94" s="42">
        <v>5</v>
      </c>
      <c r="H94" s="38">
        <f t="shared" si="5"/>
        <v>0.5</v>
      </c>
    </row>
    <row r="95" spans="1:8" x14ac:dyDescent="0.25">
      <c r="A95" s="445">
        <v>43789</v>
      </c>
      <c r="B95" s="42" t="s">
        <v>429</v>
      </c>
      <c r="C95" s="42" t="s">
        <v>902</v>
      </c>
      <c r="D95" s="42">
        <v>21</v>
      </c>
      <c r="F95" s="42">
        <v>7</v>
      </c>
      <c r="G95" s="42">
        <v>2</v>
      </c>
      <c r="H95" s="38">
        <f t="shared" si="5"/>
        <v>0.2857142857142857</v>
      </c>
    </row>
    <row r="96" spans="1:8" x14ac:dyDescent="0.25">
      <c r="A96" s="445">
        <v>43792</v>
      </c>
      <c r="B96" s="42" t="s">
        <v>429</v>
      </c>
      <c r="C96" s="42" t="s">
        <v>455</v>
      </c>
      <c r="D96" s="42">
        <v>21</v>
      </c>
      <c r="F96" s="42">
        <v>7</v>
      </c>
      <c r="G96" s="42">
        <v>2</v>
      </c>
      <c r="H96" s="38">
        <f t="shared" si="5"/>
        <v>0.2857142857142857</v>
      </c>
    </row>
    <row r="97" spans="1:8" x14ac:dyDescent="0.25">
      <c r="A97" s="445">
        <v>43794</v>
      </c>
      <c r="B97" s="42" t="s">
        <v>429</v>
      </c>
      <c r="C97" s="42" t="s">
        <v>903</v>
      </c>
      <c r="D97" s="42">
        <v>19</v>
      </c>
      <c r="F97" s="42">
        <v>6</v>
      </c>
      <c r="G97" s="42">
        <v>2</v>
      </c>
      <c r="H97" s="38">
        <f t="shared" si="5"/>
        <v>0.33333333333333331</v>
      </c>
    </row>
    <row r="98" spans="1:8" x14ac:dyDescent="0.25">
      <c r="A98" s="445">
        <v>43796</v>
      </c>
      <c r="B98" s="42" t="s">
        <v>429</v>
      </c>
      <c r="C98" s="42" t="s">
        <v>904</v>
      </c>
      <c r="D98" s="42">
        <v>19</v>
      </c>
      <c r="F98" s="42">
        <v>6</v>
      </c>
      <c r="G98" s="42">
        <v>3</v>
      </c>
      <c r="H98" s="38">
        <f t="shared" si="5"/>
        <v>0.5</v>
      </c>
    </row>
    <row r="99" spans="1:8" x14ac:dyDescent="0.25">
      <c r="A99" s="445">
        <v>43796</v>
      </c>
      <c r="B99" s="42" t="s">
        <v>900</v>
      </c>
      <c r="C99" s="42" t="s">
        <v>429</v>
      </c>
      <c r="D99" s="42">
        <v>19</v>
      </c>
      <c r="F99" s="42">
        <v>7</v>
      </c>
      <c r="G99" s="42">
        <v>2</v>
      </c>
      <c r="H99" s="38">
        <f t="shared" si="5"/>
        <v>0.2857142857142857</v>
      </c>
    </row>
    <row r="100" spans="1:8" x14ac:dyDescent="0.25">
      <c r="A100" s="445">
        <v>43799</v>
      </c>
      <c r="B100" s="42" t="s">
        <v>445</v>
      </c>
      <c r="C100" s="42" t="s">
        <v>429</v>
      </c>
      <c r="D100" s="42">
        <v>19</v>
      </c>
      <c r="F100" s="42">
        <v>8</v>
      </c>
      <c r="G100" s="42">
        <v>3</v>
      </c>
      <c r="H100" s="38">
        <f t="shared" si="5"/>
        <v>0.375</v>
      </c>
    </row>
    <row r="101" spans="1:8" x14ac:dyDescent="0.25">
      <c r="A101" s="445">
        <v>43800</v>
      </c>
      <c r="B101" s="42" t="s">
        <v>905</v>
      </c>
      <c r="C101" s="42" t="s">
        <v>429</v>
      </c>
      <c r="D101" s="42">
        <v>19</v>
      </c>
      <c r="F101" s="42">
        <v>6</v>
      </c>
      <c r="G101" s="42">
        <v>3</v>
      </c>
      <c r="H101" s="38">
        <f t="shared" si="5"/>
        <v>0.5</v>
      </c>
    </row>
    <row r="102" spans="1:8" x14ac:dyDescent="0.25">
      <c r="A102" s="445">
        <v>43803</v>
      </c>
      <c r="B102" s="42" t="s">
        <v>906</v>
      </c>
      <c r="C102" s="42" t="s">
        <v>429</v>
      </c>
      <c r="D102" s="42">
        <v>20</v>
      </c>
      <c r="F102" s="42">
        <v>7</v>
      </c>
      <c r="G102" s="42">
        <v>3</v>
      </c>
      <c r="H102" s="38">
        <f t="shared" si="5"/>
        <v>0.42857142857142855</v>
      </c>
    </row>
    <row r="103" spans="1:8" x14ac:dyDescent="0.25">
      <c r="A103" s="445">
        <v>43804</v>
      </c>
      <c r="B103" s="42" t="s">
        <v>907</v>
      </c>
      <c r="C103" s="42" t="s">
        <v>429</v>
      </c>
      <c r="D103" s="42">
        <v>20</v>
      </c>
      <c r="F103" s="42">
        <v>8</v>
      </c>
      <c r="G103" s="42">
        <v>3</v>
      </c>
      <c r="H103" s="38">
        <f t="shared" si="5"/>
        <v>0.375</v>
      </c>
    </row>
    <row r="104" spans="1:8" x14ac:dyDescent="0.25">
      <c r="A104" s="445">
        <v>43806</v>
      </c>
      <c r="B104" s="42" t="s">
        <v>429</v>
      </c>
      <c r="C104" s="42" t="s">
        <v>439</v>
      </c>
      <c r="D104" s="42">
        <v>19</v>
      </c>
      <c r="F104" s="42">
        <v>5</v>
      </c>
      <c r="G104" s="42">
        <v>1</v>
      </c>
      <c r="H104" s="38">
        <f t="shared" si="5"/>
        <v>0.2</v>
      </c>
    </row>
    <row r="105" spans="1:8" x14ac:dyDescent="0.25">
      <c r="A105" s="445">
        <v>43810</v>
      </c>
      <c r="B105" s="42" t="s">
        <v>429</v>
      </c>
      <c r="C105" s="42" t="s">
        <v>908</v>
      </c>
      <c r="D105" s="42">
        <v>20</v>
      </c>
      <c r="F105" s="42">
        <v>7</v>
      </c>
      <c r="G105" s="42">
        <v>2</v>
      </c>
      <c r="H105" s="38">
        <f t="shared" si="5"/>
        <v>0.2857142857142857</v>
      </c>
    </row>
    <row r="106" spans="1:8" x14ac:dyDescent="0.25">
      <c r="A106" s="445">
        <v>43820</v>
      </c>
      <c r="B106" s="42" t="s">
        <v>429</v>
      </c>
      <c r="C106" s="42" t="s">
        <v>445</v>
      </c>
      <c r="D106" s="42">
        <v>20</v>
      </c>
      <c r="F106" s="42">
        <v>9</v>
      </c>
      <c r="G106" s="42">
        <v>5</v>
      </c>
      <c r="H106" s="38">
        <f t="shared" si="5"/>
        <v>0.55555555555555558</v>
      </c>
    </row>
    <row r="107" spans="1:8" x14ac:dyDescent="0.25">
      <c r="A107" s="445">
        <v>43827</v>
      </c>
      <c r="B107" s="42" t="s">
        <v>455</v>
      </c>
      <c r="C107" s="42" t="s">
        <v>429</v>
      </c>
      <c r="D107" s="42">
        <v>20</v>
      </c>
      <c r="F107" s="42">
        <v>9</v>
      </c>
      <c r="G107" s="42">
        <v>3</v>
      </c>
      <c r="H107" s="38">
        <f t="shared" si="5"/>
        <v>0.33333333333333331</v>
      </c>
    </row>
    <row r="108" spans="1:8" x14ac:dyDescent="0.25">
      <c r="A108" s="445">
        <v>43837</v>
      </c>
      <c r="B108" s="42" t="s">
        <v>642</v>
      </c>
      <c r="C108" s="42" t="s">
        <v>429</v>
      </c>
      <c r="D108" s="42">
        <v>21</v>
      </c>
      <c r="F108" s="42">
        <v>9</v>
      </c>
      <c r="G108" s="42">
        <v>4</v>
      </c>
      <c r="H108" s="38">
        <f t="shared" si="5"/>
        <v>0.44444444444444442</v>
      </c>
    </row>
    <row r="109" spans="1:8" x14ac:dyDescent="0.25">
      <c r="A109" s="445">
        <v>43841</v>
      </c>
      <c r="B109" s="42" t="s">
        <v>460</v>
      </c>
      <c r="C109" s="42" t="s">
        <v>429</v>
      </c>
      <c r="D109" s="42">
        <v>21</v>
      </c>
      <c r="F109" s="42">
        <v>8</v>
      </c>
      <c r="G109" s="42">
        <v>3</v>
      </c>
      <c r="H109" s="38">
        <f t="shared" si="5"/>
        <v>0.375</v>
      </c>
    </row>
    <row r="110" spans="1:8" x14ac:dyDescent="0.25">
      <c r="A110" s="445">
        <v>43841</v>
      </c>
      <c r="B110" s="42" t="s">
        <v>909</v>
      </c>
      <c r="C110" s="42" t="s">
        <v>429</v>
      </c>
      <c r="D110" s="42">
        <v>21</v>
      </c>
      <c r="F110" s="42">
        <v>9</v>
      </c>
      <c r="G110" s="42">
        <v>4</v>
      </c>
      <c r="H110" s="38">
        <f t="shared" si="5"/>
        <v>0.44444444444444442</v>
      </c>
    </row>
    <row r="111" spans="1:8" x14ac:dyDescent="0.25">
      <c r="A111" s="445">
        <v>43848</v>
      </c>
      <c r="B111" s="42" t="s">
        <v>429</v>
      </c>
      <c r="C111" s="42" t="s">
        <v>443</v>
      </c>
      <c r="D111" s="42">
        <v>20</v>
      </c>
      <c r="F111" s="42">
        <v>7</v>
      </c>
      <c r="G111" s="42">
        <v>2</v>
      </c>
      <c r="H111" s="38">
        <f t="shared" si="5"/>
        <v>0.2857142857142857</v>
      </c>
    </row>
    <row r="112" spans="1:8" x14ac:dyDescent="0.25">
      <c r="A112" s="445">
        <v>43854</v>
      </c>
      <c r="B112" s="42" t="s">
        <v>910</v>
      </c>
      <c r="C112" s="42" t="s">
        <v>429</v>
      </c>
      <c r="D112" s="42">
        <v>21</v>
      </c>
      <c r="F112" s="42">
        <v>6</v>
      </c>
      <c r="G112" s="42">
        <v>2</v>
      </c>
      <c r="H112" s="38">
        <f t="shared" si="5"/>
        <v>0.33333333333333331</v>
      </c>
    </row>
    <row r="113" spans="1:8" x14ac:dyDescent="0.25">
      <c r="A113" s="445">
        <v>43855</v>
      </c>
      <c r="B113" s="42" t="s">
        <v>435</v>
      </c>
      <c r="C113" s="42" t="s">
        <v>429</v>
      </c>
      <c r="D113" s="42">
        <v>20</v>
      </c>
      <c r="F113" s="42">
        <v>7</v>
      </c>
      <c r="G113" s="42">
        <v>3</v>
      </c>
      <c r="H113" s="38">
        <f t="shared" si="5"/>
        <v>0.42857142857142855</v>
      </c>
    </row>
    <row r="114" spans="1:8" x14ac:dyDescent="0.25">
      <c r="A114" s="445">
        <v>43862</v>
      </c>
      <c r="B114" s="42" t="s">
        <v>911</v>
      </c>
      <c r="C114" s="42" t="s">
        <v>429</v>
      </c>
      <c r="D114" s="42">
        <v>21</v>
      </c>
      <c r="F114" s="42">
        <v>11</v>
      </c>
      <c r="G114" s="42">
        <v>4</v>
      </c>
      <c r="H114" s="38">
        <f t="shared" si="5"/>
        <v>0.36363636363636365</v>
      </c>
    </row>
    <row r="115" spans="1:8" x14ac:dyDescent="0.25">
      <c r="A115" s="445">
        <v>43880</v>
      </c>
      <c r="B115" s="42" t="s">
        <v>912</v>
      </c>
      <c r="C115" s="42" t="s">
        <v>429</v>
      </c>
      <c r="D115" s="42">
        <v>21</v>
      </c>
      <c r="F115" s="42">
        <v>10</v>
      </c>
      <c r="G115" s="42">
        <v>6</v>
      </c>
      <c r="H115" s="38">
        <f t="shared" si="5"/>
        <v>0.6</v>
      </c>
    </row>
    <row r="116" spans="1:8" x14ac:dyDescent="0.25">
      <c r="A116" s="445">
        <v>43883</v>
      </c>
      <c r="B116" s="42" t="s">
        <v>913</v>
      </c>
      <c r="C116" s="42" t="s">
        <v>429</v>
      </c>
      <c r="D116" s="42">
        <v>23</v>
      </c>
      <c r="F116" s="42">
        <v>10</v>
      </c>
      <c r="G116" s="42">
        <v>4</v>
      </c>
      <c r="H116" s="38">
        <f t="shared" si="5"/>
        <v>0.4</v>
      </c>
    </row>
    <row r="117" spans="1:8" x14ac:dyDescent="0.25">
      <c r="A117" s="445">
        <v>43887</v>
      </c>
      <c r="B117" s="42" t="s">
        <v>914</v>
      </c>
      <c r="C117" s="42" t="s">
        <v>429</v>
      </c>
      <c r="D117" s="42">
        <v>22</v>
      </c>
      <c r="F117" s="42">
        <v>6</v>
      </c>
      <c r="G117" s="42">
        <v>2</v>
      </c>
      <c r="H117" s="38">
        <f t="shared" si="5"/>
        <v>0.33333333333333331</v>
      </c>
    </row>
    <row r="118" spans="1:8" x14ac:dyDescent="0.25">
      <c r="A118" s="445">
        <v>43890</v>
      </c>
      <c r="B118" s="42" t="s">
        <v>915</v>
      </c>
      <c r="C118" s="42" t="s">
        <v>429</v>
      </c>
      <c r="D118" s="42">
        <v>23</v>
      </c>
      <c r="F118" s="42">
        <v>8</v>
      </c>
      <c r="G118" s="42">
        <v>2</v>
      </c>
      <c r="H118" s="38">
        <f t="shared" si="5"/>
        <v>0.25</v>
      </c>
    </row>
    <row r="119" spans="1:8" x14ac:dyDescent="0.25">
      <c r="A119" s="445">
        <v>43897</v>
      </c>
      <c r="B119" s="42" t="s">
        <v>429</v>
      </c>
      <c r="C119" s="42" t="s">
        <v>916</v>
      </c>
      <c r="D119" s="42">
        <v>21</v>
      </c>
      <c r="F119" s="42">
        <v>6</v>
      </c>
      <c r="G119" s="42">
        <v>4</v>
      </c>
      <c r="H119" s="38">
        <f t="shared" si="5"/>
        <v>0.66666666666666663</v>
      </c>
    </row>
    <row r="120" spans="1:8" x14ac:dyDescent="0.25">
      <c r="A120" s="445">
        <v>43901</v>
      </c>
      <c r="B120" s="42" t="s">
        <v>917</v>
      </c>
      <c r="C120" s="42" t="s">
        <v>429</v>
      </c>
      <c r="D120" s="42">
        <v>20</v>
      </c>
      <c r="F120" s="42">
        <v>9</v>
      </c>
      <c r="G120" s="42">
        <v>4</v>
      </c>
      <c r="H120" s="38">
        <f t="shared" si="5"/>
        <v>0.44444444444444442</v>
      </c>
    </row>
    <row r="121" spans="1:8" x14ac:dyDescent="0.25">
      <c r="A121" s="445">
        <v>43904</v>
      </c>
      <c r="B121" s="42" t="s">
        <v>918</v>
      </c>
      <c r="C121" s="42" t="s">
        <v>429</v>
      </c>
      <c r="D121" s="42">
        <v>21</v>
      </c>
      <c r="F121" s="42">
        <v>9</v>
      </c>
      <c r="G121" s="42">
        <v>5</v>
      </c>
      <c r="H121" s="38">
        <f t="shared" si="5"/>
        <v>0.55555555555555558</v>
      </c>
    </row>
    <row r="122" spans="1:8" x14ac:dyDescent="0.25">
      <c r="A122" s="445">
        <v>43908</v>
      </c>
      <c r="B122" s="42" t="s">
        <v>429</v>
      </c>
      <c r="C122" s="42" t="s">
        <v>919</v>
      </c>
      <c r="D122" s="42">
        <v>21</v>
      </c>
      <c r="F122" s="42">
        <v>8</v>
      </c>
      <c r="G122" s="42">
        <v>2</v>
      </c>
      <c r="H122" s="38">
        <f t="shared" si="5"/>
        <v>0.25</v>
      </c>
    </row>
    <row r="123" spans="1:8" x14ac:dyDescent="0.25">
      <c r="A123" s="445">
        <v>43910</v>
      </c>
      <c r="B123" s="42" t="s">
        <v>429</v>
      </c>
      <c r="C123" s="42" t="s">
        <v>920</v>
      </c>
      <c r="D123" s="42">
        <v>21</v>
      </c>
      <c r="F123" s="42">
        <v>10</v>
      </c>
      <c r="G123" s="42">
        <v>7</v>
      </c>
      <c r="H123" s="38">
        <f t="shared" si="5"/>
        <v>0.7</v>
      </c>
    </row>
    <row r="124" spans="1:8" x14ac:dyDescent="0.25">
      <c r="A124" s="445">
        <v>43911</v>
      </c>
      <c r="B124" s="42" t="s">
        <v>429</v>
      </c>
      <c r="C124" s="42" t="s">
        <v>921</v>
      </c>
      <c r="D124" s="42">
        <v>22</v>
      </c>
      <c r="F124" s="42">
        <v>8</v>
      </c>
      <c r="G124" s="42">
        <v>3</v>
      </c>
      <c r="H124" s="38">
        <f t="shared" si="5"/>
        <v>0.375</v>
      </c>
    </row>
    <row r="125" spans="1:8" x14ac:dyDescent="0.25">
      <c r="A125" s="445">
        <v>43911</v>
      </c>
      <c r="B125" s="42" t="s">
        <v>429</v>
      </c>
      <c r="C125" s="42" t="s">
        <v>922</v>
      </c>
      <c r="D125" s="42">
        <v>22</v>
      </c>
      <c r="F125" s="42">
        <v>9</v>
      </c>
      <c r="G125" s="42">
        <v>3</v>
      </c>
      <c r="H125" s="38">
        <f t="shared" si="5"/>
        <v>0.33333333333333331</v>
      </c>
    </row>
    <row r="126" spans="1:8" x14ac:dyDescent="0.25">
      <c r="A126" s="445">
        <v>43913</v>
      </c>
      <c r="B126" s="42" t="s">
        <v>429</v>
      </c>
      <c r="C126" s="42" t="s">
        <v>923</v>
      </c>
      <c r="D126" s="42">
        <v>21</v>
      </c>
      <c r="F126" s="42">
        <v>10</v>
      </c>
      <c r="G126" s="42">
        <v>5</v>
      </c>
      <c r="H126" s="38">
        <f t="shared" si="5"/>
        <v>0.5</v>
      </c>
    </row>
    <row r="127" spans="1:8" x14ac:dyDescent="0.25">
      <c r="A127" s="445">
        <v>43915</v>
      </c>
      <c r="B127" s="42" t="s">
        <v>924</v>
      </c>
      <c r="C127" s="42" t="s">
        <v>429</v>
      </c>
      <c r="D127" s="42">
        <v>21</v>
      </c>
      <c r="F127" s="42">
        <v>9</v>
      </c>
      <c r="G127" s="42">
        <v>3</v>
      </c>
      <c r="H127" s="38">
        <f t="shared" si="5"/>
        <v>0.33333333333333331</v>
      </c>
    </row>
    <row r="128" spans="1:8" x14ac:dyDescent="0.25">
      <c r="A128" s="445">
        <v>43916</v>
      </c>
      <c r="B128" s="42" t="s">
        <v>429</v>
      </c>
      <c r="C128" s="42" t="s">
        <v>925</v>
      </c>
      <c r="D128" s="42">
        <v>21</v>
      </c>
      <c r="F128" s="42">
        <v>10</v>
      </c>
      <c r="G128" s="42">
        <v>3</v>
      </c>
      <c r="H128" s="38">
        <f t="shared" si="5"/>
        <v>0.3</v>
      </c>
    </row>
    <row r="129" spans="1:8" x14ac:dyDescent="0.25">
      <c r="A129" s="445">
        <v>43916</v>
      </c>
      <c r="B129" s="42" t="s">
        <v>429</v>
      </c>
      <c r="C129" s="42" t="s">
        <v>926</v>
      </c>
      <c r="D129" s="42">
        <v>21</v>
      </c>
      <c r="F129" s="42">
        <v>11</v>
      </c>
      <c r="G129" s="42">
        <v>4</v>
      </c>
      <c r="H129" s="38">
        <f t="shared" si="5"/>
        <v>0.36363636363636365</v>
      </c>
    </row>
    <row r="130" spans="1:8" x14ac:dyDescent="0.25">
      <c r="A130" s="445">
        <v>43918</v>
      </c>
      <c r="B130" s="42" t="s">
        <v>927</v>
      </c>
      <c r="C130" s="42" t="s">
        <v>429</v>
      </c>
      <c r="D130" s="42">
        <v>22</v>
      </c>
      <c r="F130" s="42">
        <v>8</v>
      </c>
      <c r="G130" s="42">
        <v>2</v>
      </c>
      <c r="H130" s="38">
        <f t="shared" si="5"/>
        <v>0.25</v>
      </c>
    </row>
    <row r="131" spans="1:8" x14ac:dyDescent="0.25">
      <c r="A131" s="445">
        <v>43925</v>
      </c>
      <c r="B131" s="42" t="s">
        <v>429</v>
      </c>
      <c r="C131" s="42" t="s">
        <v>927</v>
      </c>
      <c r="D131" s="42">
        <v>23</v>
      </c>
      <c r="F131" s="42">
        <v>9</v>
      </c>
      <c r="G131" s="42">
        <v>4</v>
      </c>
      <c r="H131" s="38">
        <f t="shared" si="5"/>
        <v>0.44444444444444442</v>
      </c>
    </row>
    <row r="132" spans="1:8" x14ac:dyDescent="0.25">
      <c r="A132" s="445">
        <v>43929</v>
      </c>
      <c r="B132" s="42" t="s">
        <v>928</v>
      </c>
      <c r="C132" s="42" t="s">
        <v>429</v>
      </c>
      <c r="D132" s="42">
        <v>23</v>
      </c>
      <c r="F132" s="42">
        <v>6</v>
      </c>
      <c r="G132" s="42">
        <v>4</v>
      </c>
      <c r="H132" s="38">
        <f t="shared" si="5"/>
        <v>0.66666666666666663</v>
      </c>
    </row>
    <row r="133" spans="1:8" x14ac:dyDescent="0.25">
      <c r="A133" s="445">
        <v>43932</v>
      </c>
      <c r="B133" s="42" t="s">
        <v>921</v>
      </c>
      <c r="C133" s="42" t="s">
        <v>429</v>
      </c>
      <c r="D133" s="42">
        <v>23</v>
      </c>
      <c r="F133" s="42">
        <v>8</v>
      </c>
      <c r="G133" s="42">
        <v>5</v>
      </c>
      <c r="H133" s="38">
        <f t="shared" si="5"/>
        <v>0.625</v>
      </c>
    </row>
    <row r="134" spans="1:8" x14ac:dyDescent="0.25">
      <c r="A134" s="445">
        <v>43939</v>
      </c>
      <c r="B134" s="42" t="s">
        <v>429</v>
      </c>
      <c r="C134" s="42" t="s">
        <v>929</v>
      </c>
      <c r="D134" s="42">
        <v>22</v>
      </c>
      <c r="F134" s="42">
        <v>7</v>
      </c>
      <c r="G134" s="42">
        <v>2</v>
      </c>
      <c r="H134" s="38">
        <f t="shared" si="5"/>
        <v>0.2857142857142857</v>
      </c>
    </row>
    <row r="135" spans="1:8" x14ac:dyDescent="0.25">
      <c r="A135" s="445">
        <v>43943</v>
      </c>
      <c r="B135" s="42" t="s">
        <v>930</v>
      </c>
      <c r="C135" s="42" t="s">
        <v>429</v>
      </c>
      <c r="D135" s="42">
        <v>22</v>
      </c>
      <c r="F135" s="42">
        <v>9</v>
      </c>
      <c r="G135" s="42">
        <v>4</v>
      </c>
      <c r="H135" s="38">
        <f t="shared" si="5"/>
        <v>0.44444444444444442</v>
      </c>
    </row>
    <row r="136" spans="1:8" x14ac:dyDescent="0.25">
      <c r="A136" s="445">
        <v>43946</v>
      </c>
      <c r="B136" s="42" t="s">
        <v>916</v>
      </c>
      <c r="C136" s="42" t="s">
        <v>429</v>
      </c>
      <c r="D136" s="42">
        <v>24</v>
      </c>
      <c r="F136" s="42">
        <v>9</v>
      </c>
      <c r="G136" s="42">
        <v>4</v>
      </c>
      <c r="H136" s="38">
        <f t="shared" si="5"/>
        <v>0.44444444444444442</v>
      </c>
    </row>
    <row r="137" spans="1:8" x14ac:dyDescent="0.25">
      <c r="A137" s="445">
        <v>43949</v>
      </c>
      <c r="B137" s="42" t="s">
        <v>930</v>
      </c>
      <c r="C137" s="42" t="s">
        <v>429</v>
      </c>
      <c r="D137" s="42">
        <v>24</v>
      </c>
      <c r="F137" s="42">
        <v>9</v>
      </c>
      <c r="G137" s="42">
        <v>5</v>
      </c>
      <c r="H137" s="38">
        <f t="shared" si="5"/>
        <v>0.55555555555555558</v>
      </c>
    </row>
    <row r="138" spans="1:8" x14ac:dyDescent="0.25">
      <c r="A138" s="445">
        <v>43953</v>
      </c>
      <c r="B138" s="42" t="s">
        <v>429</v>
      </c>
      <c r="C138" s="42" t="s">
        <v>915</v>
      </c>
      <c r="D138" s="42">
        <v>23</v>
      </c>
      <c r="F138" s="42">
        <v>8</v>
      </c>
      <c r="G138" s="42">
        <v>4</v>
      </c>
      <c r="H138" s="38">
        <f t="shared" si="5"/>
        <v>0.5</v>
      </c>
    </row>
    <row r="139" spans="1:8" x14ac:dyDescent="0.25">
      <c r="A139" s="445">
        <v>43960</v>
      </c>
      <c r="B139" s="42" t="s">
        <v>429</v>
      </c>
      <c r="C139" s="42" t="s">
        <v>913</v>
      </c>
      <c r="D139" s="42">
        <v>24</v>
      </c>
      <c r="F139" s="42">
        <v>7</v>
      </c>
      <c r="G139" s="42">
        <v>4</v>
      </c>
      <c r="H139" s="38">
        <f t="shared" si="5"/>
        <v>0.5714285714285714</v>
      </c>
    </row>
    <row r="140" spans="1:8" x14ac:dyDescent="0.25">
      <c r="A140" s="445">
        <v>43967</v>
      </c>
      <c r="B140" s="42" t="s">
        <v>931</v>
      </c>
      <c r="C140" s="42" t="s">
        <v>429</v>
      </c>
      <c r="D140" s="42">
        <v>21</v>
      </c>
      <c r="F140" s="42">
        <v>9</v>
      </c>
      <c r="G140" s="42">
        <v>4</v>
      </c>
      <c r="H140" s="38">
        <f t="shared" si="5"/>
        <v>0.44444444444444442</v>
      </c>
    </row>
    <row r="141" spans="1:8" x14ac:dyDescent="0.25">
      <c r="A141" s="445">
        <v>43969</v>
      </c>
      <c r="B141" s="42" t="s">
        <v>429</v>
      </c>
      <c r="C141" s="42" t="s">
        <v>932</v>
      </c>
      <c r="D141" s="42">
        <v>23</v>
      </c>
      <c r="F141" s="42">
        <v>9</v>
      </c>
      <c r="G141" s="42">
        <v>4</v>
      </c>
      <c r="H141" s="38">
        <f t="shared" si="5"/>
        <v>0.44444444444444442</v>
      </c>
    </row>
    <row r="142" spans="1:8" x14ac:dyDescent="0.25">
      <c r="A142" s="445">
        <v>43970</v>
      </c>
      <c r="B142" s="42" t="s">
        <v>933</v>
      </c>
      <c r="C142" s="42" t="s">
        <v>429</v>
      </c>
      <c r="D142" s="42">
        <v>23</v>
      </c>
      <c r="F142" s="42">
        <v>8</v>
      </c>
      <c r="G142" s="42">
        <v>5</v>
      </c>
      <c r="H142" s="38">
        <f t="shared" si="5"/>
        <v>0.625</v>
      </c>
    </row>
    <row r="143" spans="1:8" x14ac:dyDescent="0.25">
      <c r="A143" s="445">
        <v>43970</v>
      </c>
      <c r="B143" s="42" t="s">
        <v>934</v>
      </c>
      <c r="C143" s="42" t="s">
        <v>429</v>
      </c>
      <c r="D143" s="42">
        <v>21</v>
      </c>
      <c r="F143" s="42">
        <v>9</v>
      </c>
      <c r="G143" s="42">
        <v>5</v>
      </c>
      <c r="H143" s="38">
        <f t="shared" si="5"/>
        <v>0.55555555555555558</v>
      </c>
    </row>
    <row r="144" spans="1:8" x14ac:dyDescent="0.25">
      <c r="A144" s="445">
        <v>43971</v>
      </c>
      <c r="B144" s="42" t="s">
        <v>429</v>
      </c>
      <c r="C144" s="42" t="s">
        <v>935</v>
      </c>
      <c r="D144" s="42">
        <v>23</v>
      </c>
      <c r="F144" s="42">
        <v>9</v>
      </c>
      <c r="G144" s="42">
        <v>3</v>
      </c>
      <c r="H144" s="38">
        <f t="shared" si="5"/>
        <v>0.33333333333333331</v>
      </c>
    </row>
    <row r="145" spans="1:8" x14ac:dyDescent="0.25">
      <c r="A145" s="445">
        <v>43971</v>
      </c>
      <c r="B145" s="42" t="s">
        <v>936</v>
      </c>
      <c r="C145" s="42" t="s">
        <v>429</v>
      </c>
      <c r="D145" s="42">
        <v>22</v>
      </c>
      <c r="F145" s="42">
        <v>9</v>
      </c>
      <c r="G145" s="42">
        <v>2</v>
      </c>
      <c r="H145" s="38">
        <f t="shared" si="5"/>
        <v>0.22222222222222221</v>
      </c>
    </row>
    <row r="146" spans="1:8" x14ac:dyDescent="0.25">
      <c r="A146" s="445">
        <v>43972</v>
      </c>
      <c r="B146" s="42" t="s">
        <v>937</v>
      </c>
      <c r="C146" s="42" t="s">
        <v>429</v>
      </c>
      <c r="D146" s="42">
        <v>23</v>
      </c>
      <c r="F146" s="42">
        <v>8</v>
      </c>
      <c r="G146" s="42">
        <v>5</v>
      </c>
      <c r="H146" s="38">
        <f t="shared" si="5"/>
        <v>0.625</v>
      </c>
    </row>
    <row r="147" spans="1:8" x14ac:dyDescent="0.25">
      <c r="A147" s="445">
        <v>43972</v>
      </c>
      <c r="B147" s="42" t="s">
        <v>429</v>
      </c>
      <c r="C147" s="42" t="s">
        <v>938</v>
      </c>
      <c r="D147" s="42">
        <v>22</v>
      </c>
      <c r="F147" s="42">
        <v>5</v>
      </c>
      <c r="G147" s="42">
        <v>2</v>
      </c>
      <c r="H147" s="38">
        <f t="shared" si="5"/>
        <v>0.4</v>
      </c>
    </row>
    <row r="148" spans="1:8" x14ac:dyDescent="0.25">
      <c r="A148" s="445">
        <v>43972</v>
      </c>
      <c r="B148" s="42" t="s">
        <v>939</v>
      </c>
      <c r="C148" s="42" t="s">
        <v>429</v>
      </c>
      <c r="D148" s="42">
        <v>21</v>
      </c>
      <c r="F148" s="42">
        <v>5</v>
      </c>
      <c r="G148" s="42">
        <v>2</v>
      </c>
      <c r="H148" s="38">
        <f t="shared" si="5"/>
        <v>0.4</v>
      </c>
    </row>
    <row r="149" spans="1:8" x14ac:dyDescent="0.25">
      <c r="A149" s="445">
        <v>43973</v>
      </c>
      <c r="B149" s="42" t="s">
        <v>940</v>
      </c>
      <c r="C149" s="42" t="s">
        <v>429</v>
      </c>
      <c r="D149" s="42">
        <v>21</v>
      </c>
      <c r="F149" s="42">
        <v>10</v>
      </c>
      <c r="G149" s="42">
        <v>4</v>
      </c>
      <c r="H149" s="38">
        <f t="shared" si="5"/>
        <v>0.4</v>
      </c>
    </row>
    <row r="150" spans="1:8" x14ac:dyDescent="0.25">
      <c r="A150" s="445">
        <v>43976</v>
      </c>
      <c r="B150" s="42" t="s">
        <v>429</v>
      </c>
      <c r="C150" s="42" t="s">
        <v>941</v>
      </c>
      <c r="D150" s="42">
        <v>22</v>
      </c>
      <c r="F150" s="42">
        <v>6</v>
      </c>
      <c r="G150" s="42">
        <v>4</v>
      </c>
      <c r="H150" s="38">
        <f t="shared" si="5"/>
        <v>0.66666666666666663</v>
      </c>
    </row>
    <row r="151" spans="1:8" x14ac:dyDescent="0.25">
      <c r="A151" s="445">
        <v>43977</v>
      </c>
      <c r="B151" s="42" t="s">
        <v>429</v>
      </c>
      <c r="C151" s="42" t="s">
        <v>942</v>
      </c>
      <c r="D151" s="42">
        <v>23</v>
      </c>
      <c r="F151" s="42">
        <v>6</v>
      </c>
      <c r="G151" s="42">
        <v>4</v>
      </c>
      <c r="H151" s="38">
        <f t="shared" si="5"/>
        <v>0.66666666666666663</v>
      </c>
    </row>
    <row r="152" spans="1:8" x14ac:dyDescent="0.25">
      <c r="A152" s="445">
        <v>43977</v>
      </c>
      <c r="B152" s="42" t="s">
        <v>943</v>
      </c>
      <c r="C152" s="42" t="s">
        <v>429</v>
      </c>
      <c r="D152" s="42">
        <v>23</v>
      </c>
      <c r="F152" s="42">
        <v>8</v>
      </c>
      <c r="G152" s="42">
        <v>3</v>
      </c>
      <c r="H152" s="38">
        <f t="shared" si="5"/>
        <v>0.375</v>
      </c>
    </row>
    <row r="153" spans="1:8" x14ac:dyDescent="0.25">
      <c r="A153" s="445">
        <v>43977</v>
      </c>
      <c r="B153" s="42" t="s">
        <v>944</v>
      </c>
      <c r="C153" s="42" t="s">
        <v>429</v>
      </c>
      <c r="D153" s="42">
        <v>23</v>
      </c>
      <c r="F153" s="42">
        <v>6</v>
      </c>
      <c r="G153" s="42">
        <v>2</v>
      </c>
      <c r="H153" s="38">
        <f t="shared" si="5"/>
        <v>0.33333333333333331</v>
      </c>
    </row>
    <row r="154" spans="1:8" x14ac:dyDescent="0.25">
      <c r="A154" s="445">
        <v>43978</v>
      </c>
      <c r="B154" s="42" t="s">
        <v>429</v>
      </c>
      <c r="C154" s="42" t="s">
        <v>945</v>
      </c>
      <c r="D154" s="42">
        <v>23</v>
      </c>
      <c r="F154" s="42">
        <v>7</v>
      </c>
      <c r="G154" s="42">
        <v>3</v>
      </c>
      <c r="H154" s="38">
        <f t="shared" si="5"/>
        <v>0.42857142857142855</v>
      </c>
    </row>
    <row r="155" spans="1:8" x14ac:dyDescent="0.25">
      <c r="A155" s="445">
        <v>43978</v>
      </c>
      <c r="B155" s="42" t="s">
        <v>946</v>
      </c>
      <c r="C155" s="42" t="s">
        <v>429</v>
      </c>
      <c r="D155" s="42">
        <v>23</v>
      </c>
      <c r="F155" s="42">
        <v>7</v>
      </c>
      <c r="G155" s="42">
        <v>3</v>
      </c>
      <c r="H155" s="38">
        <f t="shared" si="5"/>
        <v>0.42857142857142855</v>
      </c>
    </row>
    <row r="156" spans="1:8" x14ac:dyDescent="0.25">
      <c r="A156" s="445">
        <v>43978</v>
      </c>
      <c r="B156" s="42" t="s">
        <v>429</v>
      </c>
      <c r="C156" s="42" t="s">
        <v>947</v>
      </c>
      <c r="D156" s="42">
        <v>24</v>
      </c>
      <c r="F156" s="42">
        <v>9</v>
      </c>
      <c r="G156" s="42">
        <v>4</v>
      </c>
      <c r="H156" s="38">
        <f t="shared" si="5"/>
        <v>0.44444444444444442</v>
      </c>
    </row>
    <row r="157" spans="1:8" x14ac:dyDescent="0.25">
      <c r="A157" s="445">
        <v>43979</v>
      </c>
      <c r="B157" s="42" t="s">
        <v>429</v>
      </c>
      <c r="C157" s="42" t="s">
        <v>948</v>
      </c>
      <c r="D157" s="42">
        <v>23</v>
      </c>
      <c r="F157" s="42">
        <v>7</v>
      </c>
      <c r="G157" s="42">
        <v>4</v>
      </c>
      <c r="H157" s="38">
        <f t="shared" si="5"/>
        <v>0.5714285714285714</v>
      </c>
    </row>
    <row r="158" spans="1:8" x14ac:dyDescent="0.25">
      <c r="A158" s="445">
        <v>43979</v>
      </c>
      <c r="B158" s="42" t="s">
        <v>429</v>
      </c>
      <c r="C158" s="42" t="s">
        <v>949</v>
      </c>
      <c r="D158" s="42">
        <v>23</v>
      </c>
      <c r="F158" s="42">
        <v>8</v>
      </c>
      <c r="G158" s="42">
        <v>3</v>
      </c>
      <c r="H158" s="38">
        <f t="shared" si="5"/>
        <v>0.375</v>
      </c>
    </row>
    <row r="159" spans="1:8" x14ac:dyDescent="0.25">
      <c r="A159" s="445">
        <v>43979</v>
      </c>
      <c r="B159" s="42" t="s">
        <v>950</v>
      </c>
      <c r="C159" s="42" t="s">
        <v>429</v>
      </c>
      <c r="D159" s="42">
        <v>24</v>
      </c>
      <c r="F159" s="42">
        <v>8</v>
      </c>
      <c r="G159" s="42">
        <v>3</v>
      </c>
      <c r="H159" s="38">
        <f t="shared" si="5"/>
        <v>0.375</v>
      </c>
    </row>
    <row r="160" spans="1:8" x14ac:dyDescent="0.25">
      <c r="A160" s="445">
        <v>43988</v>
      </c>
      <c r="B160" s="42" t="s">
        <v>927</v>
      </c>
      <c r="C160" s="42" t="s">
        <v>429</v>
      </c>
      <c r="D160" s="42">
        <v>23</v>
      </c>
      <c r="F160" s="42">
        <v>7</v>
      </c>
      <c r="G160" s="42">
        <v>3</v>
      </c>
      <c r="H160" s="38">
        <f t="shared" si="5"/>
        <v>0.42857142857142855</v>
      </c>
    </row>
    <row r="161" spans="1:8" x14ac:dyDescent="0.25">
      <c r="A161" s="445">
        <v>43992</v>
      </c>
      <c r="B161" s="42" t="s">
        <v>952</v>
      </c>
      <c r="C161" s="42" t="s">
        <v>429</v>
      </c>
      <c r="D161" s="42">
        <v>17</v>
      </c>
      <c r="F161" s="42">
        <v>5</v>
      </c>
      <c r="G161" s="42">
        <v>1</v>
      </c>
      <c r="H161" s="38">
        <f t="shared" si="5"/>
        <v>0.2</v>
      </c>
    </row>
    <row r="162" spans="1:8" x14ac:dyDescent="0.25">
      <c r="A162" s="445">
        <v>43995</v>
      </c>
      <c r="C162" s="42" t="s">
        <v>953</v>
      </c>
      <c r="D162" s="42">
        <v>22</v>
      </c>
      <c r="F162" s="42">
        <v>7</v>
      </c>
      <c r="G162" s="42">
        <v>3</v>
      </c>
      <c r="H162" s="38">
        <f t="shared" si="5"/>
        <v>0.42857142857142855</v>
      </c>
    </row>
    <row r="163" spans="1:8" x14ac:dyDescent="0.25">
      <c r="A163" s="445">
        <v>43999</v>
      </c>
      <c r="B163" s="42" t="s">
        <v>954</v>
      </c>
      <c r="D163" s="42">
        <v>21</v>
      </c>
      <c r="F163" s="42">
        <v>5</v>
      </c>
      <c r="G163" s="42">
        <v>2</v>
      </c>
      <c r="H163" s="38">
        <f t="shared" si="5"/>
        <v>0.4</v>
      </c>
    </row>
    <row r="164" spans="1:8" x14ac:dyDescent="0.25">
      <c r="A164" s="445">
        <v>44002</v>
      </c>
      <c r="B164" s="42" t="s">
        <v>918</v>
      </c>
      <c r="D164" s="42">
        <v>23</v>
      </c>
      <c r="F164" s="42">
        <v>9</v>
      </c>
      <c r="G164" s="42">
        <v>4</v>
      </c>
      <c r="H164" s="38">
        <f t="shared" si="5"/>
        <v>0.44444444444444442</v>
      </c>
    </row>
    <row r="165" spans="1:8" x14ac:dyDescent="0.25">
      <c r="A165" s="445">
        <v>44006</v>
      </c>
      <c r="B165" s="42" t="s">
        <v>955</v>
      </c>
      <c r="D165" s="42">
        <v>22</v>
      </c>
      <c r="F165" s="42">
        <v>9</v>
      </c>
      <c r="G165" s="42">
        <v>5</v>
      </c>
      <c r="H165" s="38">
        <f t="shared" si="5"/>
        <v>0.55555555555555558</v>
      </c>
    </row>
    <row r="166" spans="1:8" x14ac:dyDescent="0.25">
      <c r="A166" s="445">
        <v>44007</v>
      </c>
      <c r="B166" s="42" t="s">
        <v>956</v>
      </c>
      <c r="D166" s="42">
        <v>23</v>
      </c>
      <c r="F166" s="42">
        <v>8</v>
      </c>
      <c r="G166" s="42">
        <v>5</v>
      </c>
      <c r="H166" s="38">
        <f t="shared" si="5"/>
        <v>0.625</v>
      </c>
    </row>
    <row r="167" spans="1:8" x14ac:dyDescent="0.25">
      <c r="A167" s="445">
        <v>44008</v>
      </c>
      <c r="B167" s="42" t="s">
        <v>957</v>
      </c>
      <c r="D167" s="42">
        <v>24</v>
      </c>
      <c r="F167" s="42">
        <v>7</v>
      </c>
      <c r="G167" s="42">
        <v>3</v>
      </c>
      <c r="H167" s="38">
        <f t="shared" si="5"/>
        <v>0.42857142857142855</v>
      </c>
    </row>
    <row r="168" spans="1:8" x14ac:dyDescent="0.25">
      <c r="A168" s="445">
        <v>44010</v>
      </c>
      <c r="C168" s="42" t="s">
        <v>958</v>
      </c>
      <c r="D168" s="42">
        <v>24</v>
      </c>
      <c r="F168" s="42">
        <v>7</v>
      </c>
      <c r="G168" s="42">
        <v>2</v>
      </c>
      <c r="H168" s="38">
        <f t="shared" si="5"/>
        <v>0.2857142857142857</v>
      </c>
    </row>
    <row r="169" spans="1:8" x14ac:dyDescent="0.25">
      <c r="A169" s="445">
        <v>44012</v>
      </c>
      <c r="B169" s="42" t="s">
        <v>959</v>
      </c>
      <c r="D169" s="42">
        <v>24</v>
      </c>
      <c r="F169" s="42">
        <v>7</v>
      </c>
      <c r="G169" s="42">
        <v>4</v>
      </c>
      <c r="H169" s="38">
        <f t="shared" si="5"/>
        <v>0.5714285714285714</v>
      </c>
    </row>
    <row r="170" spans="1:8" x14ac:dyDescent="0.25">
      <c r="A170" s="445">
        <v>44013</v>
      </c>
      <c r="B170" s="42" t="s">
        <v>960</v>
      </c>
      <c r="D170" s="42">
        <v>23</v>
      </c>
      <c r="F170" s="42">
        <v>7</v>
      </c>
      <c r="G170" s="42">
        <v>2</v>
      </c>
      <c r="H170" s="38">
        <f t="shared" si="5"/>
        <v>0.2857142857142857</v>
      </c>
    </row>
    <row r="171" spans="1:8" x14ac:dyDescent="0.25">
      <c r="A171" s="445">
        <v>44014</v>
      </c>
      <c r="C171" s="42" t="s">
        <v>961</v>
      </c>
      <c r="D171" s="42">
        <v>24</v>
      </c>
      <c r="F171" s="42">
        <v>9</v>
      </c>
      <c r="G171" s="42">
        <v>6</v>
      </c>
      <c r="H171" s="38">
        <f t="shared" si="5"/>
        <v>0.66666666666666663</v>
      </c>
    </row>
    <row r="172" spans="1:8" x14ac:dyDescent="0.25">
      <c r="A172" s="445">
        <v>44015</v>
      </c>
      <c r="B172" s="42" t="s">
        <v>962</v>
      </c>
      <c r="D172" s="42">
        <v>24</v>
      </c>
      <c r="F172" s="42">
        <v>7</v>
      </c>
      <c r="G172" s="42">
        <v>2</v>
      </c>
      <c r="H172" s="38">
        <f t="shared" si="5"/>
        <v>0.2857142857142857</v>
      </c>
    </row>
    <row r="173" spans="1:8" x14ac:dyDescent="0.25">
      <c r="A173" s="445">
        <v>44017</v>
      </c>
      <c r="B173" s="42" t="s">
        <v>963</v>
      </c>
      <c r="D173" s="42">
        <v>24</v>
      </c>
      <c r="F173" s="42">
        <v>9</v>
      </c>
      <c r="G173" s="42">
        <v>5</v>
      </c>
      <c r="H173" s="38">
        <f t="shared" si="5"/>
        <v>0.55555555555555558</v>
      </c>
    </row>
    <row r="174" spans="1:8" x14ac:dyDescent="0.25">
      <c r="A174" s="445">
        <v>44019</v>
      </c>
      <c r="C174" s="42" t="s">
        <v>964</v>
      </c>
      <c r="D174" s="42">
        <v>24</v>
      </c>
      <c r="F174" s="42">
        <v>9</v>
      </c>
      <c r="G174" s="42">
        <v>5</v>
      </c>
      <c r="H174" s="38">
        <f t="shared" si="5"/>
        <v>0.55555555555555558</v>
      </c>
    </row>
    <row r="175" spans="1:8" x14ac:dyDescent="0.25">
      <c r="A175" s="445">
        <v>44020</v>
      </c>
      <c r="B175" s="42" t="s">
        <v>965</v>
      </c>
      <c r="D175" s="42">
        <v>23</v>
      </c>
      <c r="F175" s="42">
        <v>8</v>
      </c>
      <c r="G175" s="42">
        <v>2</v>
      </c>
      <c r="H175" s="38">
        <f t="shared" si="5"/>
        <v>0.25</v>
      </c>
    </row>
    <row r="176" spans="1:8" x14ac:dyDescent="0.25">
      <c r="A176" s="445">
        <v>44023</v>
      </c>
      <c r="B176" s="42" t="s">
        <v>966</v>
      </c>
      <c r="D176" s="42">
        <v>24</v>
      </c>
      <c r="F176" s="42">
        <v>8</v>
      </c>
      <c r="G176" s="42">
        <v>5</v>
      </c>
      <c r="H176" s="38">
        <f t="shared" si="5"/>
        <v>0.625</v>
      </c>
    </row>
    <row r="177" spans="1:8" x14ac:dyDescent="0.25">
      <c r="A177" s="445">
        <v>44026</v>
      </c>
      <c r="B177" s="42" t="s">
        <v>967</v>
      </c>
      <c r="D177" s="42">
        <v>24</v>
      </c>
      <c r="F177" s="42">
        <v>9</v>
      </c>
      <c r="G177" s="42">
        <v>5</v>
      </c>
      <c r="H177" s="38">
        <f t="shared" si="5"/>
        <v>0.55555555555555558</v>
      </c>
    </row>
    <row r="178" spans="1:8" x14ac:dyDescent="0.25">
      <c r="A178" s="445">
        <v>44027</v>
      </c>
      <c r="B178" s="42" t="s">
        <v>968</v>
      </c>
      <c r="D178" s="42">
        <v>22</v>
      </c>
      <c r="F178" s="42">
        <v>9</v>
      </c>
      <c r="G178" s="42">
        <v>4</v>
      </c>
      <c r="H178" s="38">
        <f t="shared" si="5"/>
        <v>0.44444444444444442</v>
      </c>
    </row>
    <row r="179" spans="1:8" x14ac:dyDescent="0.25">
      <c r="A179" s="445">
        <v>44028</v>
      </c>
      <c r="C179" s="42" t="s">
        <v>969</v>
      </c>
      <c r="D179" s="42">
        <v>23</v>
      </c>
      <c r="F179" s="42">
        <v>9</v>
      </c>
      <c r="G179" s="42">
        <v>4</v>
      </c>
      <c r="H179" s="38">
        <f t="shared" si="5"/>
        <v>0.44444444444444442</v>
      </c>
    </row>
    <row r="180" spans="1:8" x14ac:dyDescent="0.25">
      <c r="A180" s="445">
        <v>44029</v>
      </c>
      <c r="B180" s="42" t="s">
        <v>970</v>
      </c>
      <c r="D180" s="42">
        <v>24</v>
      </c>
      <c r="F180" s="42">
        <v>8</v>
      </c>
      <c r="G180" s="42">
        <v>3</v>
      </c>
      <c r="H180" s="38">
        <f t="shared" si="5"/>
        <v>0.375</v>
      </c>
    </row>
    <row r="181" spans="1:8" x14ac:dyDescent="0.25">
      <c r="A181" s="445">
        <v>44030</v>
      </c>
      <c r="C181" s="42" t="s">
        <v>971</v>
      </c>
      <c r="D181" s="42">
        <v>23</v>
      </c>
      <c r="F181" s="42">
        <v>10</v>
      </c>
      <c r="G181" s="42">
        <v>4</v>
      </c>
      <c r="H181" s="38">
        <f t="shared" si="5"/>
        <v>0.4</v>
      </c>
    </row>
    <row r="182" spans="1:8" x14ac:dyDescent="0.25">
      <c r="A182" s="445">
        <v>44031</v>
      </c>
      <c r="B182" s="42" t="s">
        <v>972</v>
      </c>
      <c r="D182" s="42">
        <v>23</v>
      </c>
      <c r="F182" s="42">
        <v>8</v>
      </c>
      <c r="G182" s="42">
        <v>3</v>
      </c>
      <c r="H182" s="38">
        <f t="shared" si="5"/>
        <v>0.375</v>
      </c>
    </row>
    <row r="183" spans="1:8" x14ac:dyDescent="0.25">
      <c r="A183" s="445">
        <v>44033</v>
      </c>
      <c r="C183" s="42" t="s">
        <v>973</v>
      </c>
      <c r="D183" s="42">
        <v>24</v>
      </c>
      <c r="F183" s="42">
        <v>7</v>
      </c>
      <c r="G183" s="42">
        <v>3</v>
      </c>
      <c r="H183" s="38">
        <f t="shared" si="5"/>
        <v>0.42857142857142855</v>
      </c>
    </row>
    <row r="184" spans="1:8" x14ac:dyDescent="0.25">
      <c r="A184" s="445">
        <v>44034</v>
      </c>
      <c r="C184" s="42" t="s">
        <v>974</v>
      </c>
      <c r="D184" s="42">
        <v>23</v>
      </c>
      <c r="F184" s="42">
        <v>3</v>
      </c>
      <c r="G184" s="42">
        <v>2</v>
      </c>
      <c r="H184" s="38">
        <f t="shared" si="5"/>
        <v>0.66666666666666663</v>
      </c>
    </row>
    <row r="185" spans="1:8" x14ac:dyDescent="0.25">
      <c r="A185" s="445">
        <v>44035</v>
      </c>
      <c r="C185" s="42" t="s">
        <v>975</v>
      </c>
      <c r="D185" s="42">
        <v>23</v>
      </c>
      <c r="F185" s="42">
        <v>7</v>
      </c>
      <c r="G185" s="42">
        <v>4</v>
      </c>
      <c r="H185" s="38">
        <f t="shared" si="5"/>
        <v>0.5714285714285714</v>
      </c>
    </row>
    <row r="186" spans="1:8" x14ac:dyDescent="0.25">
      <c r="A186" s="445"/>
      <c r="H186" s="38"/>
    </row>
    <row r="187" spans="1:8" x14ac:dyDescent="0.25">
      <c r="A187" s="445"/>
      <c r="H187" s="38"/>
    </row>
    <row r="188" spans="1:8" x14ac:dyDescent="0.25">
      <c r="A188" s="445"/>
      <c r="H188" s="38"/>
    </row>
    <row r="189" spans="1:8" x14ac:dyDescent="0.25">
      <c r="A189" s="445"/>
      <c r="H189" s="38"/>
    </row>
    <row r="190" spans="1:8" x14ac:dyDescent="0.25">
      <c r="A190" s="445"/>
      <c r="H190" s="38"/>
    </row>
    <row r="191" spans="1:8" x14ac:dyDescent="0.25">
      <c r="A191" s="445"/>
      <c r="H191" s="38"/>
    </row>
    <row r="192" spans="1:8" x14ac:dyDescent="0.25">
      <c r="A192" s="445"/>
    </row>
    <row r="193" spans="1:1" x14ac:dyDescent="0.25">
      <c r="A193" s="445"/>
    </row>
    <row r="194" spans="1:1" x14ac:dyDescent="0.25">
      <c r="A194" s="445"/>
    </row>
    <row r="195" spans="1:1" x14ac:dyDescent="0.25">
      <c r="A195" s="445"/>
    </row>
    <row r="196" spans="1:1" x14ac:dyDescent="0.25">
      <c r="A196" s="445"/>
    </row>
    <row r="197" spans="1:1" x14ac:dyDescent="0.25">
      <c r="A197" s="445"/>
    </row>
    <row r="198" spans="1:1" x14ac:dyDescent="0.25">
      <c r="A198" s="445"/>
    </row>
    <row r="199" spans="1:1" x14ac:dyDescent="0.25">
      <c r="A199" s="445"/>
    </row>
    <row r="200" spans="1:1" x14ac:dyDescent="0.25">
      <c r="A200" s="445"/>
    </row>
    <row r="201" spans="1:1" x14ac:dyDescent="0.25">
      <c r="A201" s="445"/>
    </row>
    <row r="202" spans="1:1" x14ac:dyDescent="0.25">
      <c r="A202" s="445"/>
    </row>
    <row r="203" spans="1:1" x14ac:dyDescent="0.25">
      <c r="A203" s="445"/>
    </row>
    <row r="204" spans="1:1" x14ac:dyDescent="0.25">
      <c r="A204" s="445"/>
    </row>
    <row r="205" spans="1:1" x14ac:dyDescent="0.25">
      <c r="A205" s="445"/>
    </row>
    <row r="206" spans="1:1" x14ac:dyDescent="0.25">
      <c r="A206" s="445"/>
    </row>
    <row r="207" spans="1:1" x14ac:dyDescent="0.25">
      <c r="A207" s="445"/>
    </row>
    <row r="208" spans="1:1" x14ac:dyDescent="0.25">
      <c r="A208" s="445"/>
    </row>
    <row r="209" spans="1:1" x14ac:dyDescent="0.25">
      <c r="A209" s="445"/>
    </row>
    <row r="210" spans="1:1" x14ac:dyDescent="0.25">
      <c r="A210" s="445"/>
    </row>
    <row r="211" spans="1:1" x14ac:dyDescent="0.25">
      <c r="A211" s="445"/>
    </row>
    <row r="212" spans="1:1" x14ac:dyDescent="0.25">
      <c r="A212" s="445"/>
    </row>
    <row r="213" spans="1:1" x14ac:dyDescent="0.25">
      <c r="A213" s="445"/>
    </row>
    <row r="214" spans="1:1" x14ac:dyDescent="0.25">
      <c r="A214" s="445"/>
    </row>
    <row r="215" spans="1:1" x14ac:dyDescent="0.25">
      <c r="A215" s="445"/>
    </row>
    <row r="216" spans="1:1" x14ac:dyDescent="0.25">
      <c r="A216" s="445"/>
    </row>
    <row r="217" spans="1:1" x14ac:dyDescent="0.25">
      <c r="A217" s="445"/>
    </row>
    <row r="218" spans="1:1" x14ac:dyDescent="0.25">
      <c r="A218" s="445"/>
    </row>
    <row r="219" spans="1:1" x14ac:dyDescent="0.25">
      <c r="A219" s="445"/>
    </row>
    <row r="220" spans="1:1" x14ac:dyDescent="0.25">
      <c r="A220" s="445"/>
    </row>
    <row r="221" spans="1:1" x14ac:dyDescent="0.25">
      <c r="A221" s="445"/>
    </row>
    <row r="222" spans="1:1" x14ac:dyDescent="0.25">
      <c r="A222" s="445"/>
    </row>
    <row r="223" spans="1:1" x14ac:dyDescent="0.25">
      <c r="A223" s="445"/>
    </row>
    <row r="224" spans="1:1" x14ac:dyDescent="0.25">
      <c r="A224" s="445"/>
    </row>
    <row r="225" spans="1:1" x14ac:dyDescent="0.25">
      <c r="A225" s="445"/>
    </row>
    <row r="226" spans="1:1" x14ac:dyDescent="0.25">
      <c r="A226" s="445"/>
    </row>
  </sheetData>
  <autoFilter ref="A1:H159" xr:uid="{00000000-0009-0000-0000-000008000000}"/>
  <pageMargins left="0.7" right="0.7" top="0.75" bottom="0.75" header="0.3" footer="0.3"/>
  <pageSetup paperSize="9" fitToWidth="0"/>
  <drawing r:id="rId2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B7DEE8"/>
  </sheetPr>
  <dimension ref="A1:AV38"/>
  <sheetViews>
    <sheetView zoomScale="90" workbookViewId="0">
      <selection activeCell="F9" sqref="F9:F12"/>
    </sheetView>
  </sheetViews>
  <sheetFormatPr baseColWidth="10" defaultColWidth="10.7109375" defaultRowHeight="15" x14ac:dyDescent="0.25"/>
  <cols>
    <col min="1" max="1" width="30.5703125" customWidth="1"/>
    <col min="2" max="6" width="12.42578125" customWidth="1"/>
    <col min="7" max="7" width="13.5703125" customWidth="1"/>
    <col min="8" max="10" width="12.42578125" customWidth="1"/>
    <col min="11" max="11" width="14.85546875" customWidth="1"/>
    <col min="12" max="15" width="12.42578125" customWidth="1"/>
    <col min="16" max="16" width="12" customWidth="1"/>
    <col min="17" max="17" width="12.42578125" customWidth="1"/>
    <col min="18" max="18" width="12" customWidth="1"/>
    <col min="20" max="20" width="12" customWidth="1"/>
    <col min="22" max="22" width="12" customWidth="1"/>
    <col min="24" max="24" width="12" customWidth="1"/>
    <col min="26" max="30" width="12.42578125" customWidth="1"/>
    <col min="31" max="37" width="6.5703125" customWidth="1"/>
  </cols>
  <sheetData>
    <row r="1" spans="1:36" ht="40.5" x14ac:dyDescent="0.25">
      <c r="M1" s="360" t="s">
        <v>693</v>
      </c>
      <c r="N1" s="360" t="s">
        <v>694</v>
      </c>
      <c r="O1" s="360" t="s">
        <v>695</v>
      </c>
      <c r="P1" s="360" t="s">
        <v>696</v>
      </c>
      <c r="Q1" s="360" t="s">
        <v>697</v>
      </c>
      <c r="R1" s="360" t="s">
        <v>698</v>
      </c>
      <c r="S1" s="360" t="s">
        <v>699</v>
      </c>
      <c r="U1" s="360" t="s">
        <v>700</v>
      </c>
    </row>
    <row r="2" spans="1:36" x14ac:dyDescent="0.25">
      <c r="C2" s="361" t="s">
        <v>701</v>
      </c>
      <c r="D2" s="610" t="s">
        <v>702</v>
      </c>
      <c r="E2" s="610"/>
      <c r="F2" s="611" t="s">
        <v>703</v>
      </c>
      <c r="G2" s="611"/>
      <c r="H2" s="612" t="s">
        <v>704</v>
      </c>
      <c r="I2" s="612"/>
      <c r="K2" s="54"/>
      <c r="M2" s="362">
        <v>11</v>
      </c>
      <c r="N2" s="363">
        <v>14.98</v>
      </c>
      <c r="O2" s="363">
        <v>5.95</v>
      </c>
      <c r="P2" s="364">
        <f t="shared" ref="P2:P12" si="0">U2*0.97</f>
        <v>5.3253000000000004</v>
      </c>
      <c r="Q2" s="363">
        <v>0.68000000000000016</v>
      </c>
      <c r="R2" s="365">
        <v>27.09</v>
      </c>
      <c r="U2" s="363">
        <v>5.49</v>
      </c>
    </row>
    <row r="3" spans="1:36" x14ac:dyDescent="0.25">
      <c r="A3" s="366" t="s">
        <v>705</v>
      </c>
      <c r="B3" s="367">
        <f>B4+B5+B6+B7</f>
        <v>58939</v>
      </c>
      <c r="C3" s="368">
        <f>C4+C5+C6+C7</f>
        <v>60910.2</v>
      </c>
      <c r="D3" s="18" t="s">
        <v>706</v>
      </c>
      <c r="E3" s="18" t="s">
        <v>707</v>
      </c>
      <c r="F3" s="18" t="s">
        <v>706</v>
      </c>
      <c r="G3" s="18" t="s">
        <v>708</v>
      </c>
      <c r="H3" s="18" t="s">
        <v>706</v>
      </c>
      <c r="I3" s="369" t="s">
        <v>709</v>
      </c>
      <c r="J3" s="18" t="s">
        <v>710</v>
      </c>
      <c r="K3" s="18" t="s">
        <v>711</v>
      </c>
      <c r="M3" s="362">
        <v>10</v>
      </c>
      <c r="N3" s="370">
        <v>14.23</v>
      </c>
      <c r="O3" s="370">
        <v>5.59</v>
      </c>
      <c r="P3" s="364">
        <f t="shared" si="0"/>
        <v>4.9179000000000004</v>
      </c>
      <c r="Q3" s="370">
        <v>0.62</v>
      </c>
      <c r="R3" s="371">
        <v>25.52</v>
      </c>
      <c r="U3" s="370">
        <v>5.07</v>
      </c>
    </row>
    <row r="4" spans="1:36" x14ac:dyDescent="0.25">
      <c r="A4" s="366" t="s">
        <v>712</v>
      </c>
      <c r="B4" s="367">
        <v>33353</v>
      </c>
      <c r="C4" s="372">
        <v>34856.639999999999</v>
      </c>
      <c r="D4" s="373">
        <v>45</v>
      </c>
      <c r="E4" s="374">
        <f>D4*(C4-B4)</f>
        <v>67663.799999999974</v>
      </c>
      <c r="F4" s="375">
        <v>0.5</v>
      </c>
      <c r="G4" s="374">
        <f>(C4-B4)*F4</f>
        <v>751.81999999999971</v>
      </c>
      <c r="H4" s="375">
        <v>7</v>
      </c>
      <c r="I4" s="376">
        <f>(C4-B4)*H4</f>
        <v>10525.479999999996</v>
      </c>
      <c r="J4" s="374">
        <f>H4*C4</f>
        <v>243996.47999999998</v>
      </c>
      <c r="K4" s="18">
        <f>B4*F4</f>
        <v>16676.5</v>
      </c>
      <c r="L4" s="27">
        <f>5000*N13*F4</f>
        <v>1382.4289405684756</v>
      </c>
      <c r="M4" s="362">
        <v>9</v>
      </c>
      <c r="N4" s="363">
        <v>13.49</v>
      </c>
      <c r="O4" s="363">
        <v>5.24</v>
      </c>
      <c r="P4" s="364">
        <f t="shared" si="0"/>
        <v>4.5202</v>
      </c>
      <c r="Q4" s="363">
        <v>0.56999999999999995</v>
      </c>
      <c r="R4" s="365">
        <v>23.95</v>
      </c>
      <c r="U4" s="363">
        <v>4.66</v>
      </c>
    </row>
    <row r="5" spans="1:36" x14ac:dyDescent="0.25">
      <c r="A5" s="366" t="s">
        <v>713</v>
      </c>
      <c r="B5" s="367">
        <v>12803</v>
      </c>
      <c r="C5" s="377">
        <v>13379.039999999999</v>
      </c>
      <c r="D5" s="378">
        <v>75</v>
      </c>
      <c r="E5" s="374">
        <f>D5*(C5-B5)</f>
        <v>43202.999999999927</v>
      </c>
      <c r="F5" s="379">
        <v>0.7</v>
      </c>
      <c r="G5" s="374">
        <f>(C5-B5)*F5</f>
        <v>403.22799999999933</v>
      </c>
      <c r="H5" s="379">
        <v>10</v>
      </c>
      <c r="I5" s="376">
        <f>(C5-B5)*H5</f>
        <v>5760.3999999999905</v>
      </c>
      <c r="J5" s="374">
        <f>H5*C5</f>
        <v>133790.39999999999</v>
      </c>
      <c r="K5" s="18">
        <f>B5*F5</f>
        <v>8962.0999999999985</v>
      </c>
      <c r="L5" s="27">
        <f>5000*O13*F5</f>
        <v>768.73385012919903</v>
      </c>
      <c r="M5" s="362">
        <v>8</v>
      </c>
      <c r="N5" s="370">
        <v>12.74</v>
      </c>
      <c r="O5" s="370">
        <v>4.8899999999999997</v>
      </c>
      <c r="P5" s="364">
        <f t="shared" si="0"/>
        <v>4.1224999999999996</v>
      </c>
      <c r="Q5" s="370">
        <v>0.51</v>
      </c>
      <c r="R5" s="371">
        <v>22.39</v>
      </c>
      <c r="U5" s="370">
        <v>4.25</v>
      </c>
    </row>
    <row r="6" spans="1:36" x14ac:dyDescent="0.25">
      <c r="A6" s="366" t="s">
        <v>714</v>
      </c>
      <c r="B6" s="367">
        <v>11448</v>
      </c>
      <c r="C6" s="377">
        <v>11279.159999999998</v>
      </c>
      <c r="D6" s="373">
        <v>90</v>
      </c>
      <c r="E6" s="374">
        <f>D6*(C6-B6)</f>
        <v>-15195.600000000177</v>
      </c>
      <c r="F6" s="375">
        <v>1</v>
      </c>
      <c r="G6" s="374">
        <f>(C6-B6)*F6</f>
        <v>-168.84000000000196</v>
      </c>
      <c r="H6" s="375">
        <v>19</v>
      </c>
      <c r="I6" s="376">
        <f>(C6-B6)*H6</f>
        <v>-3207.9600000000373</v>
      </c>
      <c r="J6" s="374">
        <f>H6*C6</f>
        <v>214304.03999999995</v>
      </c>
      <c r="K6" s="18">
        <f>B6*F6</f>
        <v>11448</v>
      </c>
      <c r="L6" s="27">
        <f>5000*P13*F6</f>
        <v>982.89036544850512</v>
      </c>
      <c r="M6" s="362">
        <v>7</v>
      </c>
      <c r="N6" s="363">
        <v>12</v>
      </c>
      <c r="O6" s="363">
        <v>4.53</v>
      </c>
      <c r="P6" s="364">
        <f t="shared" si="0"/>
        <v>3.7247999999999997</v>
      </c>
      <c r="Q6" s="363">
        <v>0.46000000000000008</v>
      </c>
      <c r="R6" s="365">
        <v>20.83</v>
      </c>
      <c r="U6" s="363">
        <v>3.84</v>
      </c>
    </row>
    <row r="7" spans="1:36" x14ac:dyDescent="0.25">
      <c r="A7" s="366" t="s">
        <v>715</v>
      </c>
      <c r="B7" s="367">
        <v>1335</v>
      </c>
      <c r="C7" s="380">
        <v>1395.3600000000001</v>
      </c>
      <c r="D7" s="378">
        <v>300</v>
      </c>
      <c r="E7" s="374">
        <f>D7*(C7-B7)</f>
        <v>18108.000000000036</v>
      </c>
      <c r="F7" s="379">
        <v>2.5</v>
      </c>
      <c r="G7" s="374">
        <f>(C7-B7)*F7</f>
        <v>150.90000000000032</v>
      </c>
      <c r="H7" s="379">
        <v>35</v>
      </c>
      <c r="I7" s="376">
        <f>(C7-B7)*H7</f>
        <v>2112.6000000000045</v>
      </c>
      <c r="J7" s="374">
        <f>H7*C7</f>
        <v>48837.600000000006</v>
      </c>
      <c r="K7" s="18">
        <f>B7*F7</f>
        <v>3337.5</v>
      </c>
      <c r="L7" s="27">
        <f>5000*Q13*F7</f>
        <v>313.76891842008126</v>
      </c>
      <c r="M7" s="362">
        <v>6</v>
      </c>
      <c r="N7" s="370">
        <v>11.26</v>
      </c>
      <c r="O7" s="370">
        <v>4.17</v>
      </c>
      <c r="P7" s="364">
        <f t="shared" si="0"/>
        <v>3.3367999999999998</v>
      </c>
      <c r="Q7" s="370">
        <v>0.41</v>
      </c>
      <c r="R7" s="371">
        <v>19.27</v>
      </c>
      <c r="U7" s="370">
        <v>3.44</v>
      </c>
    </row>
    <row r="8" spans="1:36" x14ac:dyDescent="0.25">
      <c r="C8" s="381">
        <f>C4/$C$3</f>
        <v>0.57226277372262779</v>
      </c>
      <c r="J8" s="374">
        <f>J7+J6+J5+J4</f>
        <v>640928.5199999999</v>
      </c>
      <c r="K8" s="18">
        <f>K7+K6+K5+K4</f>
        <v>40424.1</v>
      </c>
      <c r="L8" s="18">
        <f>L7+L6+L5+L4</f>
        <v>3447.8220745662611</v>
      </c>
      <c r="M8" s="362">
        <v>5</v>
      </c>
      <c r="N8" s="363">
        <v>10.52</v>
      </c>
      <c r="O8" s="363">
        <v>3.81</v>
      </c>
      <c r="P8" s="364">
        <f t="shared" si="0"/>
        <v>2.9390999999999998</v>
      </c>
      <c r="Q8" s="363">
        <v>0.35</v>
      </c>
      <c r="R8" s="365">
        <v>17.719999999999995</v>
      </c>
      <c r="U8" s="363">
        <v>3.03</v>
      </c>
    </row>
    <row r="9" spans="1:36" x14ac:dyDescent="0.25">
      <c r="C9" s="382">
        <f>C5/$C$3</f>
        <v>0.21965188096574959</v>
      </c>
      <c r="E9" s="25">
        <f>C4-B4</f>
        <v>1503.6399999999994</v>
      </c>
      <c r="F9">
        <f>D4*C4</f>
        <v>1568548.8</v>
      </c>
      <c r="H9">
        <f>H10+H11+H12+H13</f>
        <v>71304</v>
      </c>
      <c r="M9" s="362">
        <v>4</v>
      </c>
      <c r="N9" s="370">
        <v>9.8000000000000007</v>
      </c>
      <c r="O9" s="370">
        <v>3.46</v>
      </c>
      <c r="P9" s="364">
        <f t="shared" si="0"/>
        <v>2.5510999999999999</v>
      </c>
      <c r="Q9" s="370">
        <v>0.3</v>
      </c>
      <c r="R9" s="371">
        <v>16.170000000000002</v>
      </c>
      <c r="U9" s="370">
        <v>2.63</v>
      </c>
    </row>
    <row r="10" spans="1:36" x14ac:dyDescent="0.25">
      <c r="B10" s="383">
        <f>B11/B13</f>
        <v>8.078901786406778E-2</v>
      </c>
      <c r="C10" s="382">
        <f>C6/$C$3</f>
        <v>0.18517686692869173</v>
      </c>
      <c r="E10" s="25">
        <f>C5-B5</f>
        <v>576.03999999999905</v>
      </c>
      <c r="F10">
        <f t="shared" ref="F10:F12" si="1">D5*C5</f>
        <v>1003427.9999999999</v>
      </c>
      <c r="H10">
        <v>40146</v>
      </c>
      <c r="I10" s="58">
        <f>H10/$H$9</f>
        <v>0.56302591719959605</v>
      </c>
      <c r="M10" s="362">
        <v>3</v>
      </c>
      <c r="N10" s="363">
        <v>9.09</v>
      </c>
      <c r="O10" s="363">
        <v>3.1</v>
      </c>
      <c r="P10" s="364">
        <f t="shared" si="0"/>
        <v>2.1436999999999999</v>
      </c>
      <c r="Q10" s="363">
        <v>0.24</v>
      </c>
      <c r="R10" s="365">
        <v>14.63</v>
      </c>
      <c r="U10" s="363">
        <v>2.21</v>
      </c>
    </row>
    <row r="11" spans="1:36" x14ac:dyDescent="0.25">
      <c r="A11" s="341" t="s">
        <v>716</v>
      </c>
      <c r="B11" s="384">
        <v>10000</v>
      </c>
      <c r="C11" s="382">
        <f>C7/$C$3</f>
        <v>2.290847838293094E-2</v>
      </c>
      <c r="E11" s="25">
        <f>C6-B6</f>
        <v>-168.84000000000196</v>
      </c>
      <c r="F11">
        <f t="shared" si="1"/>
        <v>1015124.3999999998</v>
      </c>
      <c r="H11">
        <v>15594</v>
      </c>
      <c r="I11" s="58">
        <f>H11/$H$9</f>
        <v>0.21869740828004039</v>
      </c>
      <c r="M11" s="362">
        <v>2</v>
      </c>
      <c r="N11" s="370">
        <v>8.42</v>
      </c>
      <c r="O11" s="370">
        <v>2.73</v>
      </c>
      <c r="P11" s="364">
        <f t="shared" si="0"/>
        <v>1.7168999999999999</v>
      </c>
      <c r="Q11" s="370">
        <v>0.17999999999999997</v>
      </c>
      <c r="R11" s="371">
        <v>13.090000000000002</v>
      </c>
      <c r="U11" s="370">
        <v>1.77</v>
      </c>
    </row>
    <row r="12" spans="1:36" x14ac:dyDescent="0.25">
      <c r="A12" s="341" t="s">
        <v>717</v>
      </c>
      <c r="B12" s="385">
        <f>E7+E6+E5+E4</f>
        <v>113779.19999999976</v>
      </c>
      <c r="E12" s="25">
        <f>C7-B7</f>
        <v>60.360000000000127</v>
      </c>
      <c r="F12">
        <f t="shared" si="1"/>
        <v>418608.00000000006</v>
      </c>
      <c r="H12">
        <v>13868</v>
      </c>
      <c r="I12" s="58">
        <f>H12/$H$9</f>
        <v>0.19449119263996409</v>
      </c>
      <c r="M12" s="362">
        <v>1</v>
      </c>
      <c r="N12" s="363">
        <v>7.8499999999999988</v>
      </c>
      <c r="O12" s="363">
        <v>2.34</v>
      </c>
      <c r="P12" s="364">
        <f t="shared" si="0"/>
        <v>1.1931</v>
      </c>
      <c r="Q12" s="363">
        <v>0.1</v>
      </c>
      <c r="R12" s="365">
        <v>11.53</v>
      </c>
      <c r="U12" s="363">
        <v>1.23</v>
      </c>
    </row>
    <row r="13" spans="1:36" x14ac:dyDescent="0.25">
      <c r="A13" s="386" t="s">
        <v>581</v>
      </c>
      <c r="B13" s="387">
        <f>B11+B12</f>
        <v>123779.19999999976</v>
      </c>
      <c r="H13">
        <v>1696</v>
      </c>
      <c r="I13" s="58">
        <f>H13/$H$9</f>
        <v>2.3785481880399417E-2</v>
      </c>
      <c r="N13">
        <f>N2/R2</f>
        <v>0.55297157622739024</v>
      </c>
      <c r="O13">
        <f>O2/R2</f>
        <v>0.21963824289405687</v>
      </c>
      <c r="P13" s="364">
        <f>P2/R2</f>
        <v>0.19657807308970102</v>
      </c>
      <c r="Q13">
        <f>Q2/R2</f>
        <v>2.5101513473606504E-2</v>
      </c>
    </row>
    <row r="15" spans="1:36" x14ac:dyDescent="0.25">
      <c r="A15" s="43"/>
      <c r="B15" s="388" t="s">
        <v>500</v>
      </c>
      <c r="C15" s="388" t="s">
        <v>501</v>
      </c>
      <c r="D15" s="388" t="s">
        <v>502</v>
      </c>
      <c r="E15" s="388" t="s">
        <v>503</v>
      </c>
      <c r="F15" s="388" t="s">
        <v>504</v>
      </c>
      <c r="G15" s="388" t="s">
        <v>505</v>
      </c>
      <c r="H15" s="388" t="s">
        <v>506</v>
      </c>
      <c r="I15" s="388" t="s">
        <v>507</v>
      </c>
      <c r="J15" s="388" t="s">
        <v>508</v>
      </c>
      <c r="K15" s="388" t="s">
        <v>509</v>
      </c>
      <c r="L15" s="388" t="s">
        <v>510</v>
      </c>
      <c r="M15" s="388" t="s">
        <v>511</v>
      </c>
      <c r="N15" s="388" t="s">
        <v>512</v>
      </c>
      <c r="O15" s="388" t="s">
        <v>513</v>
      </c>
      <c r="P15" s="388" t="s">
        <v>514</v>
      </c>
      <c r="Q15" s="388" t="s">
        <v>515</v>
      </c>
      <c r="R15" s="388" t="s">
        <v>500</v>
      </c>
      <c r="S15" s="388" t="s">
        <v>501</v>
      </c>
      <c r="T15" s="388" t="s">
        <v>502</v>
      </c>
      <c r="U15" s="388" t="s">
        <v>503</v>
      </c>
      <c r="V15" s="388" t="s">
        <v>504</v>
      </c>
      <c r="W15" s="388" t="s">
        <v>505</v>
      </c>
      <c r="X15" s="388" t="s">
        <v>506</v>
      </c>
      <c r="Y15" s="388" t="s">
        <v>507</v>
      </c>
      <c r="Z15" s="388" t="s">
        <v>508</v>
      </c>
      <c r="AA15" s="388" t="s">
        <v>509</v>
      </c>
      <c r="AB15" s="388" t="s">
        <v>510</v>
      </c>
      <c r="AC15" s="388" t="s">
        <v>511</v>
      </c>
      <c r="AD15" s="388" t="s">
        <v>512</v>
      </c>
      <c r="AE15" s="388" t="s">
        <v>513</v>
      </c>
      <c r="AF15" s="388" t="s">
        <v>514</v>
      </c>
      <c r="AG15" s="388" t="s">
        <v>515</v>
      </c>
      <c r="AH15" s="388"/>
      <c r="AI15" s="388"/>
    </row>
    <row r="16" spans="1:36" x14ac:dyDescent="0.25">
      <c r="A16" s="389" t="s">
        <v>718</v>
      </c>
      <c r="B16" s="390">
        <v>2680</v>
      </c>
      <c r="C16" s="390">
        <f t="shared" ref="C16:AG16" si="2">B16+2</f>
        <v>2682</v>
      </c>
      <c r="D16" s="390">
        <f t="shared" si="2"/>
        <v>2684</v>
      </c>
      <c r="E16" s="390">
        <f t="shared" si="2"/>
        <v>2686</v>
      </c>
      <c r="F16" s="390">
        <f t="shared" si="2"/>
        <v>2688</v>
      </c>
      <c r="G16" s="390">
        <f t="shared" si="2"/>
        <v>2690</v>
      </c>
      <c r="H16" s="390">
        <f t="shared" si="2"/>
        <v>2692</v>
      </c>
      <c r="I16" s="390">
        <f t="shared" si="2"/>
        <v>2694</v>
      </c>
      <c r="J16" s="390">
        <f t="shared" si="2"/>
        <v>2696</v>
      </c>
      <c r="K16" s="390">
        <f t="shared" si="2"/>
        <v>2698</v>
      </c>
      <c r="L16" s="390">
        <f t="shared" si="2"/>
        <v>2700</v>
      </c>
      <c r="M16" s="390">
        <f t="shared" si="2"/>
        <v>2702</v>
      </c>
      <c r="N16" s="390">
        <f t="shared" si="2"/>
        <v>2704</v>
      </c>
      <c r="O16" s="390">
        <f t="shared" si="2"/>
        <v>2706</v>
      </c>
      <c r="P16" s="390">
        <f t="shared" si="2"/>
        <v>2708</v>
      </c>
      <c r="Q16" s="390">
        <f t="shared" si="2"/>
        <v>2710</v>
      </c>
      <c r="R16" s="390">
        <f t="shared" si="2"/>
        <v>2712</v>
      </c>
      <c r="S16" s="390">
        <f t="shared" si="2"/>
        <v>2714</v>
      </c>
      <c r="T16" s="390">
        <f t="shared" si="2"/>
        <v>2716</v>
      </c>
      <c r="U16" s="390">
        <f t="shared" si="2"/>
        <v>2718</v>
      </c>
      <c r="V16" s="390">
        <f t="shared" si="2"/>
        <v>2720</v>
      </c>
      <c r="W16" s="390">
        <f t="shared" si="2"/>
        <v>2722</v>
      </c>
      <c r="X16" s="390">
        <f t="shared" si="2"/>
        <v>2724</v>
      </c>
      <c r="Y16" s="390">
        <f t="shared" si="2"/>
        <v>2726</v>
      </c>
      <c r="Z16" s="390">
        <f t="shared" si="2"/>
        <v>2728</v>
      </c>
      <c r="AA16" s="390">
        <f t="shared" si="2"/>
        <v>2730</v>
      </c>
      <c r="AB16" s="390">
        <f t="shared" si="2"/>
        <v>2732</v>
      </c>
      <c r="AC16" s="390">
        <f t="shared" si="2"/>
        <v>2734</v>
      </c>
      <c r="AD16" s="390">
        <f t="shared" si="2"/>
        <v>2736</v>
      </c>
      <c r="AE16" s="390">
        <f t="shared" si="2"/>
        <v>2738</v>
      </c>
      <c r="AF16" s="390">
        <f t="shared" si="2"/>
        <v>2740</v>
      </c>
      <c r="AG16" s="390">
        <f t="shared" si="2"/>
        <v>2742</v>
      </c>
      <c r="AH16" s="390">
        <f>AG16+4</f>
        <v>2746</v>
      </c>
      <c r="AI16" s="390">
        <f>AH16+4</f>
        <v>2750</v>
      </c>
      <c r="AJ16" s="390">
        <f>AI16+4</f>
        <v>2754</v>
      </c>
    </row>
    <row r="17" spans="1:48" s="41" customFormat="1" x14ac:dyDescent="0.25">
      <c r="A17" s="400"/>
      <c r="B17" s="401">
        <f t="shared" ref="B17:AD17" si="3">B18+B19+B20+B21</f>
        <v>59663.5</v>
      </c>
      <c r="C17" s="401">
        <f t="shared" si="3"/>
        <v>59708.025000000001</v>
      </c>
      <c r="D17" s="401">
        <f t="shared" si="3"/>
        <v>59752.549999999996</v>
      </c>
      <c r="E17" s="401">
        <f t="shared" si="3"/>
        <v>59797.074999999997</v>
      </c>
      <c r="F17" s="401">
        <f t="shared" si="3"/>
        <v>59841.599999999999</v>
      </c>
      <c r="G17" s="401">
        <f t="shared" si="3"/>
        <v>59886.125</v>
      </c>
      <c r="H17" s="401">
        <f t="shared" si="3"/>
        <v>59930.649999999994</v>
      </c>
      <c r="I17" s="401">
        <f t="shared" si="3"/>
        <v>59975.175000000003</v>
      </c>
      <c r="J17" s="401">
        <f t="shared" si="3"/>
        <v>60019.69999999999</v>
      </c>
      <c r="K17" s="401">
        <f t="shared" si="3"/>
        <v>60064.225000000006</v>
      </c>
      <c r="L17" s="401">
        <f t="shared" si="3"/>
        <v>60108.75</v>
      </c>
      <c r="M17" s="401">
        <f t="shared" si="3"/>
        <v>60153.275000000001</v>
      </c>
      <c r="N17" s="401">
        <f t="shared" si="3"/>
        <v>60197.799999999996</v>
      </c>
      <c r="O17" s="401">
        <f t="shared" si="3"/>
        <v>60242.324999999997</v>
      </c>
      <c r="P17" s="401">
        <f t="shared" si="3"/>
        <v>60286.849999999991</v>
      </c>
      <c r="Q17" s="401">
        <f t="shared" si="3"/>
        <v>60331.375</v>
      </c>
      <c r="R17" s="401">
        <f t="shared" si="3"/>
        <v>60375.9</v>
      </c>
      <c r="S17" s="401">
        <f t="shared" si="3"/>
        <v>60420.424999999996</v>
      </c>
      <c r="T17" s="401">
        <f t="shared" si="3"/>
        <v>60464.950000000004</v>
      </c>
      <c r="U17" s="401">
        <f t="shared" si="3"/>
        <v>60509.474999999999</v>
      </c>
      <c r="V17" s="401">
        <f t="shared" si="3"/>
        <v>60554</v>
      </c>
      <c r="W17" s="401">
        <f t="shared" si="3"/>
        <v>60598.525000000001</v>
      </c>
      <c r="X17" s="401">
        <f t="shared" si="3"/>
        <v>60643.049999999996</v>
      </c>
      <c r="Y17" s="401">
        <f t="shared" si="3"/>
        <v>60687.574999999997</v>
      </c>
      <c r="Z17" s="401">
        <f t="shared" si="3"/>
        <v>60732.1</v>
      </c>
      <c r="AA17" s="401">
        <f t="shared" si="3"/>
        <v>60776.625</v>
      </c>
      <c r="AB17" s="401">
        <f t="shared" si="3"/>
        <v>60821.15</v>
      </c>
      <c r="AC17" s="401">
        <f t="shared" si="3"/>
        <v>60865.674999999996</v>
      </c>
      <c r="AD17" s="401">
        <f t="shared" si="3"/>
        <v>60910.2</v>
      </c>
      <c r="AE17" s="401"/>
      <c r="AF17" s="401"/>
      <c r="AG17" s="401"/>
      <c r="AH17" s="401"/>
      <c r="AI17" s="401"/>
    </row>
    <row r="18" spans="1:48" x14ac:dyDescent="0.25">
      <c r="A18" s="391" t="s">
        <v>719</v>
      </c>
      <c r="B18" s="392">
        <f t="shared" ref="B18:AK18" si="4">B16*$N$5</f>
        <v>34143.199999999997</v>
      </c>
      <c r="C18" s="392">
        <f t="shared" si="4"/>
        <v>34168.68</v>
      </c>
      <c r="D18" s="392">
        <f t="shared" si="4"/>
        <v>34194.160000000003</v>
      </c>
      <c r="E18" s="392">
        <f t="shared" si="4"/>
        <v>34219.64</v>
      </c>
      <c r="F18" s="392">
        <f t="shared" si="4"/>
        <v>34245.120000000003</v>
      </c>
      <c r="G18" s="392">
        <f t="shared" si="4"/>
        <v>34270.6</v>
      </c>
      <c r="H18" s="392">
        <f t="shared" si="4"/>
        <v>34296.080000000002</v>
      </c>
      <c r="I18" s="392">
        <f t="shared" si="4"/>
        <v>34321.56</v>
      </c>
      <c r="J18" s="392">
        <f t="shared" si="4"/>
        <v>34347.040000000001</v>
      </c>
      <c r="K18" s="392">
        <f t="shared" si="4"/>
        <v>34372.520000000004</v>
      </c>
      <c r="L18" s="392">
        <f t="shared" si="4"/>
        <v>34398</v>
      </c>
      <c r="M18" s="392">
        <f t="shared" si="4"/>
        <v>34423.480000000003</v>
      </c>
      <c r="N18" s="392">
        <f t="shared" si="4"/>
        <v>34448.959999999999</v>
      </c>
      <c r="O18" s="392">
        <f t="shared" si="4"/>
        <v>34474.44</v>
      </c>
      <c r="P18" s="392">
        <f t="shared" si="4"/>
        <v>34499.919999999998</v>
      </c>
      <c r="Q18" s="392">
        <f t="shared" si="4"/>
        <v>34525.4</v>
      </c>
      <c r="R18" s="392">
        <f t="shared" si="4"/>
        <v>34550.879999999997</v>
      </c>
      <c r="S18" s="392">
        <f t="shared" si="4"/>
        <v>34576.36</v>
      </c>
      <c r="T18" s="392">
        <f t="shared" si="4"/>
        <v>34601.840000000004</v>
      </c>
      <c r="U18" s="392">
        <f t="shared" si="4"/>
        <v>34627.32</v>
      </c>
      <c r="V18" s="392">
        <f t="shared" si="4"/>
        <v>34652.800000000003</v>
      </c>
      <c r="W18" s="392">
        <f t="shared" si="4"/>
        <v>34678.28</v>
      </c>
      <c r="X18" s="392">
        <f t="shared" si="4"/>
        <v>34703.760000000002</v>
      </c>
      <c r="Y18" s="392">
        <f t="shared" si="4"/>
        <v>34729.24</v>
      </c>
      <c r="Z18" s="392">
        <f t="shared" si="4"/>
        <v>34754.720000000001</v>
      </c>
      <c r="AA18" s="392">
        <f t="shared" si="4"/>
        <v>34780.199999999997</v>
      </c>
      <c r="AB18" s="392">
        <f t="shared" si="4"/>
        <v>34805.68</v>
      </c>
      <c r="AC18" s="392">
        <f t="shared" si="4"/>
        <v>34831.160000000003</v>
      </c>
      <c r="AD18" s="392">
        <f t="shared" si="4"/>
        <v>34856.639999999999</v>
      </c>
      <c r="AE18" s="392">
        <f t="shared" si="4"/>
        <v>34882.120000000003</v>
      </c>
      <c r="AF18" s="392">
        <f t="shared" si="4"/>
        <v>34907.599999999999</v>
      </c>
      <c r="AG18" s="392">
        <f t="shared" si="4"/>
        <v>34933.08</v>
      </c>
      <c r="AH18" s="392">
        <f t="shared" si="4"/>
        <v>34984.04</v>
      </c>
      <c r="AI18" s="392">
        <f t="shared" si="4"/>
        <v>35035</v>
      </c>
      <c r="AJ18" s="392">
        <f t="shared" si="4"/>
        <v>35085.96</v>
      </c>
      <c r="AK18" s="392">
        <f t="shared" si="4"/>
        <v>0</v>
      </c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</row>
    <row r="19" spans="1:48" x14ac:dyDescent="0.25">
      <c r="A19" s="391" t="s">
        <v>720</v>
      </c>
      <c r="B19" s="392">
        <f t="shared" ref="B19:AK19" si="5">B16*$O$5</f>
        <v>13105.199999999999</v>
      </c>
      <c r="C19" s="392">
        <f t="shared" si="5"/>
        <v>13114.98</v>
      </c>
      <c r="D19" s="392">
        <f t="shared" si="5"/>
        <v>13124.759999999998</v>
      </c>
      <c r="E19" s="392">
        <f t="shared" si="5"/>
        <v>13134.539999999999</v>
      </c>
      <c r="F19" s="392">
        <f t="shared" si="5"/>
        <v>13144.32</v>
      </c>
      <c r="G19" s="392">
        <f t="shared" si="5"/>
        <v>13154.099999999999</v>
      </c>
      <c r="H19" s="392">
        <f t="shared" si="5"/>
        <v>13163.88</v>
      </c>
      <c r="I19" s="392">
        <f t="shared" si="5"/>
        <v>13173.66</v>
      </c>
      <c r="J19" s="392">
        <f t="shared" si="5"/>
        <v>13183.439999999999</v>
      </c>
      <c r="K19" s="392">
        <f t="shared" si="5"/>
        <v>13193.22</v>
      </c>
      <c r="L19" s="392">
        <f t="shared" si="5"/>
        <v>13203</v>
      </c>
      <c r="M19" s="392">
        <f t="shared" si="5"/>
        <v>13212.779999999999</v>
      </c>
      <c r="N19" s="392">
        <f t="shared" si="5"/>
        <v>13222.56</v>
      </c>
      <c r="O19" s="392">
        <f t="shared" si="5"/>
        <v>13232.339999999998</v>
      </c>
      <c r="P19" s="392">
        <f t="shared" si="5"/>
        <v>13242.119999999999</v>
      </c>
      <c r="Q19" s="392">
        <f t="shared" si="5"/>
        <v>13251.9</v>
      </c>
      <c r="R19" s="392">
        <f t="shared" si="5"/>
        <v>13261.679999999998</v>
      </c>
      <c r="S19" s="392">
        <f t="shared" si="5"/>
        <v>13271.46</v>
      </c>
      <c r="T19" s="392">
        <f t="shared" si="5"/>
        <v>13281.24</v>
      </c>
      <c r="U19" s="392">
        <f t="shared" si="5"/>
        <v>13291.019999999999</v>
      </c>
      <c r="V19" s="392">
        <f t="shared" si="5"/>
        <v>13300.8</v>
      </c>
      <c r="W19" s="392">
        <f t="shared" si="5"/>
        <v>13310.58</v>
      </c>
      <c r="X19" s="392">
        <f t="shared" si="5"/>
        <v>13320.359999999999</v>
      </c>
      <c r="Y19" s="392">
        <f t="shared" si="5"/>
        <v>13330.14</v>
      </c>
      <c r="Z19" s="392">
        <f t="shared" si="5"/>
        <v>13339.919999999998</v>
      </c>
      <c r="AA19" s="392">
        <f t="shared" si="5"/>
        <v>13349.699999999999</v>
      </c>
      <c r="AB19" s="392">
        <f t="shared" si="5"/>
        <v>13359.48</v>
      </c>
      <c r="AC19" s="392">
        <f t="shared" si="5"/>
        <v>13369.259999999998</v>
      </c>
      <c r="AD19" s="392">
        <f t="shared" si="5"/>
        <v>13379.039999999999</v>
      </c>
      <c r="AE19" s="392">
        <f t="shared" si="5"/>
        <v>13388.82</v>
      </c>
      <c r="AF19" s="392">
        <f t="shared" si="5"/>
        <v>13398.599999999999</v>
      </c>
      <c r="AG19" s="392">
        <f t="shared" si="5"/>
        <v>13408.38</v>
      </c>
      <c r="AH19" s="392">
        <f t="shared" si="5"/>
        <v>13427.939999999999</v>
      </c>
      <c r="AI19" s="392">
        <f t="shared" si="5"/>
        <v>13447.5</v>
      </c>
      <c r="AJ19" s="392">
        <f t="shared" si="5"/>
        <v>13467.06</v>
      </c>
      <c r="AK19" s="392">
        <f t="shared" si="5"/>
        <v>0</v>
      </c>
    </row>
    <row r="20" spans="1:48" x14ac:dyDescent="0.25">
      <c r="A20" s="391" t="s">
        <v>721</v>
      </c>
      <c r="B20" s="392">
        <f t="shared" ref="B20:AK20" si="6">B16*$P$5</f>
        <v>11048.3</v>
      </c>
      <c r="C20" s="392">
        <f t="shared" si="6"/>
        <v>11056.544999999998</v>
      </c>
      <c r="D20" s="392">
        <f t="shared" si="6"/>
        <v>11064.789999999999</v>
      </c>
      <c r="E20" s="392">
        <f t="shared" si="6"/>
        <v>11073.035</v>
      </c>
      <c r="F20" s="392">
        <f t="shared" si="6"/>
        <v>11081.279999999999</v>
      </c>
      <c r="G20" s="392">
        <f t="shared" si="6"/>
        <v>11089.525</v>
      </c>
      <c r="H20" s="392">
        <f t="shared" si="6"/>
        <v>11097.769999999999</v>
      </c>
      <c r="I20" s="392">
        <f t="shared" si="6"/>
        <v>11106.014999999999</v>
      </c>
      <c r="J20" s="392">
        <f t="shared" si="6"/>
        <v>11114.259999999998</v>
      </c>
      <c r="K20" s="392">
        <f t="shared" si="6"/>
        <v>11122.504999999999</v>
      </c>
      <c r="L20" s="392">
        <f t="shared" si="6"/>
        <v>11130.749999999998</v>
      </c>
      <c r="M20" s="392">
        <f t="shared" si="6"/>
        <v>11138.994999999999</v>
      </c>
      <c r="N20" s="392">
        <f t="shared" si="6"/>
        <v>11147.24</v>
      </c>
      <c r="O20" s="392">
        <f t="shared" si="6"/>
        <v>11155.484999999999</v>
      </c>
      <c r="P20" s="392">
        <f t="shared" si="6"/>
        <v>11163.73</v>
      </c>
      <c r="Q20" s="392">
        <f t="shared" si="6"/>
        <v>11171.974999999999</v>
      </c>
      <c r="R20" s="392">
        <f t="shared" si="6"/>
        <v>11180.22</v>
      </c>
      <c r="S20" s="392">
        <f t="shared" si="6"/>
        <v>11188.464999999998</v>
      </c>
      <c r="T20" s="392">
        <f t="shared" si="6"/>
        <v>11196.71</v>
      </c>
      <c r="U20" s="392">
        <f t="shared" si="6"/>
        <v>11204.954999999998</v>
      </c>
      <c r="V20" s="392">
        <f t="shared" si="6"/>
        <v>11213.199999999999</v>
      </c>
      <c r="W20" s="392">
        <f t="shared" si="6"/>
        <v>11221.445</v>
      </c>
      <c r="X20" s="392">
        <f t="shared" si="6"/>
        <v>11229.689999999999</v>
      </c>
      <c r="Y20" s="392">
        <f t="shared" si="6"/>
        <v>11237.934999999999</v>
      </c>
      <c r="Z20" s="392">
        <f t="shared" si="6"/>
        <v>11246.179999999998</v>
      </c>
      <c r="AA20" s="392">
        <f t="shared" si="6"/>
        <v>11254.424999999999</v>
      </c>
      <c r="AB20" s="392">
        <f t="shared" si="6"/>
        <v>11262.669999999998</v>
      </c>
      <c r="AC20" s="392">
        <f t="shared" si="6"/>
        <v>11270.914999999999</v>
      </c>
      <c r="AD20" s="392">
        <f t="shared" si="6"/>
        <v>11279.159999999998</v>
      </c>
      <c r="AE20" s="392">
        <f t="shared" si="6"/>
        <v>11287.404999999999</v>
      </c>
      <c r="AF20" s="392">
        <f t="shared" si="6"/>
        <v>11295.65</v>
      </c>
      <c r="AG20" s="392">
        <f t="shared" si="6"/>
        <v>11303.894999999999</v>
      </c>
      <c r="AH20" s="392">
        <f t="shared" si="6"/>
        <v>11320.384999999998</v>
      </c>
      <c r="AI20" s="392">
        <f t="shared" si="6"/>
        <v>11336.874999999998</v>
      </c>
      <c r="AJ20" s="392">
        <f t="shared" si="6"/>
        <v>11353.365</v>
      </c>
      <c r="AK20" s="392">
        <f t="shared" si="6"/>
        <v>0</v>
      </c>
    </row>
    <row r="21" spans="1:48" x14ac:dyDescent="0.25">
      <c r="A21" s="391" t="s">
        <v>722</v>
      </c>
      <c r="B21" s="392">
        <f t="shared" ref="B21:AK21" si="7">B16*$Q$5</f>
        <v>1366.8</v>
      </c>
      <c r="C21" s="392">
        <f t="shared" si="7"/>
        <v>1367.82</v>
      </c>
      <c r="D21" s="392">
        <f t="shared" si="7"/>
        <v>1368.84</v>
      </c>
      <c r="E21" s="392">
        <f t="shared" si="7"/>
        <v>1369.8600000000001</v>
      </c>
      <c r="F21" s="392">
        <f t="shared" si="7"/>
        <v>1370.88</v>
      </c>
      <c r="G21" s="392">
        <f t="shared" si="7"/>
        <v>1371.9</v>
      </c>
      <c r="H21" s="392">
        <f t="shared" si="7"/>
        <v>1372.92</v>
      </c>
      <c r="I21" s="392">
        <f t="shared" si="7"/>
        <v>1373.94</v>
      </c>
      <c r="J21" s="392">
        <f t="shared" si="7"/>
        <v>1374.96</v>
      </c>
      <c r="K21" s="392">
        <f t="shared" si="7"/>
        <v>1375.98</v>
      </c>
      <c r="L21" s="392">
        <f t="shared" si="7"/>
        <v>1377</v>
      </c>
      <c r="M21" s="392">
        <f t="shared" si="7"/>
        <v>1378.02</v>
      </c>
      <c r="N21" s="392">
        <f t="shared" si="7"/>
        <v>1379.04</v>
      </c>
      <c r="O21" s="392">
        <f t="shared" si="7"/>
        <v>1380.06</v>
      </c>
      <c r="P21" s="392">
        <f t="shared" si="7"/>
        <v>1381.08</v>
      </c>
      <c r="Q21" s="392">
        <f t="shared" si="7"/>
        <v>1382.1000000000001</v>
      </c>
      <c r="R21" s="392">
        <f t="shared" si="7"/>
        <v>1383.1200000000001</v>
      </c>
      <c r="S21" s="392">
        <f t="shared" si="7"/>
        <v>1384.14</v>
      </c>
      <c r="T21" s="392">
        <f t="shared" si="7"/>
        <v>1385.16</v>
      </c>
      <c r="U21" s="392">
        <f t="shared" si="7"/>
        <v>1386.18</v>
      </c>
      <c r="V21" s="392">
        <f t="shared" si="7"/>
        <v>1387.2</v>
      </c>
      <c r="W21" s="392">
        <f t="shared" si="7"/>
        <v>1388.22</v>
      </c>
      <c r="X21" s="392">
        <f t="shared" si="7"/>
        <v>1389.24</v>
      </c>
      <c r="Y21" s="392">
        <f t="shared" si="7"/>
        <v>1390.26</v>
      </c>
      <c r="Z21" s="392">
        <f t="shared" si="7"/>
        <v>1391.28</v>
      </c>
      <c r="AA21" s="392">
        <f t="shared" si="7"/>
        <v>1392.3</v>
      </c>
      <c r="AB21" s="392">
        <f t="shared" si="7"/>
        <v>1393.32</v>
      </c>
      <c r="AC21" s="392">
        <f t="shared" si="7"/>
        <v>1394.34</v>
      </c>
      <c r="AD21" s="392">
        <f t="shared" si="7"/>
        <v>1395.3600000000001</v>
      </c>
      <c r="AE21" s="392">
        <f t="shared" si="7"/>
        <v>1396.38</v>
      </c>
      <c r="AF21" s="392">
        <f t="shared" si="7"/>
        <v>1397.4</v>
      </c>
      <c r="AG21" s="392">
        <f t="shared" si="7"/>
        <v>1398.42</v>
      </c>
      <c r="AH21" s="392">
        <f t="shared" si="7"/>
        <v>1400.46</v>
      </c>
      <c r="AI21" s="392">
        <f t="shared" si="7"/>
        <v>1402.5</v>
      </c>
      <c r="AJ21" s="392">
        <f t="shared" si="7"/>
        <v>1404.54</v>
      </c>
      <c r="AK21" s="392">
        <f t="shared" si="7"/>
        <v>0</v>
      </c>
    </row>
    <row r="22" spans="1:48" x14ac:dyDescent="0.25">
      <c r="A22" s="391" t="s">
        <v>723</v>
      </c>
      <c r="B22" s="392">
        <f t="shared" ref="B22:AD22" si="8">MIN(B$18,$C$4)</f>
        <v>34143.199999999997</v>
      </c>
      <c r="C22" s="392">
        <f t="shared" si="8"/>
        <v>34168.68</v>
      </c>
      <c r="D22" s="392">
        <f t="shared" si="8"/>
        <v>34194.160000000003</v>
      </c>
      <c r="E22" s="392">
        <f t="shared" si="8"/>
        <v>34219.64</v>
      </c>
      <c r="F22" s="392">
        <f t="shared" si="8"/>
        <v>34245.120000000003</v>
      </c>
      <c r="G22" s="392">
        <f t="shared" si="8"/>
        <v>34270.6</v>
      </c>
      <c r="H22" s="392">
        <f t="shared" si="8"/>
        <v>34296.080000000002</v>
      </c>
      <c r="I22" s="392">
        <f t="shared" si="8"/>
        <v>34321.56</v>
      </c>
      <c r="J22" s="392">
        <f t="shared" si="8"/>
        <v>34347.040000000001</v>
      </c>
      <c r="K22" s="392">
        <f t="shared" si="8"/>
        <v>34372.520000000004</v>
      </c>
      <c r="L22" s="392">
        <f t="shared" si="8"/>
        <v>34398</v>
      </c>
      <c r="M22" s="392">
        <f t="shared" si="8"/>
        <v>34423.480000000003</v>
      </c>
      <c r="N22" s="392">
        <f t="shared" si="8"/>
        <v>34448.959999999999</v>
      </c>
      <c r="O22" s="392">
        <f t="shared" si="8"/>
        <v>34474.44</v>
      </c>
      <c r="P22" s="392">
        <f t="shared" si="8"/>
        <v>34499.919999999998</v>
      </c>
      <c r="Q22" s="392">
        <f t="shared" si="8"/>
        <v>34525.4</v>
      </c>
      <c r="R22" s="392">
        <f t="shared" si="8"/>
        <v>34550.879999999997</v>
      </c>
      <c r="S22" s="392">
        <f t="shared" si="8"/>
        <v>34576.36</v>
      </c>
      <c r="T22" s="392">
        <f t="shared" si="8"/>
        <v>34601.840000000004</v>
      </c>
      <c r="U22" s="392">
        <f t="shared" si="8"/>
        <v>34627.32</v>
      </c>
      <c r="V22" s="392">
        <f t="shared" si="8"/>
        <v>34652.800000000003</v>
      </c>
      <c r="W22" s="392">
        <f t="shared" si="8"/>
        <v>34678.28</v>
      </c>
      <c r="X22" s="392">
        <f t="shared" si="8"/>
        <v>34703.760000000002</v>
      </c>
      <c r="Y22" s="392">
        <f t="shared" si="8"/>
        <v>34729.24</v>
      </c>
      <c r="Z22" s="392">
        <f t="shared" si="8"/>
        <v>34754.720000000001</v>
      </c>
      <c r="AA22" s="392">
        <f t="shared" si="8"/>
        <v>34780.199999999997</v>
      </c>
      <c r="AB22" s="392">
        <f t="shared" si="8"/>
        <v>34805.68</v>
      </c>
      <c r="AC22" s="392">
        <f t="shared" si="8"/>
        <v>34831.160000000003</v>
      </c>
      <c r="AD22" s="392">
        <f t="shared" si="8"/>
        <v>34856.639999999999</v>
      </c>
      <c r="AE22" s="392"/>
      <c r="AF22" s="392"/>
      <c r="AG22" s="392"/>
      <c r="AH22" s="392"/>
      <c r="AI22" s="392"/>
    </row>
    <row r="23" spans="1:48" x14ac:dyDescent="0.25">
      <c r="A23" s="391" t="s">
        <v>724</v>
      </c>
      <c r="B23" s="392">
        <f t="shared" ref="B23:AD23" si="9">MIN(B$19,$C$5)</f>
        <v>13105.199999999999</v>
      </c>
      <c r="C23" s="392">
        <f t="shared" si="9"/>
        <v>13114.98</v>
      </c>
      <c r="D23" s="392">
        <f t="shared" si="9"/>
        <v>13124.759999999998</v>
      </c>
      <c r="E23" s="392">
        <f t="shared" si="9"/>
        <v>13134.539999999999</v>
      </c>
      <c r="F23" s="392">
        <f t="shared" si="9"/>
        <v>13144.32</v>
      </c>
      <c r="G23" s="392">
        <f t="shared" si="9"/>
        <v>13154.099999999999</v>
      </c>
      <c r="H23" s="392">
        <f t="shared" si="9"/>
        <v>13163.88</v>
      </c>
      <c r="I23" s="392">
        <f t="shared" si="9"/>
        <v>13173.66</v>
      </c>
      <c r="J23" s="392">
        <f t="shared" si="9"/>
        <v>13183.439999999999</v>
      </c>
      <c r="K23" s="392">
        <f t="shared" si="9"/>
        <v>13193.22</v>
      </c>
      <c r="L23" s="392">
        <f t="shared" si="9"/>
        <v>13203</v>
      </c>
      <c r="M23" s="392">
        <f t="shared" si="9"/>
        <v>13212.779999999999</v>
      </c>
      <c r="N23" s="392">
        <f t="shared" si="9"/>
        <v>13222.56</v>
      </c>
      <c r="O23" s="392">
        <f t="shared" si="9"/>
        <v>13232.339999999998</v>
      </c>
      <c r="P23" s="392">
        <f t="shared" si="9"/>
        <v>13242.119999999999</v>
      </c>
      <c r="Q23" s="392">
        <f t="shared" si="9"/>
        <v>13251.9</v>
      </c>
      <c r="R23" s="392">
        <f t="shared" si="9"/>
        <v>13261.679999999998</v>
      </c>
      <c r="S23" s="392">
        <f t="shared" si="9"/>
        <v>13271.46</v>
      </c>
      <c r="T23" s="392">
        <f t="shared" si="9"/>
        <v>13281.24</v>
      </c>
      <c r="U23" s="392">
        <f t="shared" si="9"/>
        <v>13291.019999999999</v>
      </c>
      <c r="V23" s="392">
        <f t="shared" si="9"/>
        <v>13300.8</v>
      </c>
      <c r="W23" s="392">
        <f t="shared" si="9"/>
        <v>13310.58</v>
      </c>
      <c r="X23" s="392">
        <f t="shared" si="9"/>
        <v>13320.359999999999</v>
      </c>
      <c r="Y23" s="392">
        <f t="shared" si="9"/>
        <v>13330.14</v>
      </c>
      <c r="Z23" s="392">
        <f t="shared" si="9"/>
        <v>13339.919999999998</v>
      </c>
      <c r="AA23" s="392">
        <f t="shared" si="9"/>
        <v>13349.699999999999</v>
      </c>
      <c r="AB23" s="392">
        <f t="shared" si="9"/>
        <v>13359.48</v>
      </c>
      <c r="AC23" s="392">
        <f t="shared" si="9"/>
        <v>13369.259999999998</v>
      </c>
      <c r="AD23" s="392">
        <f t="shared" si="9"/>
        <v>13379.039999999999</v>
      </c>
      <c r="AE23" s="392"/>
      <c r="AF23" s="392"/>
      <c r="AG23" s="392"/>
      <c r="AH23" s="392"/>
      <c r="AI23" s="392"/>
    </row>
    <row r="24" spans="1:48" x14ac:dyDescent="0.25">
      <c r="A24" s="391" t="s">
        <v>725</v>
      </c>
      <c r="B24" s="392">
        <f t="shared" ref="B24:AD24" si="10">MIN(B$20,$C$6)</f>
        <v>11048.3</v>
      </c>
      <c r="C24" s="392">
        <f t="shared" si="10"/>
        <v>11056.544999999998</v>
      </c>
      <c r="D24" s="392">
        <f t="shared" si="10"/>
        <v>11064.789999999999</v>
      </c>
      <c r="E24" s="392">
        <f t="shared" si="10"/>
        <v>11073.035</v>
      </c>
      <c r="F24" s="392">
        <f t="shared" si="10"/>
        <v>11081.279999999999</v>
      </c>
      <c r="G24" s="392">
        <f t="shared" si="10"/>
        <v>11089.525</v>
      </c>
      <c r="H24" s="392">
        <f t="shared" si="10"/>
        <v>11097.769999999999</v>
      </c>
      <c r="I24" s="392">
        <f t="shared" si="10"/>
        <v>11106.014999999999</v>
      </c>
      <c r="J24" s="392">
        <f t="shared" si="10"/>
        <v>11114.259999999998</v>
      </c>
      <c r="K24" s="392">
        <f t="shared" si="10"/>
        <v>11122.504999999999</v>
      </c>
      <c r="L24" s="392">
        <f t="shared" si="10"/>
        <v>11130.749999999998</v>
      </c>
      <c r="M24" s="392">
        <f t="shared" si="10"/>
        <v>11138.994999999999</v>
      </c>
      <c r="N24" s="392">
        <f t="shared" si="10"/>
        <v>11147.24</v>
      </c>
      <c r="O24" s="392">
        <f t="shared" si="10"/>
        <v>11155.484999999999</v>
      </c>
      <c r="P24" s="392">
        <f t="shared" si="10"/>
        <v>11163.73</v>
      </c>
      <c r="Q24" s="392">
        <f t="shared" si="10"/>
        <v>11171.974999999999</v>
      </c>
      <c r="R24" s="392">
        <f t="shared" si="10"/>
        <v>11180.22</v>
      </c>
      <c r="S24" s="392">
        <f t="shared" si="10"/>
        <v>11188.464999999998</v>
      </c>
      <c r="T24" s="392">
        <f t="shared" si="10"/>
        <v>11196.71</v>
      </c>
      <c r="U24" s="392">
        <f t="shared" si="10"/>
        <v>11204.954999999998</v>
      </c>
      <c r="V24" s="392">
        <f t="shared" si="10"/>
        <v>11213.199999999999</v>
      </c>
      <c r="W24" s="392">
        <f t="shared" si="10"/>
        <v>11221.445</v>
      </c>
      <c r="X24" s="392">
        <f t="shared" si="10"/>
        <v>11229.689999999999</v>
      </c>
      <c r="Y24" s="392">
        <f t="shared" si="10"/>
        <v>11237.934999999999</v>
      </c>
      <c r="Z24" s="392">
        <f t="shared" si="10"/>
        <v>11246.179999999998</v>
      </c>
      <c r="AA24" s="392">
        <f t="shared" si="10"/>
        <v>11254.424999999999</v>
      </c>
      <c r="AB24" s="392">
        <f t="shared" si="10"/>
        <v>11262.669999999998</v>
      </c>
      <c r="AC24" s="392">
        <f t="shared" si="10"/>
        <v>11270.914999999999</v>
      </c>
      <c r="AD24" s="392">
        <f t="shared" si="10"/>
        <v>11279.159999999998</v>
      </c>
      <c r="AE24" s="392"/>
      <c r="AF24" s="392"/>
      <c r="AG24" s="392"/>
      <c r="AH24" s="392"/>
      <c r="AI24" s="392"/>
    </row>
    <row r="25" spans="1:48" x14ac:dyDescent="0.25">
      <c r="A25" s="391" t="s">
        <v>726</v>
      </c>
      <c r="B25" s="392">
        <f t="shared" ref="B25:AD25" si="11">MIN(B$21,$C$7)</f>
        <v>1366.8</v>
      </c>
      <c r="C25" s="392">
        <f t="shared" si="11"/>
        <v>1367.82</v>
      </c>
      <c r="D25" s="392">
        <f t="shared" si="11"/>
        <v>1368.84</v>
      </c>
      <c r="E25" s="392">
        <f t="shared" si="11"/>
        <v>1369.8600000000001</v>
      </c>
      <c r="F25" s="392">
        <f t="shared" si="11"/>
        <v>1370.88</v>
      </c>
      <c r="G25" s="392">
        <f t="shared" si="11"/>
        <v>1371.9</v>
      </c>
      <c r="H25" s="392">
        <f t="shared" si="11"/>
        <v>1372.92</v>
      </c>
      <c r="I25" s="392">
        <f t="shared" si="11"/>
        <v>1373.94</v>
      </c>
      <c r="J25" s="392">
        <f t="shared" si="11"/>
        <v>1374.96</v>
      </c>
      <c r="K25" s="392">
        <f t="shared" si="11"/>
        <v>1375.98</v>
      </c>
      <c r="L25" s="392">
        <f t="shared" si="11"/>
        <v>1377</v>
      </c>
      <c r="M25" s="392">
        <f t="shared" si="11"/>
        <v>1378.02</v>
      </c>
      <c r="N25" s="392">
        <f t="shared" si="11"/>
        <v>1379.04</v>
      </c>
      <c r="O25" s="392">
        <f t="shared" si="11"/>
        <v>1380.06</v>
      </c>
      <c r="P25" s="392">
        <f t="shared" si="11"/>
        <v>1381.08</v>
      </c>
      <c r="Q25" s="392">
        <f t="shared" si="11"/>
        <v>1382.1000000000001</v>
      </c>
      <c r="R25" s="392">
        <f t="shared" si="11"/>
        <v>1383.1200000000001</v>
      </c>
      <c r="S25" s="392">
        <f t="shared" si="11"/>
        <v>1384.14</v>
      </c>
      <c r="T25" s="392">
        <f t="shared" si="11"/>
        <v>1385.16</v>
      </c>
      <c r="U25" s="392">
        <f t="shared" si="11"/>
        <v>1386.18</v>
      </c>
      <c r="V25" s="392">
        <f t="shared" si="11"/>
        <v>1387.2</v>
      </c>
      <c r="W25" s="392">
        <f t="shared" si="11"/>
        <v>1388.22</v>
      </c>
      <c r="X25" s="392">
        <f t="shared" si="11"/>
        <v>1389.24</v>
      </c>
      <c r="Y25" s="392">
        <f t="shared" si="11"/>
        <v>1390.26</v>
      </c>
      <c r="Z25" s="392">
        <f t="shared" si="11"/>
        <v>1391.28</v>
      </c>
      <c r="AA25" s="392">
        <f t="shared" si="11"/>
        <v>1392.3</v>
      </c>
      <c r="AB25" s="392">
        <f t="shared" si="11"/>
        <v>1393.32</v>
      </c>
      <c r="AC25" s="392">
        <f t="shared" si="11"/>
        <v>1394.34</v>
      </c>
      <c r="AD25" s="392">
        <f t="shared" si="11"/>
        <v>1395.3600000000001</v>
      </c>
      <c r="AE25" s="392"/>
      <c r="AF25" s="392"/>
      <c r="AG25" s="392"/>
      <c r="AH25" s="392"/>
      <c r="AI25" s="392"/>
    </row>
    <row r="26" spans="1:48" x14ac:dyDescent="0.25">
      <c r="A26" s="393" t="s">
        <v>727</v>
      </c>
      <c r="B26" s="394">
        <f>IF(B22&gt;$B$4,(B22-$B$4)*$H$4,0)</f>
        <v>5531.3999999999796</v>
      </c>
      <c r="C26" s="394">
        <v>0</v>
      </c>
      <c r="D26" s="394">
        <f>IF(D22&gt;$B$4,(D22-$B$4)*$H$4,0)</f>
        <v>5888.1200000000244</v>
      </c>
      <c r="E26" s="394">
        <v>0</v>
      </c>
      <c r="F26" s="394">
        <f>IF(F22&gt;$B$4,(F22-$B$4)*$H$4,0)</f>
        <v>6244.8400000000183</v>
      </c>
      <c r="G26" s="394">
        <v>0</v>
      </c>
      <c r="H26" s="394">
        <f>IF(H22&gt;$B$4,(H22-$B$4)*$H$4,0)</f>
        <v>6601.5600000000122</v>
      </c>
      <c r="I26" s="394">
        <v>0</v>
      </c>
      <c r="J26" s="394">
        <f>IF(J22&gt;$B$4,(J22-$B$4)*$H$4,0)</f>
        <v>6958.2800000000061</v>
      </c>
      <c r="K26" s="394">
        <v>0</v>
      </c>
      <c r="L26" s="394">
        <f>IF(L22&gt;$B$4,(L22-$B$4)*$H$4,0)</f>
        <v>7315</v>
      </c>
      <c r="M26" s="394">
        <v>0</v>
      </c>
      <c r="N26" s="394">
        <f>IF(N22&gt;$B$4,(N22-$B$4)*$H$4,0)</f>
        <v>7671.7199999999939</v>
      </c>
      <c r="O26" s="394">
        <v>0</v>
      </c>
      <c r="P26" s="394">
        <f>IF(P22&gt;$B$4,(P22-$B$4)*$H$4,0)</f>
        <v>8028.4399999999878</v>
      </c>
      <c r="Q26" s="394">
        <v>0</v>
      </c>
      <c r="R26" s="394">
        <f>IF(R22&gt;$B$4,(R22-$B$4)*$H$4,0)</f>
        <v>8385.1599999999817</v>
      </c>
      <c r="S26" s="394">
        <v>0</v>
      </c>
      <c r="T26" s="394">
        <f>IF(T22&gt;$B$4,(T22-$B$4)*$H$4,0)</f>
        <v>8741.8800000000265</v>
      </c>
      <c r="U26" s="394">
        <v>0</v>
      </c>
      <c r="V26" s="394">
        <f>IF(V22&gt;$B$4,(V22-$B$4)*$H$4,0)</f>
        <v>9098.6000000000204</v>
      </c>
      <c r="W26" s="394">
        <v>0</v>
      </c>
      <c r="X26" s="394">
        <f>IF(X22&gt;$B$4,(X22-$B$4)*$H$4,0)</f>
        <v>9455.3200000000143</v>
      </c>
      <c r="Y26" s="394">
        <v>0</v>
      </c>
      <c r="Z26" s="394">
        <f>IF(Z22&gt;$B$4,(Z22-$B$4)*$H$4,0)</f>
        <v>9812.0400000000081</v>
      </c>
      <c r="AA26" s="394">
        <v>0</v>
      </c>
      <c r="AB26" s="394">
        <f>IF(AB22&gt;$B$4,(AB22-$B$4)*$H$4,0)</f>
        <v>10168.760000000002</v>
      </c>
      <c r="AC26" s="394">
        <v>0</v>
      </c>
      <c r="AD26" s="394">
        <f>IF(AD22&gt;$B$4,(AD22-$B$4)*$H$4,0)</f>
        <v>10525.479999999996</v>
      </c>
      <c r="AE26" s="394">
        <v>0</v>
      </c>
      <c r="AF26" s="394">
        <f>IF(AF22&gt;$B$4,(AF22-$B$4)*$H$4,0)</f>
        <v>0</v>
      </c>
      <c r="AG26" s="394">
        <v>0</v>
      </c>
      <c r="AH26" s="394">
        <f>IF(AH22&gt;$B$4,(AH22-$B$4)*$H$4,0)</f>
        <v>0</v>
      </c>
      <c r="AI26" s="394">
        <v>0</v>
      </c>
      <c r="AJ26" s="394">
        <f>IF(AJ22&gt;$B$4,(AJ22-$B$4)*$H$4,0)</f>
        <v>0</v>
      </c>
      <c r="AK26" s="394">
        <v>0</v>
      </c>
    </row>
    <row r="27" spans="1:48" x14ac:dyDescent="0.25">
      <c r="A27" s="393" t="s">
        <v>728</v>
      </c>
      <c r="B27" s="394">
        <f>IF(B23&gt;$B$5,(B23-$B$5)*$H$5,0)</f>
        <v>3021.9999999999891</v>
      </c>
      <c r="C27" s="394">
        <v>0</v>
      </c>
      <c r="D27" s="394">
        <f>IF(D23&gt;$B$5,(D23-$B$5)*$H$5,0)</f>
        <v>3217.599999999984</v>
      </c>
      <c r="E27" s="394">
        <v>0</v>
      </c>
      <c r="F27" s="394">
        <f>IF(F23&gt;$B$5,(F23-$B$5)*$H$5,0)</f>
        <v>3413.1999999999971</v>
      </c>
      <c r="G27" s="394">
        <v>0</v>
      </c>
      <c r="H27" s="394">
        <f>IF(H23&gt;$B$5,(H23-$B$5)*$H$5,0)</f>
        <v>3608.799999999992</v>
      </c>
      <c r="I27" s="394">
        <v>0</v>
      </c>
      <c r="J27" s="394">
        <f>IF(J23&gt;$B$5,(J23-$B$5)*$H$5,0)</f>
        <v>3804.3999999999869</v>
      </c>
      <c r="K27" s="394">
        <v>0</v>
      </c>
      <c r="L27" s="394">
        <f>IF(L23&gt;$B$5,(L23-$B$5)*$H$5,0)</f>
        <v>4000</v>
      </c>
      <c r="M27" s="394">
        <v>0</v>
      </c>
      <c r="N27" s="394">
        <f>IF(N23&gt;$B$5,(N23-$B$5)*$H$5,0)</f>
        <v>4195.5999999999949</v>
      </c>
      <c r="O27" s="394">
        <v>0</v>
      </c>
      <c r="P27" s="394">
        <f>IF(P23&gt;$B$5,(P23-$B$5)*$H$5,0)</f>
        <v>4391.1999999999898</v>
      </c>
      <c r="Q27" s="394">
        <v>0</v>
      </c>
      <c r="R27" s="394">
        <f>IF(R23&gt;$B$5,(R23-$B$5)*$H$5,0)</f>
        <v>4586.7999999999847</v>
      </c>
      <c r="S27" s="394">
        <v>0</v>
      </c>
      <c r="T27" s="394">
        <f>IF(T23&gt;$B$5,(T23-$B$5)*$H$5,0)</f>
        <v>4782.3999999999978</v>
      </c>
      <c r="U27" s="394">
        <v>0</v>
      </c>
      <c r="V27" s="394">
        <f>IF(V23&gt;$B$5,(V23-$B$5)*$H$5,0)</f>
        <v>4977.9999999999927</v>
      </c>
      <c r="W27" s="394">
        <v>0</v>
      </c>
      <c r="X27" s="394">
        <f>IF(X23&gt;$B$5,(X23-$B$5)*$H$5,0)</f>
        <v>5173.5999999999876</v>
      </c>
      <c r="Y27" s="394">
        <v>0</v>
      </c>
      <c r="Z27" s="394">
        <f>IF(Z23&gt;$B$5,(Z23-$B$5)*$H$5,0)</f>
        <v>5369.1999999999825</v>
      </c>
      <c r="AA27" s="394">
        <v>0</v>
      </c>
      <c r="AB27" s="394">
        <f>IF(AB23&gt;$B$5,(AB23-$B$5)*$H$5,0)</f>
        <v>5564.7999999999956</v>
      </c>
      <c r="AC27" s="394">
        <v>0</v>
      </c>
      <c r="AD27" s="394">
        <f>IF(AD23&gt;$B$5,(AD23-$B$5)*$H$5,0)</f>
        <v>5760.3999999999905</v>
      </c>
      <c r="AE27" s="394">
        <v>0</v>
      </c>
      <c r="AF27" s="394">
        <f>IF(AF23&gt;$B$5,(AF23-$B$5)*$H$5,0)</f>
        <v>0</v>
      </c>
      <c r="AG27" s="394">
        <v>0</v>
      </c>
      <c r="AH27" s="394">
        <f>IF(AH23&gt;$B$5,(AH23-$B$5)*$H$5,0)</f>
        <v>0</v>
      </c>
      <c r="AI27" s="394">
        <v>0</v>
      </c>
      <c r="AJ27" s="394">
        <f>IF(AJ23&gt;$B$5,(AJ23-$B$5)*$H$5,0)</f>
        <v>0</v>
      </c>
      <c r="AK27" s="394">
        <v>0</v>
      </c>
    </row>
    <row r="28" spans="1:48" x14ac:dyDescent="0.25">
      <c r="A28" s="393" t="s">
        <v>729</v>
      </c>
      <c r="B28" s="394">
        <f>IF(B24&gt;$B$6,(B24-$B$6)*$H$6,0)</f>
        <v>0</v>
      </c>
      <c r="C28" s="394">
        <v>0</v>
      </c>
      <c r="D28" s="394">
        <f>IF(D24&gt;$B$6,(D24-$B$6)*$H$6,0)</f>
        <v>0</v>
      </c>
      <c r="E28" s="394">
        <v>0</v>
      </c>
      <c r="F28" s="394">
        <f>IF(F24&gt;$B$6,(F24-$B$6)*$H$6,0)</f>
        <v>0</v>
      </c>
      <c r="G28" s="394">
        <v>0</v>
      </c>
      <c r="H28" s="394">
        <f>IF(H24&gt;$B$6,(H24-$B$6)*$H$6,0)</f>
        <v>0</v>
      </c>
      <c r="I28" s="394">
        <v>0</v>
      </c>
      <c r="J28" s="394">
        <f>IF(J24&gt;$B$6,(J24-$B$6)*$H$6,0)</f>
        <v>0</v>
      </c>
      <c r="K28" s="394">
        <v>0</v>
      </c>
      <c r="L28" s="394">
        <f>IF(L24&gt;$B$6,(L24-$B$6)*$H$6,0)</f>
        <v>0</v>
      </c>
      <c r="M28" s="394">
        <v>0</v>
      </c>
      <c r="N28" s="394">
        <f>IF(N24&gt;$B$6,(N24-$B$6)*$H$6,0)</f>
        <v>0</v>
      </c>
      <c r="O28" s="394">
        <v>0</v>
      </c>
      <c r="P28" s="394">
        <f>IF(P24&gt;$B$6,(P24-$B$6)*$H$6,0)</f>
        <v>0</v>
      </c>
      <c r="Q28" s="394">
        <v>0</v>
      </c>
      <c r="R28" s="394">
        <f>IF(R24&gt;$B$6,(R24-$B$6)*$H$6,0)</f>
        <v>0</v>
      </c>
      <c r="S28" s="394">
        <v>0</v>
      </c>
      <c r="T28" s="394">
        <f>IF(T24&gt;$B$6,(T24-$B$6)*$H$6,0)</f>
        <v>0</v>
      </c>
      <c r="U28" s="394">
        <v>0</v>
      </c>
      <c r="V28" s="394">
        <f>IF(V24&gt;$B$6,(V24-$B$6)*$H$6,0)</f>
        <v>0</v>
      </c>
      <c r="W28" s="394">
        <v>0</v>
      </c>
      <c r="X28" s="394">
        <f>IF(X24&gt;$B$6,(X24-$B$6)*$H$6,0)</f>
        <v>0</v>
      </c>
      <c r="Y28" s="394">
        <v>0</v>
      </c>
      <c r="Z28" s="394">
        <f>IF(Z24&gt;$B$6,(Z24-$B$6)*$H$6,0)</f>
        <v>0</v>
      </c>
      <c r="AA28" s="394">
        <v>0</v>
      </c>
      <c r="AB28" s="394">
        <f>IF(AB24&gt;$B$6,(AB24-$B$6)*$H$6,0)</f>
        <v>0</v>
      </c>
      <c r="AC28" s="394">
        <v>0</v>
      </c>
      <c r="AD28" s="394">
        <f>IF(AD24&gt;$B$6,(AD24-$B$6)*$H$6,0)</f>
        <v>0</v>
      </c>
      <c r="AE28" s="394">
        <v>0</v>
      </c>
      <c r="AF28" s="394">
        <f>IF(AF24&gt;$B$6,(AF24-$B$6)*$H$6,0)</f>
        <v>0</v>
      </c>
      <c r="AG28" s="394">
        <v>0</v>
      </c>
      <c r="AH28" s="394">
        <f>IF(AH24&gt;$B$6,(AH24-$B$6)*$H$6,0)</f>
        <v>0</v>
      </c>
      <c r="AI28" s="394">
        <v>0</v>
      </c>
      <c r="AJ28" s="394">
        <f>IF(AJ24&gt;$B$6,(AJ24-$B$6)*$H$6,0)</f>
        <v>0</v>
      </c>
      <c r="AK28" s="394">
        <v>0</v>
      </c>
    </row>
    <row r="29" spans="1:48" x14ac:dyDescent="0.25">
      <c r="A29" s="393" t="s">
        <v>730</v>
      </c>
      <c r="B29" s="394">
        <f>IF(B25&gt;$B$7,(B25-$B$7)*$H$7,0)</f>
        <v>1112.9999999999984</v>
      </c>
      <c r="C29" s="394">
        <v>0</v>
      </c>
      <c r="D29" s="394">
        <f>IF(D25&gt;$B$7,(D25-$B$7)*$H$7,0)</f>
        <v>1184.3999999999971</v>
      </c>
      <c r="E29" s="394">
        <v>0</v>
      </c>
      <c r="F29" s="394">
        <f>IF(F25&gt;$B$7,(F25-$B$7)*$H$7,0)</f>
        <v>1255.8000000000038</v>
      </c>
      <c r="G29" s="394">
        <v>0</v>
      </c>
      <c r="H29" s="394">
        <f>IF(H25&gt;$B$7,(H25-$B$7)*$H$7,0)</f>
        <v>1327.2000000000025</v>
      </c>
      <c r="I29" s="394">
        <v>0</v>
      </c>
      <c r="J29" s="394">
        <f>IF(J25&gt;$B$7,(J25-$B$7)*$H$7,0)</f>
        <v>1398.6000000000013</v>
      </c>
      <c r="K29" s="394">
        <v>0</v>
      </c>
      <c r="L29" s="394">
        <f>IF(L25&gt;$B$7,(L25-$B$7)*$H$7,0)</f>
        <v>1470</v>
      </c>
      <c r="M29" s="394">
        <v>0</v>
      </c>
      <c r="N29" s="394">
        <f>IF(N25&gt;$B$7,(N25-$B$7)*$H$7,0)</f>
        <v>1541.3999999999987</v>
      </c>
      <c r="O29" s="394">
        <v>0</v>
      </c>
      <c r="P29" s="394">
        <f>IF(P25&gt;$B$7,(P25-$B$7)*$H$7,0)</f>
        <v>1612.7999999999975</v>
      </c>
      <c r="Q29" s="394">
        <v>0</v>
      </c>
      <c r="R29" s="394">
        <f>IF(R25&gt;$B$7,(R25-$B$7)*$H$7,0)</f>
        <v>1684.2000000000041</v>
      </c>
      <c r="S29" s="394">
        <v>0</v>
      </c>
      <c r="T29" s="394">
        <f>IF(T25&gt;$B$7,(T25-$B$7)*$H$7,0)</f>
        <v>1755.6000000000029</v>
      </c>
      <c r="U29" s="394">
        <v>0</v>
      </c>
      <c r="V29" s="394">
        <f>IF(V25&gt;$B$7,(V25-$B$7)*$H$7,0)</f>
        <v>1827.0000000000016</v>
      </c>
      <c r="W29" s="394">
        <v>0</v>
      </c>
      <c r="X29" s="394">
        <f>IF(X25&gt;$B$7,(X25-$B$7)*$H$7,0)</f>
        <v>1898.4000000000003</v>
      </c>
      <c r="Y29" s="394">
        <v>0</v>
      </c>
      <c r="Z29" s="394">
        <f>IF(Z25&gt;$B$7,(Z25-$B$7)*$H$7,0)</f>
        <v>1969.799999999999</v>
      </c>
      <c r="AA29" s="394">
        <v>0</v>
      </c>
      <c r="AB29" s="394">
        <f>IF(AB25&gt;$B$7,(AB25-$B$7)*$H$7,0)</f>
        <v>2041.1999999999978</v>
      </c>
      <c r="AC29" s="394">
        <v>0</v>
      </c>
      <c r="AD29" s="394">
        <f>IF(AD25&gt;$B$7,(AD25-$B$7)*$H$7,0)</f>
        <v>2112.6000000000045</v>
      </c>
      <c r="AE29" s="394">
        <v>0</v>
      </c>
      <c r="AF29" s="394">
        <f>IF(AF25&gt;$B$7,(AF25-$B$7)*$H$7,0)</f>
        <v>0</v>
      </c>
      <c r="AG29" s="394">
        <v>0</v>
      </c>
      <c r="AH29" s="394">
        <f>IF(AH25&gt;$B$7,(AH25-$B$7)*$H$7,0)</f>
        <v>0</v>
      </c>
      <c r="AI29" s="394">
        <v>0</v>
      </c>
      <c r="AJ29" s="394">
        <f>IF(AJ25&gt;$B$7,(AJ25-$B$7)*$H$7,0)</f>
        <v>0</v>
      </c>
      <c r="AK29" s="394">
        <v>0</v>
      </c>
    </row>
    <row r="30" spans="1:48" x14ac:dyDescent="0.25">
      <c r="A30" s="395" t="s">
        <v>731</v>
      </c>
      <c r="B30" s="396">
        <f>G4+G5+G6+G7</f>
        <v>1137.1079999999974</v>
      </c>
      <c r="C30" s="396">
        <f t="shared" ref="C30:AD30" si="12">B30</f>
        <v>1137.1079999999974</v>
      </c>
      <c r="D30" s="396">
        <f t="shared" si="12"/>
        <v>1137.1079999999974</v>
      </c>
      <c r="E30" s="396">
        <f t="shared" si="12"/>
        <v>1137.1079999999974</v>
      </c>
      <c r="F30" s="396">
        <f t="shared" si="12"/>
        <v>1137.1079999999974</v>
      </c>
      <c r="G30" s="396">
        <f t="shared" si="12"/>
        <v>1137.1079999999974</v>
      </c>
      <c r="H30" s="396">
        <f t="shared" si="12"/>
        <v>1137.1079999999974</v>
      </c>
      <c r="I30" s="396">
        <f t="shared" si="12"/>
        <v>1137.1079999999974</v>
      </c>
      <c r="J30" s="396">
        <f t="shared" si="12"/>
        <v>1137.1079999999974</v>
      </c>
      <c r="K30" s="396">
        <f t="shared" si="12"/>
        <v>1137.1079999999974</v>
      </c>
      <c r="L30" s="396">
        <f t="shared" si="12"/>
        <v>1137.1079999999974</v>
      </c>
      <c r="M30" s="396">
        <f t="shared" si="12"/>
        <v>1137.1079999999974</v>
      </c>
      <c r="N30" s="396">
        <f t="shared" si="12"/>
        <v>1137.1079999999974</v>
      </c>
      <c r="O30" s="396">
        <f t="shared" si="12"/>
        <v>1137.1079999999974</v>
      </c>
      <c r="P30" s="396">
        <f t="shared" si="12"/>
        <v>1137.1079999999974</v>
      </c>
      <c r="Q30" s="396">
        <f t="shared" si="12"/>
        <v>1137.1079999999974</v>
      </c>
      <c r="R30" s="396">
        <f t="shared" si="12"/>
        <v>1137.1079999999974</v>
      </c>
      <c r="S30" s="396">
        <f t="shared" si="12"/>
        <v>1137.1079999999974</v>
      </c>
      <c r="T30" s="396">
        <f t="shared" si="12"/>
        <v>1137.1079999999974</v>
      </c>
      <c r="U30" s="396">
        <f t="shared" si="12"/>
        <v>1137.1079999999974</v>
      </c>
      <c r="V30" s="396">
        <f t="shared" si="12"/>
        <v>1137.1079999999974</v>
      </c>
      <c r="W30" s="396">
        <f t="shared" si="12"/>
        <v>1137.1079999999974</v>
      </c>
      <c r="X30" s="396">
        <f t="shared" si="12"/>
        <v>1137.1079999999974</v>
      </c>
      <c r="Y30" s="396">
        <f t="shared" si="12"/>
        <v>1137.1079999999974</v>
      </c>
      <c r="Z30" s="396">
        <f t="shared" si="12"/>
        <v>1137.1079999999974</v>
      </c>
      <c r="AA30" s="396">
        <f t="shared" si="12"/>
        <v>1137.1079999999974</v>
      </c>
      <c r="AB30" s="396">
        <f t="shared" si="12"/>
        <v>1137.1079999999974</v>
      </c>
      <c r="AC30" s="396">
        <f t="shared" si="12"/>
        <v>1137.1079999999974</v>
      </c>
      <c r="AD30" s="396">
        <f t="shared" si="12"/>
        <v>1137.1079999999974</v>
      </c>
      <c r="AE30" s="396"/>
      <c r="AF30" s="396"/>
      <c r="AG30" s="396"/>
      <c r="AH30" s="396"/>
      <c r="AI30" s="396"/>
    </row>
    <row r="31" spans="1:48" x14ac:dyDescent="0.25">
      <c r="A31" s="397" t="s">
        <v>732</v>
      </c>
      <c r="B31" s="398">
        <f t="shared" ref="B31:AD31" si="13">B26+B27+B28+B29-B30</f>
        <v>8529.2919999999685</v>
      </c>
      <c r="C31" s="398">
        <f t="shared" si="13"/>
        <v>-1137.1079999999974</v>
      </c>
      <c r="D31" s="398">
        <f t="shared" si="13"/>
        <v>9153.0120000000097</v>
      </c>
      <c r="E31" s="398">
        <f t="shared" si="13"/>
        <v>-1137.1079999999974</v>
      </c>
      <c r="F31" s="398">
        <f t="shared" si="13"/>
        <v>9776.7320000000218</v>
      </c>
      <c r="G31" s="398">
        <f t="shared" si="13"/>
        <v>-1137.1079999999974</v>
      </c>
      <c r="H31" s="398">
        <f t="shared" si="13"/>
        <v>10400.452000000008</v>
      </c>
      <c r="I31" s="398">
        <f t="shared" si="13"/>
        <v>-1137.1079999999974</v>
      </c>
      <c r="J31" s="398">
        <f t="shared" si="13"/>
        <v>11024.171999999999</v>
      </c>
      <c r="K31" s="398">
        <f t="shared" si="13"/>
        <v>-1137.1079999999974</v>
      </c>
      <c r="L31" s="398">
        <f t="shared" si="13"/>
        <v>11647.892000000003</v>
      </c>
      <c r="M31" s="398">
        <f t="shared" si="13"/>
        <v>-1137.1079999999974</v>
      </c>
      <c r="N31" s="398">
        <f t="shared" si="13"/>
        <v>12271.61199999999</v>
      </c>
      <c r="O31" s="398">
        <f t="shared" si="13"/>
        <v>-1137.1079999999974</v>
      </c>
      <c r="P31" s="398">
        <f t="shared" si="13"/>
        <v>12895.331999999977</v>
      </c>
      <c r="Q31" s="398">
        <f t="shared" si="13"/>
        <v>-1137.1079999999974</v>
      </c>
      <c r="R31" s="398">
        <f t="shared" si="13"/>
        <v>13519.051999999974</v>
      </c>
      <c r="S31" s="398">
        <f t="shared" si="13"/>
        <v>-1137.1079999999974</v>
      </c>
      <c r="T31" s="398">
        <f t="shared" si="13"/>
        <v>14142.77200000003</v>
      </c>
      <c r="U31" s="398">
        <f t="shared" si="13"/>
        <v>-1137.1079999999974</v>
      </c>
      <c r="V31" s="398">
        <f t="shared" si="13"/>
        <v>14766.492000000017</v>
      </c>
      <c r="W31" s="398">
        <f t="shared" si="13"/>
        <v>-1137.1079999999974</v>
      </c>
      <c r="X31" s="398">
        <f t="shared" si="13"/>
        <v>15390.212000000007</v>
      </c>
      <c r="Y31" s="398">
        <f t="shared" si="13"/>
        <v>-1137.1079999999974</v>
      </c>
      <c r="Z31" s="398">
        <f t="shared" si="13"/>
        <v>16013.931999999993</v>
      </c>
      <c r="AA31" s="398">
        <f t="shared" si="13"/>
        <v>-1137.1079999999974</v>
      </c>
      <c r="AB31" s="398">
        <f t="shared" si="13"/>
        <v>16637.651999999998</v>
      </c>
      <c r="AC31" s="398">
        <f t="shared" si="13"/>
        <v>-1137.1079999999974</v>
      </c>
      <c r="AD31" s="398">
        <f t="shared" si="13"/>
        <v>17261.371999999996</v>
      </c>
      <c r="AE31" s="398"/>
      <c r="AF31" s="398"/>
      <c r="AG31" s="398"/>
      <c r="AH31" s="398"/>
      <c r="AI31" s="398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</row>
    <row r="32" spans="1:48" x14ac:dyDescent="0.25">
      <c r="A32" s="399" t="s">
        <v>733</v>
      </c>
      <c r="B32" s="398">
        <f>-B12-B11+B31</f>
        <v>-115249.90799999979</v>
      </c>
      <c r="C32" s="398">
        <f t="shared" ref="C32:AD32" si="14">B32+C31</f>
        <v>-116387.01599999978</v>
      </c>
      <c r="D32" s="398">
        <f t="shared" si="14"/>
        <v>-107234.00399999978</v>
      </c>
      <c r="E32" s="398">
        <f t="shared" si="14"/>
        <v>-108371.11199999978</v>
      </c>
      <c r="F32" s="398">
        <f t="shared" si="14"/>
        <v>-98594.379999999757</v>
      </c>
      <c r="G32" s="398">
        <f t="shared" si="14"/>
        <v>-99731.48799999975</v>
      </c>
      <c r="H32" s="398">
        <f t="shared" si="14"/>
        <v>-89331.035999999745</v>
      </c>
      <c r="I32" s="398">
        <f t="shared" si="14"/>
        <v>-90468.143999999738</v>
      </c>
      <c r="J32" s="398">
        <f t="shared" si="14"/>
        <v>-79443.971999999747</v>
      </c>
      <c r="K32" s="398">
        <f t="shared" si="14"/>
        <v>-80581.07999999974</v>
      </c>
      <c r="L32" s="398">
        <f t="shared" si="14"/>
        <v>-68933.187999999733</v>
      </c>
      <c r="M32" s="398">
        <f t="shared" si="14"/>
        <v>-70070.295999999726</v>
      </c>
      <c r="N32" s="398">
        <f t="shared" si="14"/>
        <v>-57798.683999999732</v>
      </c>
      <c r="O32" s="398">
        <f t="shared" si="14"/>
        <v>-58935.791999999732</v>
      </c>
      <c r="P32" s="398">
        <f t="shared" si="14"/>
        <v>-46040.459999999759</v>
      </c>
      <c r="Q32" s="398">
        <f t="shared" si="14"/>
        <v>-47177.567999999759</v>
      </c>
      <c r="R32" s="398">
        <f t="shared" si="14"/>
        <v>-33658.515999999785</v>
      </c>
      <c r="S32" s="398">
        <f t="shared" si="14"/>
        <v>-34795.623999999785</v>
      </c>
      <c r="T32" s="398">
        <f t="shared" si="14"/>
        <v>-20652.851999999755</v>
      </c>
      <c r="U32" s="398">
        <f t="shared" si="14"/>
        <v>-21789.959999999752</v>
      </c>
      <c r="V32" s="398">
        <f t="shared" si="14"/>
        <v>-7023.4679999997352</v>
      </c>
      <c r="W32" s="398">
        <f t="shared" si="14"/>
        <v>-8160.5759999997326</v>
      </c>
      <c r="X32" s="398">
        <f t="shared" si="14"/>
        <v>7229.6360000002742</v>
      </c>
      <c r="Y32" s="398">
        <f t="shared" si="14"/>
        <v>6092.5280000002767</v>
      </c>
      <c r="Z32" s="398">
        <f t="shared" si="14"/>
        <v>22106.460000000268</v>
      </c>
      <c r="AA32" s="398">
        <f t="shared" si="14"/>
        <v>20969.352000000272</v>
      </c>
      <c r="AB32" s="398">
        <f t="shared" si="14"/>
        <v>37607.00400000027</v>
      </c>
      <c r="AC32" s="398">
        <f t="shared" si="14"/>
        <v>36469.89600000027</v>
      </c>
      <c r="AD32" s="398">
        <f t="shared" si="14"/>
        <v>53731.268000000266</v>
      </c>
      <c r="AE32" s="398"/>
      <c r="AF32" s="398"/>
      <c r="AG32" s="398"/>
      <c r="AH32" s="398"/>
      <c r="AI32" s="398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</row>
    <row r="33" spans="2:35" x14ac:dyDescent="0.25">
      <c r="B33" s="58">
        <f t="shared" ref="B33:AD33" si="15">B32/$B$13</f>
        <v>-0.93109268762441522</v>
      </c>
      <c r="C33" s="58">
        <f t="shared" si="15"/>
        <v>-0.94027927147695256</v>
      </c>
      <c r="D33" s="58">
        <f t="shared" si="15"/>
        <v>-0.86633298647914991</v>
      </c>
      <c r="E33" s="58">
        <f t="shared" si="15"/>
        <v>-0.87551957033168726</v>
      </c>
      <c r="F33" s="58">
        <f t="shared" si="15"/>
        <v>-0.79653431271166675</v>
      </c>
      <c r="G33" s="58">
        <f t="shared" si="15"/>
        <v>-0.8057208965642042</v>
      </c>
      <c r="H33" s="58">
        <f t="shared" si="15"/>
        <v>-0.72169666632196616</v>
      </c>
      <c r="I33" s="58">
        <f t="shared" si="15"/>
        <v>-0.73088325017450351</v>
      </c>
      <c r="J33" s="58">
        <f t="shared" si="15"/>
        <v>-0.64182004731004805</v>
      </c>
      <c r="K33" s="58">
        <f t="shared" si="15"/>
        <v>-0.65100663116258539</v>
      </c>
      <c r="L33" s="58">
        <f t="shared" si="15"/>
        <v>-0.55690445567591218</v>
      </c>
      <c r="M33" s="58">
        <f t="shared" si="15"/>
        <v>-0.56609103952844952</v>
      </c>
      <c r="N33" s="58">
        <f t="shared" si="15"/>
        <v>-0.46694989141955873</v>
      </c>
      <c r="O33" s="58">
        <f t="shared" si="15"/>
        <v>-0.47613647527209613</v>
      </c>
      <c r="P33" s="58">
        <f t="shared" si="15"/>
        <v>-0.37195635454098785</v>
      </c>
      <c r="Q33" s="58">
        <f t="shared" si="15"/>
        <v>-0.38114293839352531</v>
      </c>
      <c r="R33" s="58">
        <f t="shared" si="15"/>
        <v>-0.2719238450401994</v>
      </c>
      <c r="S33" s="58">
        <f t="shared" si="15"/>
        <v>-0.28111042889273685</v>
      </c>
      <c r="T33" s="58">
        <f t="shared" si="15"/>
        <v>-0.16685236291719283</v>
      </c>
      <c r="U33" s="58">
        <f t="shared" si="15"/>
        <v>-0.17603894676973023</v>
      </c>
      <c r="V33" s="58">
        <f t="shared" si="15"/>
        <v>-5.6741908171968704E-2</v>
      </c>
      <c r="W33" s="58">
        <f t="shared" si="15"/>
        <v>-6.5928492024506125E-2</v>
      </c>
      <c r="X33" s="58">
        <f t="shared" si="15"/>
        <v>5.8407519195472969E-2</v>
      </c>
      <c r="Y33" s="58">
        <f t="shared" si="15"/>
        <v>4.9220935342935555E-2</v>
      </c>
      <c r="Z33" s="58">
        <f t="shared" si="15"/>
        <v>0.17859591918513215</v>
      </c>
      <c r="AA33" s="58">
        <f t="shared" si="15"/>
        <v>0.16940933533259475</v>
      </c>
      <c r="AB33" s="58">
        <f t="shared" si="15"/>
        <v>0.30382329179700907</v>
      </c>
      <c r="AC33" s="58">
        <f t="shared" si="15"/>
        <v>0.29463670794447161</v>
      </c>
      <c r="AD33" s="58">
        <f t="shared" si="15"/>
        <v>0.43408963703110354</v>
      </c>
      <c r="AE33" s="58"/>
      <c r="AF33" s="58"/>
      <c r="AG33" s="58"/>
      <c r="AH33" s="58"/>
      <c r="AI33" s="58"/>
    </row>
    <row r="36" spans="2:35" x14ac:dyDescent="0.25">
      <c r="K36" s="58"/>
    </row>
    <row r="37" spans="2:35" x14ac:dyDescent="0.25">
      <c r="K37" s="58"/>
    </row>
    <row r="38" spans="2:35" x14ac:dyDescent="0.25">
      <c r="K38" s="58"/>
    </row>
  </sheetData>
  <mergeCells count="3">
    <mergeCell ref="D2:E2"/>
    <mergeCell ref="F2:G2"/>
    <mergeCell ref="H2:I2"/>
  </mergeCells>
  <conditionalFormatting sqref="B32:AD32">
    <cfRule type="cellIs" dxfId="13" priority="1" operator="lessThan">
      <formula>0</formula>
    </cfRule>
  </conditionalFormatting>
  <conditionalFormatting sqref="B32:AD32">
    <cfRule type="cellIs" dxfId="12" priority="2" operator="greaterThan">
      <formula>0</formula>
    </cfRule>
  </conditionalFormatting>
  <pageMargins left="0.7" right="0.7" top="0.75" bottom="0.75" header="0.3" footer="0.3"/>
  <pageSetup paperSize="9" fitToWidth="0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B1A0C7"/>
  </sheetPr>
  <dimension ref="A1:U76"/>
  <sheetViews>
    <sheetView zoomScale="90" workbookViewId="0">
      <pane ySplit="1" topLeftCell="A5" activePane="bottomLeft" state="frozen"/>
      <selection pane="bottomLeft" activeCell="I15" sqref="I15"/>
    </sheetView>
  </sheetViews>
  <sheetFormatPr baseColWidth="10" defaultColWidth="11.42578125" defaultRowHeight="15" x14ac:dyDescent="0.25"/>
  <cols>
    <col min="1" max="1" width="17.140625" customWidth="1"/>
    <col min="2" max="3" width="17.7109375" customWidth="1"/>
    <col min="4" max="4" width="20.85546875" customWidth="1"/>
    <col min="5" max="5" width="3.140625" customWidth="1"/>
    <col min="6" max="6" width="38.7109375" customWidth="1"/>
    <col min="7" max="7" width="5.7109375" customWidth="1"/>
    <col min="8" max="8" width="5.28515625" customWidth="1"/>
    <col min="9" max="9" width="4.5703125" customWidth="1"/>
    <col min="10" max="10" width="4.140625" customWidth="1"/>
    <col min="11" max="11" width="10" customWidth="1"/>
    <col min="12" max="12" width="12.7109375" customWidth="1"/>
    <col min="13" max="13" width="5.28515625" customWidth="1"/>
    <col min="14" max="14" width="17.5703125" customWidth="1"/>
    <col min="15" max="15" width="21.28515625" customWidth="1"/>
    <col min="16" max="16" width="9.7109375" customWidth="1"/>
    <col min="17" max="18" width="13.5703125" customWidth="1"/>
    <col min="19" max="19" width="17.140625" customWidth="1"/>
    <col min="20" max="20" width="9.7109375" customWidth="1"/>
    <col min="21" max="21" width="13.5703125" customWidth="1"/>
  </cols>
  <sheetData>
    <row r="1" spans="1:21" ht="19.5" x14ac:dyDescent="0.25">
      <c r="A1" s="613" t="s">
        <v>734</v>
      </c>
      <c r="B1" s="613"/>
      <c r="C1" s="613"/>
      <c r="D1" s="613"/>
      <c r="F1" s="13" t="s">
        <v>183</v>
      </c>
      <c r="G1" s="13" t="s">
        <v>112</v>
      </c>
      <c r="H1" s="13" t="s">
        <v>113</v>
      </c>
      <c r="I1" s="26" t="s">
        <v>735</v>
      </c>
      <c r="J1" s="26" t="s">
        <v>115</v>
      </c>
      <c r="K1" s="26" t="s">
        <v>468</v>
      </c>
      <c r="L1" s="26" t="s">
        <v>736</v>
      </c>
      <c r="M1" s="26" t="s">
        <v>737</v>
      </c>
      <c r="N1" s="64" t="s">
        <v>738</v>
      </c>
      <c r="O1" s="64" t="s">
        <v>739</v>
      </c>
      <c r="P1" s="64" t="s">
        <v>740</v>
      </c>
      <c r="Q1" s="64" t="s">
        <v>741</v>
      </c>
      <c r="R1" s="65" t="s">
        <v>742</v>
      </c>
      <c r="S1" s="65" t="s">
        <v>743</v>
      </c>
      <c r="T1" s="65" t="s">
        <v>740</v>
      </c>
      <c r="U1" s="65" t="s">
        <v>741</v>
      </c>
    </row>
    <row r="2" spans="1:21" x14ac:dyDescent="0.25">
      <c r="A2" s="614" t="s">
        <v>744</v>
      </c>
      <c r="B2" s="615" t="s">
        <v>745</v>
      </c>
      <c r="C2" s="615" t="s">
        <v>746</v>
      </c>
      <c r="D2" s="615" t="s">
        <v>747</v>
      </c>
      <c r="F2" s="88" t="s">
        <v>748</v>
      </c>
      <c r="G2">
        <v>36</v>
      </c>
      <c r="H2">
        <v>92</v>
      </c>
      <c r="I2" s="55">
        <v>14.3</v>
      </c>
      <c r="J2" s="56">
        <v>4</v>
      </c>
      <c r="K2" s="45">
        <v>2448</v>
      </c>
      <c r="L2" s="45">
        <v>1000</v>
      </c>
      <c r="M2" s="61">
        <v>3</v>
      </c>
      <c r="N2" s="45">
        <v>325000</v>
      </c>
      <c r="O2" s="45">
        <f t="shared" ref="O2:O33" si="0">L2+N2</f>
        <v>326000</v>
      </c>
      <c r="P2" s="66">
        <v>6.5</v>
      </c>
      <c r="Q2" s="76">
        <f t="shared" ref="Q2:Q33" si="1">O2/P2</f>
        <v>50153.846153846156</v>
      </c>
      <c r="R2" s="45">
        <v>2375000</v>
      </c>
      <c r="S2" s="45">
        <f t="shared" ref="S2:S33" si="2">R2+L2</f>
        <v>2376000</v>
      </c>
      <c r="T2" s="67">
        <f t="shared" ref="T2:T33" si="3">P2</f>
        <v>6.5</v>
      </c>
      <c r="U2" s="76">
        <f t="shared" ref="U2:U33" si="4">S2/T2</f>
        <v>365538.46153846156</v>
      </c>
    </row>
    <row r="3" spans="1:21" x14ac:dyDescent="0.25">
      <c r="A3" s="614"/>
      <c r="B3" s="615"/>
      <c r="C3" s="615"/>
      <c r="D3" s="615"/>
      <c r="F3" s="88" t="s">
        <v>749</v>
      </c>
      <c r="G3">
        <v>40</v>
      </c>
      <c r="H3">
        <v>26</v>
      </c>
      <c r="I3" s="55">
        <v>14.1</v>
      </c>
      <c r="J3" s="56">
        <v>5</v>
      </c>
      <c r="K3" s="45">
        <v>468</v>
      </c>
      <c r="L3" s="45">
        <v>410000</v>
      </c>
      <c r="M3" s="61">
        <v>3</v>
      </c>
      <c r="N3" s="45">
        <v>335000</v>
      </c>
      <c r="O3" s="45">
        <f t="shared" si="0"/>
        <v>745000</v>
      </c>
      <c r="P3" s="66">
        <v>8</v>
      </c>
      <c r="Q3" s="76">
        <f t="shared" si="1"/>
        <v>93125</v>
      </c>
      <c r="R3" s="45">
        <v>2390000</v>
      </c>
      <c r="S3" s="45">
        <f t="shared" si="2"/>
        <v>2800000</v>
      </c>
      <c r="T3" s="67">
        <f t="shared" si="3"/>
        <v>8</v>
      </c>
      <c r="U3" s="76">
        <f t="shared" si="4"/>
        <v>350000</v>
      </c>
    </row>
    <row r="4" spans="1:21" x14ac:dyDescent="0.25">
      <c r="A4" s="72" t="s">
        <v>745</v>
      </c>
      <c r="B4" s="73" t="s">
        <v>750</v>
      </c>
      <c r="C4" s="73" t="s">
        <v>751</v>
      </c>
      <c r="D4" s="73" t="s">
        <v>751</v>
      </c>
      <c r="F4" s="88" t="s">
        <v>752</v>
      </c>
      <c r="G4">
        <v>35</v>
      </c>
      <c r="H4">
        <v>85</v>
      </c>
      <c r="I4" s="55">
        <v>18.2</v>
      </c>
      <c r="J4" s="56">
        <v>4</v>
      </c>
      <c r="K4" s="45">
        <v>14808</v>
      </c>
      <c r="L4" s="45">
        <v>1245000</v>
      </c>
      <c r="M4" s="61">
        <v>3</v>
      </c>
      <c r="N4" s="45">
        <v>259000</v>
      </c>
      <c r="O4" s="45">
        <f t="shared" si="0"/>
        <v>1504000</v>
      </c>
      <c r="P4" s="66">
        <v>6.5</v>
      </c>
      <c r="Q4" s="76">
        <f t="shared" si="1"/>
        <v>231384.61538461538</v>
      </c>
      <c r="R4" s="45">
        <v>1850000</v>
      </c>
      <c r="S4" s="45">
        <f t="shared" si="2"/>
        <v>3095000</v>
      </c>
      <c r="T4" s="67">
        <f t="shared" si="3"/>
        <v>6.5</v>
      </c>
      <c r="U4" s="76">
        <f t="shared" si="4"/>
        <v>476153.84615384613</v>
      </c>
    </row>
    <row r="5" spans="1:21" x14ac:dyDescent="0.25">
      <c r="A5" s="74" t="s">
        <v>746</v>
      </c>
      <c r="B5" s="75" t="s">
        <v>753</v>
      </c>
      <c r="C5" s="75" t="s">
        <v>754</v>
      </c>
      <c r="D5" s="75" t="s">
        <v>751</v>
      </c>
      <c r="F5" s="88" t="s">
        <v>755</v>
      </c>
      <c r="G5">
        <v>36</v>
      </c>
      <c r="H5">
        <v>97</v>
      </c>
      <c r="I5" s="55">
        <v>14</v>
      </c>
      <c r="J5" s="56">
        <v>5</v>
      </c>
      <c r="K5" s="45">
        <v>4956</v>
      </c>
      <c r="L5" s="45">
        <v>405000</v>
      </c>
      <c r="M5" s="61">
        <v>3</v>
      </c>
      <c r="N5" s="68">
        <v>337500</v>
      </c>
      <c r="O5" s="45">
        <f t="shared" si="0"/>
        <v>742500</v>
      </c>
      <c r="P5" s="66">
        <v>8</v>
      </c>
      <c r="Q5" s="76">
        <f t="shared" si="1"/>
        <v>92812.5</v>
      </c>
      <c r="R5" s="45">
        <v>2400000</v>
      </c>
      <c r="S5" s="45">
        <f t="shared" si="2"/>
        <v>2805000</v>
      </c>
      <c r="T5" s="67">
        <f t="shared" si="3"/>
        <v>8</v>
      </c>
      <c r="U5" s="76">
        <f t="shared" si="4"/>
        <v>350625</v>
      </c>
    </row>
    <row r="6" spans="1:21" x14ac:dyDescent="0.25">
      <c r="A6" s="72" t="s">
        <v>747</v>
      </c>
      <c r="B6" s="73" t="s">
        <v>756</v>
      </c>
      <c r="C6" s="73" t="s">
        <v>757</v>
      </c>
      <c r="D6" s="73" t="s">
        <v>758</v>
      </c>
      <c r="F6" s="88" t="s">
        <v>759</v>
      </c>
      <c r="G6">
        <v>40</v>
      </c>
      <c r="H6">
        <v>71</v>
      </c>
      <c r="I6" s="55">
        <v>15.3</v>
      </c>
      <c r="J6" s="56">
        <v>5</v>
      </c>
      <c r="K6" s="45">
        <v>840</v>
      </c>
      <c r="L6" s="45">
        <v>325000</v>
      </c>
      <c r="M6" s="61">
        <v>3</v>
      </c>
      <c r="N6" s="45">
        <v>305000</v>
      </c>
      <c r="O6" s="45">
        <f t="shared" si="0"/>
        <v>630000</v>
      </c>
      <c r="P6" s="66">
        <v>8</v>
      </c>
      <c r="Q6" s="76">
        <f t="shared" si="1"/>
        <v>78750</v>
      </c>
      <c r="R6" s="45">
        <v>2200000</v>
      </c>
      <c r="S6" s="45">
        <f t="shared" si="2"/>
        <v>2525000</v>
      </c>
      <c r="T6" s="67">
        <f t="shared" si="3"/>
        <v>8</v>
      </c>
      <c r="U6" s="76">
        <f t="shared" si="4"/>
        <v>315625</v>
      </c>
    </row>
    <row r="7" spans="1:21" x14ac:dyDescent="0.25">
      <c r="A7" s="74" t="s">
        <v>760</v>
      </c>
      <c r="B7" s="75" t="s">
        <v>761</v>
      </c>
      <c r="C7" s="75" t="s">
        <v>762</v>
      </c>
      <c r="D7" s="75" t="s">
        <v>763</v>
      </c>
      <c r="I7" s="55">
        <v>0</v>
      </c>
      <c r="J7" s="56">
        <v>0</v>
      </c>
      <c r="K7" s="45"/>
      <c r="L7" s="45"/>
      <c r="M7" s="61">
        <v>3</v>
      </c>
      <c r="N7" s="45"/>
      <c r="O7" s="45">
        <f t="shared" si="0"/>
        <v>0</v>
      </c>
      <c r="P7" s="66">
        <v>9</v>
      </c>
      <c r="Q7" s="76">
        <f t="shared" si="1"/>
        <v>0</v>
      </c>
      <c r="R7" s="45"/>
      <c r="S7" s="45">
        <f t="shared" si="2"/>
        <v>0</v>
      </c>
      <c r="T7" s="67">
        <f t="shared" si="3"/>
        <v>9</v>
      </c>
      <c r="U7" s="76">
        <f t="shared" si="4"/>
        <v>0</v>
      </c>
    </row>
    <row r="8" spans="1:21" x14ac:dyDescent="0.25">
      <c r="A8" s="72" t="s">
        <v>764</v>
      </c>
      <c r="B8" s="73" t="s">
        <v>765</v>
      </c>
      <c r="C8" s="73" t="s">
        <v>766</v>
      </c>
      <c r="D8" s="73" t="s">
        <v>767</v>
      </c>
      <c r="F8" s="88" t="s">
        <v>768</v>
      </c>
      <c r="G8">
        <v>38</v>
      </c>
      <c r="H8">
        <v>105</v>
      </c>
      <c r="I8" s="55">
        <v>17.8</v>
      </c>
      <c r="J8" s="56">
        <v>4</v>
      </c>
      <c r="K8" s="45">
        <v>1080</v>
      </c>
      <c r="L8" s="45">
        <v>320000</v>
      </c>
      <c r="M8" s="61">
        <v>3</v>
      </c>
      <c r="N8" s="45">
        <v>269000</v>
      </c>
      <c r="O8" s="45">
        <f t="shared" si="0"/>
        <v>589000</v>
      </c>
      <c r="P8" s="66">
        <v>6.5</v>
      </c>
      <c r="Q8" s="76">
        <f t="shared" si="1"/>
        <v>90615.38461538461</v>
      </c>
      <c r="R8" s="45">
        <v>1900000</v>
      </c>
      <c r="S8" s="45">
        <f t="shared" si="2"/>
        <v>2220000</v>
      </c>
      <c r="T8" s="67">
        <f t="shared" si="3"/>
        <v>6.5</v>
      </c>
      <c r="U8" s="76">
        <f t="shared" si="4"/>
        <v>341538.46153846156</v>
      </c>
    </row>
    <row r="9" spans="1:21" x14ac:dyDescent="0.25">
      <c r="A9" s="74" t="s">
        <v>769</v>
      </c>
      <c r="B9" s="75" t="s">
        <v>770</v>
      </c>
      <c r="C9" s="75" t="s">
        <v>771</v>
      </c>
      <c r="D9" s="75" t="s">
        <v>772</v>
      </c>
      <c r="F9" s="88" t="s">
        <v>773</v>
      </c>
      <c r="G9">
        <v>40</v>
      </c>
      <c r="H9">
        <v>43</v>
      </c>
      <c r="I9" s="55">
        <v>33.4</v>
      </c>
      <c r="J9" s="56">
        <v>4</v>
      </c>
      <c r="K9" s="45">
        <f>470*1.2</f>
        <v>564</v>
      </c>
      <c r="L9" s="45">
        <v>920000</v>
      </c>
      <c r="M9" s="61">
        <v>3</v>
      </c>
      <c r="N9" s="45">
        <v>125000</v>
      </c>
      <c r="O9" s="45">
        <f t="shared" si="0"/>
        <v>1045000</v>
      </c>
      <c r="P9" s="66">
        <v>6.5</v>
      </c>
      <c r="Q9" s="76">
        <f t="shared" si="1"/>
        <v>160769.23076923078</v>
      </c>
      <c r="R9" s="45">
        <v>1050000</v>
      </c>
      <c r="S9" s="45">
        <f t="shared" si="2"/>
        <v>1970000</v>
      </c>
      <c r="T9" s="67">
        <f t="shared" si="3"/>
        <v>6.5</v>
      </c>
      <c r="U9" s="76">
        <f t="shared" si="4"/>
        <v>303076.92307692306</v>
      </c>
    </row>
    <row r="10" spans="1:21" x14ac:dyDescent="0.25">
      <c r="A10" s="72" t="s">
        <v>774</v>
      </c>
      <c r="B10" s="73" t="s">
        <v>775</v>
      </c>
      <c r="C10" s="73" t="s">
        <v>776</v>
      </c>
      <c r="D10" s="73" t="s">
        <v>777</v>
      </c>
      <c r="F10" s="88" t="s">
        <v>778</v>
      </c>
      <c r="G10">
        <v>38</v>
      </c>
      <c r="H10">
        <v>73</v>
      </c>
      <c r="I10" s="55">
        <v>15.5</v>
      </c>
      <c r="J10" s="56">
        <v>4</v>
      </c>
      <c r="K10" s="45">
        <v>1280</v>
      </c>
      <c r="L10" s="45">
        <v>10000</v>
      </c>
      <c r="M10" s="61">
        <v>3</v>
      </c>
      <c r="N10" s="45">
        <v>305000</v>
      </c>
      <c r="O10" s="45">
        <f t="shared" si="0"/>
        <v>315000</v>
      </c>
      <c r="P10" s="66">
        <v>6.5</v>
      </c>
      <c r="Q10" s="76">
        <f t="shared" si="1"/>
        <v>48461.538461538461</v>
      </c>
      <c r="R10" s="45">
        <v>2200000</v>
      </c>
      <c r="S10" s="45">
        <f t="shared" si="2"/>
        <v>2210000</v>
      </c>
      <c r="T10" s="67">
        <f t="shared" si="3"/>
        <v>6.5</v>
      </c>
      <c r="U10" s="76">
        <f t="shared" si="4"/>
        <v>340000</v>
      </c>
    </row>
    <row r="11" spans="1:21" x14ac:dyDescent="0.25">
      <c r="A11" s="74" t="s">
        <v>779</v>
      </c>
      <c r="B11" s="75" t="s">
        <v>780</v>
      </c>
      <c r="C11" s="75" t="s">
        <v>781</v>
      </c>
      <c r="D11" s="75" t="s">
        <v>782</v>
      </c>
      <c r="F11" s="88" t="s">
        <v>783</v>
      </c>
      <c r="G11">
        <v>38</v>
      </c>
      <c r="H11">
        <v>33</v>
      </c>
      <c r="I11" s="55">
        <v>16.7</v>
      </c>
      <c r="J11" s="56">
        <v>4</v>
      </c>
      <c r="K11" s="45">
        <v>1224</v>
      </c>
      <c r="L11" s="45">
        <v>10000</v>
      </c>
      <c r="M11" s="61">
        <v>3</v>
      </c>
      <c r="N11" s="68">
        <v>283000</v>
      </c>
      <c r="O11" s="45">
        <f t="shared" si="0"/>
        <v>293000</v>
      </c>
      <c r="P11" s="66">
        <v>6.5</v>
      </c>
      <c r="Q11" s="76">
        <f t="shared" si="1"/>
        <v>45076.923076923078</v>
      </c>
      <c r="R11" s="45">
        <v>2005000</v>
      </c>
      <c r="S11" s="45">
        <f t="shared" si="2"/>
        <v>2015000</v>
      </c>
      <c r="T11" s="67">
        <f t="shared" si="3"/>
        <v>6.5</v>
      </c>
      <c r="U11" s="76">
        <f t="shared" si="4"/>
        <v>310000</v>
      </c>
    </row>
    <row r="12" spans="1:21" x14ac:dyDescent="0.25">
      <c r="A12" s="72" t="s">
        <v>784</v>
      </c>
      <c r="B12" s="73" t="s">
        <v>785</v>
      </c>
      <c r="C12" s="73" t="s">
        <v>786</v>
      </c>
      <c r="D12" s="73" t="s">
        <v>787</v>
      </c>
      <c r="F12" s="88" t="s">
        <v>788</v>
      </c>
      <c r="G12">
        <v>38</v>
      </c>
      <c r="H12">
        <v>106</v>
      </c>
      <c r="I12" s="55">
        <v>15.1</v>
      </c>
      <c r="J12" s="56">
        <v>4</v>
      </c>
      <c r="K12" s="45">
        <v>1368</v>
      </c>
      <c r="L12" s="45">
        <v>5000</v>
      </c>
      <c r="M12" s="61">
        <v>3</v>
      </c>
      <c r="N12" s="45">
        <v>315000</v>
      </c>
      <c r="O12" s="45">
        <f t="shared" si="0"/>
        <v>320000</v>
      </c>
      <c r="P12" s="66">
        <v>6.5</v>
      </c>
      <c r="Q12" s="76">
        <f t="shared" si="1"/>
        <v>49230.769230769234</v>
      </c>
      <c r="R12" s="45">
        <v>2242290</v>
      </c>
      <c r="S12" s="45">
        <f t="shared" si="2"/>
        <v>2247290</v>
      </c>
      <c r="T12" s="67">
        <f t="shared" si="3"/>
        <v>6.5</v>
      </c>
      <c r="U12" s="76">
        <f t="shared" si="4"/>
        <v>345736.92307692306</v>
      </c>
    </row>
    <row r="13" spans="1:21" x14ac:dyDescent="0.25">
      <c r="A13" s="74" t="s">
        <v>789</v>
      </c>
      <c r="B13" s="75" t="s">
        <v>790</v>
      </c>
      <c r="C13" s="75" t="s">
        <v>791</v>
      </c>
      <c r="D13" s="75" t="s">
        <v>792</v>
      </c>
      <c r="F13" s="88" t="s">
        <v>793</v>
      </c>
      <c r="G13">
        <v>58</v>
      </c>
      <c r="H13">
        <v>49</v>
      </c>
      <c r="I13" s="55">
        <v>16</v>
      </c>
      <c r="J13" s="56">
        <v>4</v>
      </c>
      <c r="K13" s="45">
        <v>300</v>
      </c>
      <c r="L13" s="45">
        <v>125000</v>
      </c>
      <c r="M13" s="61">
        <v>3</v>
      </c>
      <c r="N13" s="45">
        <v>296000</v>
      </c>
      <c r="O13" s="45">
        <f t="shared" si="0"/>
        <v>421000</v>
      </c>
      <c r="P13" s="66">
        <v>6.5</v>
      </c>
      <c r="Q13" s="76">
        <f t="shared" si="1"/>
        <v>64769.230769230766</v>
      </c>
      <c r="R13" s="45">
        <v>2105000</v>
      </c>
      <c r="S13" s="45">
        <f t="shared" si="2"/>
        <v>2230000</v>
      </c>
      <c r="T13" s="67">
        <f t="shared" si="3"/>
        <v>6.5</v>
      </c>
      <c r="U13" s="76">
        <f t="shared" si="4"/>
        <v>343076.92307692306</v>
      </c>
    </row>
    <row r="14" spans="1:21" x14ac:dyDescent="0.25">
      <c r="A14" s="72" t="s">
        <v>794</v>
      </c>
      <c r="B14" s="73" t="s">
        <v>795</v>
      </c>
      <c r="C14" s="73" t="s">
        <v>796</v>
      </c>
      <c r="D14" s="73" t="s">
        <v>797</v>
      </c>
      <c r="I14" s="55">
        <v>0</v>
      </c>
      <c r="J14" s="56">
        <v>0</v>
      </c>
      <c r="K14" s="45"/>
      <c r="L14" s="45"/>
      <c r="M14" s="61">
        <v>3</v>
      </c>
      <c r="N14" s="45"/>
      <c r="O14" s="45">
        <f t="shared" si="0"/>
        <v>0</v>
      </c>
      <c r="P14" s="66">
        <v>9</v>
      </c>
      <c r="Q14" s="76">
        <f t="shared" si="1"/>
        <v>0</v>
      </c>
      <c r="R14" s="45"/>
      <c r="S14" s="45">
        <f t="shared" si="2"/>
        <v>0</v>
      </c>
      <c r="T14" s="67">
        <f t="shared" si="3"/>
        <v>9</v>
      </c>
      <c r="U14" s="76">
        <f t="shared" si="4"/>
        <v>0</v>
      </c>
    </row>
    <row r="15" spans="1:21" x14ac:dyDescent="0.25">
      <c r="A15" s="74" t="s">
        <v>798</v>
      </c>
      <c r="B15" s="75" t="s">
        <v>799</v>
      </c>
      <c r="C15" s="75" t="s">
        <v>800</v>
      </c>
      <c r="D15" s="75" t="s">
        <v>801</v>
      </c>
      <c r="F15" s="88" t="s">
        <v>802</v>
      </c>
      <c r="G15">
        <v>40</v>
      </c>
      <c r="H15">
        <v>1</v>
      </c>
      <c r="I15" s="55">
        <v>16.100000000000001</v>
      </c>
      <c r="J15" s="56">
        <v>5</v>
      </c>
      <c r="K15" s="45">
        <v>492</v>
      </c>
      <c r="L15" s="45">
        <v>1100000</v>
      </c>
      <c r="M15" s="61">
        <v>2</v>
      </c>
      <c r="N15" s="45">
        <v>296000</v>
      </c>
      <c r="O15" s="45">
        <f t="shared" si="0"/>
        <v>1396000</v>
      </c>
      <c r="P15" s="66">
        <v>8</v>
      </c>
      <c r="Q15" s="76">
        <f t="shared" si="1"/>
        <v>174500</v>
      </c>
      <c r="R15" s="45">
        <v>2100000</v>
      </c>
      <c r="S15" s="45">
        <f t="shared" si="2"/>
        <v>3200000</v>
      </c>
      <c r="T15" s="67">
        <f t="shared" si="3"/>
        <v>8</v>
      </c>
      <c r="U15" s="76">
        <f t="shared" si="4"/>
        <v>400000</v>
      </c>
    </row>
    <row r="16" spans="1:21" x14ac:dyDescent="0.25">
      <c r="A16" s="72" t="s">
        <v>803</v>
      </c>
      <c r="B16" s="73" t="s">
        <v>804</v>
      </c>
      <c r="C16" s="73" t="s">
        <v>805</v>
      </c>
      <c r="D16" s="73" t="s">
        <v>806</v>
      </c>
      <c r="F16" s="88" t="s">
        <v>807</v>
      </c>
      <c r="G16">
        <v>36</v>
      </c>
      <c r="H16">
        <v>0</v>
      </c>
      <c r="I16" s="55">
        <v>27</v>
      </c>
      <c r="J16" s="56">
        <v>5</v>
      </c>
      <c r="K16" s="45">
        <v>7812</v>
      </c>
      <c r="L16" s="45">
        <v>3500000</v>
      </c>
      <c r="M16" s="61">
        <v>3</v>
      </c>
      <c r="N16" s="68">
        <v>161800</v>
      </c>
      <c r="O16" s="45">
        <f t="shared" si="0"/>
        <v>3661800</v>
      </c>
      <c r="P16" s="66">
        <v>8</v>
      </c>
      <c r="Q16" s="76">
        <f t="shared" si="1"/>
        <v>457725</v>
      </c>
      <c r="R16" s="45">
        <v>1150800</v>
      </c>
      <c r="S16" s="45">
        <f t="shared" si="2"/>
        <v>4650800</v>
      </c>
      <c r="T16" s="67">
        <f t="shared" si="3"/>
        <v>8</v>
      </c>
      <c r="U16" s="76">
        <f t="shared" si="4"/>
        <v>581350</v>
      </c>
    </row>
    <row r="17" spans="1:21" x14ac:dyDescent="0.25">
      <c r="A17" s="74" t="s">
        <v>808</v>
      </c>
      <c r="B17" s="75" t="s">
        <v>809</v>
      </c>
      <c r="C17" s="75" t="s">
        <v>810</v>
      </c>
      <c r="D17" s="75" t="s">
        <v>811</v>
      </c>
      <c r="F17" s="88" t="s">
        <v>812</v>
      </c>
      <c r="G17">
        <v>39</v>
      </c>
      <c r="H17">
        <v>78</v>
      </c>
      <c r="I17" s="55">
        <v>20.100000000000001</v>
      </c>
      <c r="J17" s="56">
        <v>5</v>
      </c>
      <c r="K17" s="45">
        <v>300</v>
      </c>
      <c r="L17" s="45">
        <v>1475000</v>
      </c>
      <c r="M17" s="61">
        <v>3</v>
      </c>
      <c r="N17" s="45">
        <v>231100</v>
      </c>
      <c r="O17" s="45">
        <f t="shared" si="0"/>
        <v>1706100</v>
      </c>
      <c r="P17" s="66">
        <v>8</v>
      </c>
      <c r="Q17" s="76">
        <f t="shared" si="1"/>
        <v>213262.5</v>
      </c>
      <c r="R17" s="45">
        <v>1643000</v>
      </c>
      <c r="S17" s="45">
        <f t="shared" si="2"/>
        <v>3118000</v>
      </c>
      <c r="T17" s="67">
        <f t="shared" si="3"/>
        <v>8</v>
      </c>
      <c r="U17" s="76">
        <f t="shared" si="4"/>
        <v>389750</v>
      </c>
    </row>
    <row r="18" spans="1:21" x14ac:dyDescent="0.25">
      <c r="A18" s="72" t="s">
        <v>813</v>
      </c>
      <c r="B18" s="73" t="s">
        <v>814</v>
      </c>
      <c r="C18" s="73" t="s">
        <v>815</v>
      </c>
      <c r="D18" s="73" t="s">
        <v>816</v>
      </c>
      <c r="I18" s="55">
        <v>0</v>
      </c>
      <c r="J18" s="56">
        <v>0</v>
      </c>
      <c r="K18" s="45"/>
      <c r="L18" s="45"/>
      <c r="M18" s="61">
        <v>3</v>
      </c>
      <c r="N18" s="45"/>
      <c r="O18" s="45">
        <f t="shared" si="0"/>
        <v>0</v>
      </c>
      <c r="P18" s="66">
        <v>9</v>
      </c>
      <c r="Q18" s="76">
        <f t="shared" si="1"/>
        <v>0</v>
      </c>
      <c r="R18" s="45"/>
      <c r="S18" s="45">
        <f t="shared" si="2"/>
        <v>0</v>
      </c>
      <c r="T18" s="67">
        <f t="shared" si="3"/>
        <v>9</v>
      </c>
      <c r="U18" s="76">
        <f t="shared" si="4"/>
        <v>0</v>
      </c>
    </row>
    <row r="19" spans="1:21" x14ac:dyDescent="0.25">
      <c r="I19" s="55">
        <v>0</v>
      </c>
      <c r="J19" s="56">
        <v>0</v>
      </c>
      <c r="K19" s="45"/>
      <c r="L19" s="45"/>
      <c r="M19" s="61">
        <v>3</v>
      </c>
      <c r="N19" s="45"/>
      <c r="O19" s="45">
        <f t="shared" si="0"/>
        <v>0</v>
      </c>
      <c r="P19" s="66">
        <v>9</v>
      </c>
      <c r="Q19" s="76">
        <f t="shared" si="1"/>
        <v>0</v>
      </c>
      <c r="R19" s="45"/>
      <c r="S19" s="45">
        <f t="shared" si="2"/>
        <v>0</v>
      </c>
      <c r="T19" s="67">
        <f t="shared" si="3"/>
        <v>9</v>
      </c>
      <c r="U19" s="76">
        <f t="shared" si="4"/>
        <v>0</v>
      </c>
    </row>
    <row r="20" spans="1:21" x14ac:dyDescent="0.25">
      <c r="A20" s="13" t="s">
        <v>817</v>
      </c>
      <c r="B20" s="13" t="s">
        <v>818</v>
      </c>
      <c r="I20" s="55">
        <v>0</v>
      </c>
      <c r="J20" s="56">
        <v>0</v>
      </c>
      <c r="K20" s="45"/>
      <c r="L20" s="45"/>
      <c r="M20" s="61">
        <v>3</v>
      </c>
      <c r="N20" s="45"/>
      <c r="O20" s="45">
        <f t="shared" si="0"/>
        <v>0</v>
      </c>
      <c r="P20" s="66">
        <v>9</v>
      </c>
      <c r="Q20" s="76">
        <f t="shared" si="1"/>
        <v>0</v>
      </c>
      <c r="R20" s="45"/>
      <c r="S20" s="45">
        <f t="shared" si="2"/>
        <v>0</v>
      </c>
      <c r="T20" s="67">
        <f t="shared" si="3"/>
        <v>9</v>
      </c>
      <c r="U20" s="76">
        <f t="shared" si="4"/>
        <v>0</v>
      </c>
    </row>
    <row r="21" spans="1:21" x14ac:dyDescent="0.25">
      <c r="A21" s="42" t="s">
        <v>819</v>
      </c>
      <c r="B21" s="42">
        <v>2</v>
      </c>
      <c r="I21" s="55">
        <v>0</v>
      </c>
      <c r="J21" s="56">
        <v>0</v>
      </c>
      <c r="K21" s="45"/>
      <c r="L21" s="45"/>
      <c r="M21" s="61">
        <v>3</v>
      </c>
      <c r="N21" s="68"/>
      <c r="O21" s="45">
        <f t="shared" si="0"/>
        <v>0</v>
      </c>
      <c r="P21" s="66">
        <v>9</v>
      </c>
      <c r="Q21" s="76">
        <f t="shared" si="1"/>
        <v>0</v>
      </c>
      <c r="R21" s="45"/>
      <c r="S21" s="45">
        <f t="shared" si="2"/>
        <v>0</v>
      </c>
      <c r="T21" s="67">
        <f t="shared" si="3"/>
        <v>9</v>
      </c>
      <c r="U21" s="76">
        <f t="shared" si="4"/>
        <v>0</v>
      </c>
    </row>
    <row r="22" spans="1:21" x14ac:dyDescent="0.25">
      <c r="A22" s="42" t="s">
        <v>820</v>
      </c>
      <c r="B22" s="42">
        <v>1.5</v>
      </c>
      <c r="I22" s="55">
        <v>0</v>
      </c>
      <c r="J22" s="56">
        <v>0</v>
      </c>
      <c r="K22" s="45"/>
      <c r="L22" s="45"/>
      <c r="M22" s="61">
        <v>3</v>
      </c>
      <c r="N22" s="45"/>
      <c r="O22" s="45">
        <f t="shared" si="0"/>
        <v>0</v>
      </c>
      <c r="P22" s="66">
        <v>9</v>
      </c>
      <c r="Q22" s="76">
        <f t="shared" si="1"/>
        <v>0</v>
      </c>
      <c r="R22" s="45"/>
      <c r="S22" s="45">
        <f t="shared" si="2"/>
        <v>0</v>
      </c>
      <c r="T22" s="67">
        <f t="shared" si="3"/>
        <v>9</v>
      </c>
      <c r="U22" s="76">
        <f t="shared" si="4"/>
        <v>0</v>
      </c>
    </row>
    <row r="23" spans="1:21" x14ac:dyDescent="0.25">
      <c r="A23" s="42" t="s">
        <v>821</v>
      </c>
      <c r="B23" s="42">
        <v>1.5</v>
      </c>
      <c r="I23" s="55">
        <v>0</v>
      </c>
      <c r="J23" s="56">
        <v>0</v>
      </c>
      <c r="K23" s="45"/>
      <c r="L23" s="45"/>
      <c r="M23" s="61">
        <v>3</v>
      </c>
      <c r="N23" s="45"/>
      <c r="O23" s="45">
        <f t="shared" si="0"/>
        <v>0</v>
      </c>
      <c r="P23" s="66">
        <v>9</v>
      </c>
      <c r="Q23" s="76">
        <f t="shared" si="1"/>
        <v>0</v>
      </c>
      <c r="R23" s="45"/>
      <c r="S23" s="45">
        <f t="shared" si="2"/>
        <v>0</v>
      </c>
      <c r="T23" s="67">
        <f t="shared" si="3"/>
        <v>9</v>
      </c>
      <c r="U23" s="76">
        <f t="shared" si="4"/>
        <v>0</v>
      </c>
    </row>
    <row r="24" spans="1:21" x14ac:dyDescent="0.25">
      <c r="A24" s="42" t="s">
        <v>822</v>
      </c>
      <c r="B24" s="42">
        <v>1.5</v>
      </c>
      <c r="I24" s="55">
        <v>0</v>
      </c>
      <c r="J24" s="56">
        <v>0</v>
      </c>
      <c r="K24" s="45"/>
      <c r="L24" s="45"/>
      <c r="M24" s="61">
        <v>3</v>
      </c>
      <c r="N24" s="45"/>
      <c r="O24" s="45">
        <f t="shared" si="0"/>
        <v>0</v>
      </c>
      <c r="P24" s="66">
        <v>9</v>
      </c>
      <c r="Q24" s="76">
        <f t="shared" si="1"/>
        <v>0</v>
      </c>
      <c r="R24" s="45"/>
      <c r="S24" s="45">
        <f t="shared" si="2"/>
        <v>0</v>
      </c>
      <c r="T24" s="67">
        <f t="shared" si="3"/>
        <v>9</v>
      </c>
      <c r="U24" s="76">
        <f t="shared" si="4"/>
        <v>0</v>
      </c>
    </row>
    <row r="25" spans="1:21" x14ac:dyDescent="0.25">
      <c r="A25" s="42" t="s">
        <v>823</v>
      </c>
      <c r="B25" s="42">
        <v>1.5</v>
      </c>
      <c r="I25" s="55">
        <v>0</v>
      </c>
      <c r="J25" s="56">
        <v>0</v>
      </c>
      <c r="K25" s="45"/>
      <c r="L25" s="45"/>
      <c r="M25" s="61">
        <v>3</v>
      </c>
      <c r="N25" s="45"/>
      <c r="O25" s="45">
        <f t="shared" si="0"/>
        <v>0</v>
      </c>
      <c r="P25" s="66">
        <v>9</v>
      </c>
      <c r="Q25" s="76">
        <f t="shared" si="1"/>
        <v>0</v>
      </c>
      <c r="R25" s="45"/>
      <c r="S25" s="45">
        <f t="shared" si="2"/>
        <v>0</v>
      </c>
      <c r="T25" s="67">
        <f t="shared" si="3"/>
        <v>9</v>
      </c>
      <c r="U25" s="76">
        <f t="shared" si="4"/>
        <v>0</v>
      </c>
    </row>
    <row r="26" spans="1:21" x14ac:dyDescent="0.25">
      <c r="A26" s="42" t="s">
        <v>824</v>
      </c>
      <c r="B26" s="42">
        <v>1.5</v>
      </c>
      <c r="I26" s="55">
        <v>0</v>
      </c>
      <c r="J26" s="56">
        <v>0</v>
      </c>
      <c r="K26" s="45"/>
      <c r="L26" s="45"/>
      <c r="M26" s="61">
        <v>3</v>
      </c>
      <c r="N26" s="68"/>
      <c r="O26" s="45">
        <f t="shared" si="0"/>
        <v>0</v>
      </c>
      <c r="P26" s="66">
        <v>9</v>
      </c>
      <c r="Q26" s="76">
        <f t="shared" si="1"/>
        <v>0</v>
      </c>
      <c r="R26" s="45"/>
      <c r="S26" s="45">
        <f t="shared" si="2"/>
        <v>0</v>
      </c>
      <c r="T26" s="67">
        <f t="shared" si="3"/>
        <v>9</v>
      </c>
      <c r="U26" s="76">
        <f t="shared" si="4"/>
        <v>0</v>
      </c>
    </row>
    <row r="27" spans="1:21" x14ac:dyDescent="0.25">
      <c r="A27" s="42"/>
      <c r="B27" s="42"/>
      <c r="I27" s="55">
        <v>0</v>
      </c>
      <c r="J27" s="56">
        <v>0</v>
      </c>
      <c r="K27" s="45"/>
      <c r="L27" s="45"/>
      <c r="M27" s="61">
        <v>3</v>
      </c>
      <c r="N27" s="45"/>
      <c r="O27" s="45">
        <f t="shared" si="0"/>
        <v>0</v>
      </c>
      <c r="P27" s="66">
        <v>9</v>
      </c>
      <c r="Q27" s="76">
        <f t="shared" si="1"/>
        <v>0</v>
      </c>
      <c r="R27" s="45"/>
      <c r="S27" s="45">
        <f t="shared" si="2"/>
        <v>0</v>
      </c>
      <c r="T27" s="67">
        <f t="shared" si="3"/>
        <v>9</v>
      </c>
      <c r="U27" s="76">
        <f t="shared" si="4"/>
        <v>0</v>
      </c>
    </row>
    <row r="28" spans="1:21" x14ac:dyDescent="0.25">
      <c r="A28" s="13" t="s">
        <v>825</v>
      </c>
      <c r="B28" s="13" t="s">
        <v>826</v>
      </c>
      <c r="I28" s="55">
        <v>0</v>
      </c>
      <c r="J28" s="56">
        <v>0</v>
      </c>
      <c r="K28" s="45"/>
      <c r="L28" s="45"/>
      <c r="M28" s="61">
        <v>3</v>
      </c>
      <c r="N28" s="45"/>
      <c r="O28" s="45">
        <f t="shared" si="0"/>
        <v>0</v>
      </c>
      <c r="P28" s="66">
        <v>9</v>
      </c>
      <c r="Q28" s="76">
        <f t="shared" si="1"/>
        <v>0</v>
      </c>
      <c r="R28" s="45"/>
      <c r="S28" s="45">
        <f t="shared" si="2"/>
        <v>0</v>
      </c>
      <c r="T28" s="67">
        <f t="shared" si="3"/>
        <v>9</v>
      </c>
      <c r="U28" s="76">
        <f t="shared" si="4"/>
        <v>0</v>
      </c>
    </row>
    <row r="29" spans="1:21" x14ac:dyDescent="0.25">
      <c r="A29" s="42" t="s">
        <v>827</v>
      </c>
      <c r="B29" s="29">
        <v>9.5</v>
      </c>
      <c r="I29" s="55">
        <v>0</v>
      </c>
      <c r="J29" s="56">
        <v>0</v>
      </c>
      <c r="K29" s="45"/>
      <c r="L29" s="45"/>
      <c r="M29" s="61">
        <v>3</v>
      </c>
      <c r="N29" s="45"/>
      <c r="O29" s="45">
        <f t="shared" si="0"/>
        <v>0</v>
      </c>
      <c r="P29" s="66">
        <v>9</v>
      </c>
      <c r="Q29" s="76">
        <f t="shared" si="1"/>
        <v>0</v>
      </c>
      <c r="R29" s="45"/>
      <c r="S29" s="45">
        <f t="shared" si="2"/>
        <v>0</v>
      </c>
      <c r="T29" s="67">
        <f t="shared" si="3"/>
        <v>9</v>
      </c>
      <c r="U29" s="76">
        <f t="shared" si="4"/>
        <v>0</v>
      </c>
    </row>
    <row r="30" spans="1:21" x14ac:dyDescent="0.25">
      <c r="A30" s="42" t="s">
        <v>828</v>
      </c>
      <c r="B30" s="29">
        <v>8</v>
      </c>
      <c r="I30" s="55">
        <v>0</v>
      </c>
      <c r="J30" s="56">
        <v>0</v>
      </c>
      <c r="K30" s="45"/>
      <c r="L30" s="45"/>
      <c r="M30" s="61">
        <v>3</v>
      </c>
      <c r="N30" s="45"/>
      <c r="O30" s="45">
        <f t="shared" si="0"/>
        <v>0</v>
      </c>
      <c r="P30" s="66">
        <v>9</v>
      </c>
      <c r="Q30" s="76">
        <f t="shared" si="1"/>
        <v>0</v>
      </c>
      <c r="R30" s="45"/>
      <c r="S30" s="45">
        <f t="shared" si="2"/>
        <v>0</v>
      </c>
      <c r="T30" s="67">
        <f t="shared" si="3"/>
        <v>9</v>
      </c>
      <c r="U30" s="76">
        <f t="shared" si="4"/>
        <v>0</v>
      </c>
    </row>
    <row r="31" spans="1:21" x14ac:dyDescent="0.25">
      <c r="A31" s="42" t="s">
        <v>829</v>
      </c>
      <c r="B31" s="29">
        <f>B30-1.5</f>
        <v>6.5</v>
      </c>
      <c r="I31" s="55">
        <v>0</v>
      </c>
      <c r="J31" s="56">
        <v>0</v>
      </c>
      <c r="K31" s="45"/>
      <c r="L31" s="45"/>
      <c r="M31" s="61">
        <v>3</v>
      </c>
      <c r="N31" s="68"/>
      <c r="O31" s="45">
        <f t="shared" si="0"/>
        <v>0</v>
      </c>
      <c r="P31" s="66">
        <v>9</v>
      </c>
      <c r="Q31" s="76">
        <f t="shared" si="1"/>
        <v>0</v>
      </c>
      <c r="R31" s="45"/>
      <c r="S31" s="45">
        <f t="shared" si="2"/>
        <v>0</v>
      </c>
      <c r="T31" s="67">
        <f t="shared" si="3"/>
        <v>9</v>
      </c>
      <c r="U31" s="76">
        <f t="shared" si="4"/>
        <v>0</v>
      </c>
    </row>
    <row r="32" spans="1:21" x14ac:dyDescent="0.25">
      <c r="A32" s="42" t="s">
        <v>830</v>
      </c>
      <c r="B32" s="29">
        <f>B31-1.5</f>
        <v>5</v>
      </c>
      <c r="I32" s="55">
        <v>0</v>
      </c>
      <c r="J32" s="56">
        <v>0</v>
      </c>
      <c r="K32" s="45"/>
      <c r="L32" s="45"/>
      <c r="M32" s="61">
        <v>3</v>
      </c>
      <c r="N32" s="45"/>
      <c r="O32" s="45">
        <f t="shared" si="0"/>
        <v>0</v>
      </c>
      <c r="P32" s="66">
        <v>9</v>
      </c>
      <c r="Q32" s="76">
        <f t="shared" si="1"/>
        <v>0</v>
      </c>
      <c r="R32" s="45"/>
      <c r="S32" s="45">
        <f t="shared" si="2"/>
        <v>0</v>
      </c>
      <c r="T32" s="67">
        <f t="shared" si="3"/>
        <v>9</v>
      </c>
      <c r="U32" s="76">
        <f t="shared" si="4"/>
        <v>0</v>
      </c>
    </row>
    <row r="33" spans="1:21" x14ac:dyDescent="0.25">
      <c r="A33" s="42" t="s">
        <v>831</v>
      </c>
      <c r="B33" s="29">
        <f>2+1.5</f>
        <v>3.5</v>
      </c>
      <c r="I33" s="55">
        <v>0</v>
      </c>
      <c r="J33" s="56">
        <v>0</v>
      </c>
      <c r="K33" s="45"/>
      <c r="L33" s="45"/>
      <c r="M33" s="61">
        <v>3</v>
      </c>
      <c r="N33" s="45"/>
      <c r="O33" s="45">
        <f t="shared" si="0"/>
        <v>0</v>
      </c>
      <c r="P33" s="66">
        <v>9</v>
      </c>
      <c r="Q33" s="76">
        <f t="shared" si="1"/>
        <v>0</v>
      </c>
      <c r="R33" s="45"/>
      <c r="S33" s="45">
        <f t="shared" si="2"/>
        <v>0</v>
      </c>
      <c r="T33" s="67">
        <f t="shared" si="3"/>
        <v>9</v>
      </c>
      <c r="U33" s="76">
        <f t="shared" si="4"/>
        <v>0</v>
      </c>
    </row>
    <row r="34" spans="1:21" x14ac:dyDescent="0.25">
      <c r="A34" s="42" t="s">
        <v>832</v>
      </c>
      <c r="B34" s="29">
        <v>2</v>
      </c>
      <c r="I34" s="55">
        <v>0</v>
      </c>
      <c r="J34" s="56">
        <v>0</v>
      </c>
      <c r="K34" s="45"/>
      <c r="L34" s="45"/>
      <c r="M34" s="61">
        <v>3</v>
      </c>
      <c r="N34" s="45"/>
      <c r="O34" s="45">
        <f t="shared" ref="O34:O65" si="5">L34+N34</f>
        <v>0</v>
      </c>
      <c r="P34" s="66">
        <v>9</v>
      </c>
      <c r="Q34" s="76">
        <f t="shared" ref="Q34:Q65" si="6">O34/P34</f>
        <v>0</v>
      </c>
      <c r="R34" s="45"/>
      <c r="S34" s="45">
        <f t="shared" ref="S34:S65" si="7">R34+L34</f>
        <v>0</v>
      </c>
      <c r="T34" s="67">
        <f t="shared" ref="T34:T65" si="8">P34</f>
        <v>9</v>
      </c>
      <c r="U34" s="76">
        <f t="shared" ref="U34:U65" si="9">S34/T34</f>
        <v>0</v>
      </c>
    </row>
    <row r="35" spans="1:21" x14ac:dyDescent="0.25">
      <c r="A35" s="42" t="s">
        <v>833</v>
      </c>
      <c r="B35" s="29">
        <v>1</v>
      </c>
      <c r="I35" s="55">
        <v>0</v>
      </c>
      <c r="J35" s="56">
        <v>0</v>
      </c>
      <c r="K35" s="45"/>
      <c r="L35" s="45"/>
      <c r="M35" s="61">
        <v>3</v>
      </c>
      <c r="N35" s="45"/>
      <c r="O35" s="45">
        <f t="shared" si="5"/>
        <v>0</v>
      </c>
      <c r="P35" s="66">
        <v>9</v>
      </c>
      <c r="Q35" s="76">
        <f t="shared" si="6"/>
        <v>0</v>
      </c>
      <c r="R35" s="45"/>
      <c r="S35" s="45">
        <f t="shared" si="7"/>
        <v>0</v>
      </c>
      <c r="T35" s="67">
        <f t="shared" si="8"/>
        <v>9</v>
      </c>
      <c r="U35" s="76">
        <f t="shared" si="9"/>
        <v>0</v>
      </c>
    </row>
    <row r="36" spans="1:21" x14ac:dyDescent="0.25">
      <c r="I36" s="55">
        <v>0</v>
      </c>
      <c r="J36" s="56">
        <v>0</v>
      </c>
      <c r="K36" s="45"/>
      <c r="L36" s="45"/>
      <c r="M36" s="61">
        <v>3</v>
      </c>
      <c r="N36" s="68"/>
      <c r="O36" s="45">
        <f t="shared" si="5"/>
        <v>0</v>
      </c>
      <c r="P36" s="66">
        <v>9</v>
      </c>
      <c r="Q36" s="76">
        <f t="shared" si="6"/>
        <v>0</v>
      </c>
      <c r="R36" s="45"/>
      <c r="S36" s="45">
        <f t="shared" si="7"/>
        <v>0</v>
      </c>
      <c r="T36" s="67">
        <f t="shared" si="8"/>
        <v>9</v>
      </c>
      <c r="U36" s="76">
        <f t="shared" si="9"/>
        <v>0</v>
      </c>
    </row>
    <row r="37" spans="1:21" x14ac:dyDescent="0.25">
      <c r="I37" s="55">
        <v>0</v>
      </c>
      <c r="J37" s="56">
        <v>0</v>
      </c>
      <c r="K37" s="45"/>
      <c r="L37" s="45"/>
      <c r="M37" s="61">
        <v>3</v>
      </c>
      <c r="N37" s="45"/>
      <c r="O37" s="45">
        <f t="shared" si="5"/>
        <v>0</v>
      </c>
      <c r="P37" s="66">
        <v>9</v>
      </c>
      <c r="Q37" s="76">
        <f t="shared" si="6"/>
        <v>0</v>
      </c>
      <c r="R37" s="45"/>
      <c r="S37" s="45">
        <f t="shared" si="7"/>
        <v>0</v>
      </c>
      <c r="T37" s="67">
        <f t="shared" si="8"/>
        <v>9</v>
      </c>
      <c r="U37" s="76">
        <f t="shared" si="9"/>
        <v>0</v>
      </c>
    </row>
    <row r="38" spans="1:21" x14ac:dyDescent="0.25">
      <c r="I38" s="55">
        <v>0</v>
      </c>
      <c r="J38" s="56">
        <v>0</v>
      </c>
      <c r="K38" s="45"/>
      <c r="L38" s="45"/>
      <c r="M38" s="61">
        <v>3</v>
      </c>
      <c r="N38" s="45"/>
      <c r="O38" s="45">
        <f t="shared" si="5"/>
        <v>0</v>
      </c>
      <c r="P38" s="66">
        <v>9</v>
      </c>
      <c r="Q38" s="76">
        <f t="shared" si="6"/>
        <v>0</v>
      </c>
      <c r="R38" s="45"/>
      <c r="S38" s="45">
        <f t="shared" si="7"/>
        <v>0</v>
      </c>
      <c r="T38" s="67">
        <f t="shared" si="8"/>
        <v>9</v>
      </c>
      <c r="U38" s="76">
        <f t="shared" si="9"/>
        <v>0</v>
      </c>
    </row>
    <row r="39" spans="1:21" x14ac:dyDescent="0.25">
      <c r="I39" s="55">
        <v>0</v>
      </c>
      <c r="J39" s="56">
        <v>0</v>
      </c>
      <c r="K39" s="45"/>
      <c r="L39" s="45"/>
      <c r="M39" s="61">
        <v>3</v>
      </c>
      <c r="N39" s="45"/>
      <c r="O39" s="45">
        <f t="shared" si="5"/>
        <v>0</v>
      </c>
      <c r="P39" s="66">
        <v>9</v>
      </c>
      <c r="Q39" s="76">
        <f t="shared" si="6"/>
        <v>0</v>
      </c>
      <c r="R39" s="45"/>
      <c r="S39" s="45">
        <f t="shared" si="7"/>
        <v>0</v>
      </c>
      <c r="T39" s="67">
        <f t="shared" si="8"/>
        <v>9</v>
      </c>
      <c r="U39" s="76">
        <f t="shared" si="9"/>
        <v>0</v>
      </c>
    </row>
    <row r="40" spans="1:21" x14ac:dyDescent="0.25">
      <c r="I40" s="55">
        <v>0</v>
      </c>
      <c r="J40" s="56">
        <v>0</v>
      </c>
      <c r="K40" s="45"/>
      <c r="L40" s="45"/>
      <c r="M40" s="61">
        <v>3</v>
      </c>
      <c r="N40" s="45"/>
      <c r="O40" s="45">
        <f t="shared" si="5"/>
        <v>0</v>
      </c>
      <c r="P40" s="66">
        <v>9</v>
      </c>
      <c r="Q40" s="76">
        <f t="shared" si="6"/>
        <v>0</v>
      </c>
      <c r="R40" s="45"/>
      <c r="S40" s="45">
        <f t="shared" si="7"/>
        <v>0</v>
      </c>
      <c r="T40" s="67">
        <f t="shared" si="8"/>
        <v>9</v>
      </c>
      <c r="U40" s="76">
        <f t="shared" si="9"/>
        <v>0</v>
      </c>
    </row>
    <row r="41" spans="1:21" x14ac:dyDescent="0.25">
      <c r="I41" s="55">
        <v>0</v>
      </c>
      <c r="J41" s="56">
        <v>0</v>
      </c>
      <c r="K41" s="45"/>
      <c r="L41" s="45"/>
      <c r="M41" s="61">
        <v>3</v>
      </c>
      <c r="N41" s="68"/>
      <c r="O41" s="45">
        <f t="shared" si="5"/>
        <v>0</v>
      </c>
      <c r="P41" s="66">
        <v>9</v>
      </c>
      <c r="Q41" s="76">
        <f t="shared" si="6"/>
        <v>0</v>
      </c>
      <c r="R41" s="45"/>
      <c r="S41" s="45">
        <f t="shared" si="7"/>
        <v>0</v>
      </c>
      <c r="T41" s="67">
        <f t="shared" si="8"/>
        <v>9</v>
      </c>
      <c r="U41" s="76">
        <f t="shared" si="9"/>
        <v>0</v>
      </c>
    </row>
    <row r="42" spans="1:21" x14ac:dyDescent="0.25">
      <c r="I42" s="55">
        <v>0</v>
      </c>
      <c r="J42" s="56">
        <v>0</v>
      </c>
      <c r="K42" s="45"/>
      <c r="L42" s="45"/>
      <c r="M42" s="61">
        <v>3</v>
      </c>
      <c r="N42" s="45"/>
      <c r="O42" s="45">
        <f t="shared" si="5"/>
        <v>0</v>
      </c>
      <c r="P42" s="66">
        <v>9</v>
      </c>
      <c r="Q42" s="76">
        <f t="shared" si="6"/>
        <v>0</v>
      </c>
      <c r="R42" s="45"/>
      <c r="S42" s="45">
        <f t="shared" si="7"/>
        <v>0</v>
      </c>
      <c r="T42" s="67">
        <f t="shared" si="8"/>
        <v>9</v>
      </c>
      <c r="U42" s="76">
        <f t="shared" si="9"/>
        <v>0</v>
      </c>
    </row>
    <row r="43" spans="1:21" x14ac:dyDescent="0.25">
      <c r="I43" s="55">
        <v>0</v>
      </c>
      <c r="J43" s="56">
        <v>0</v>
      </c>
      <c r="K43" s="45"/>
      <c r="L43" s="45"/>
      <c r="M43" s="61">
        <v>3</v>
      </c>
      <c r="N43" s="45"/>
      <c r="O43" s="45">
        <f t="shared" si="5"/>
        <v>0</v>
      </c>
      <c r="P43" s="66">
        <v>9</v>
      </c>
      <c r="Q43" s="76">
        <f t="shared" si="6"/>
        <v>0</v>
      </c>
      <c r="R43" s="45"/>
      <c r="S43" s="45">
        <f t="shared" si="7"/>
        <v>0</v>
      </c>
      <c r="T43" s="67">
        <f t="shared" si="8"/>
        <v>9</v>
      </c>
      <c r="U43" s="76">
        <f t="shared" si="9"/>
        <v>0</v>
      </c>
    </row>
    <row r="44" spans="1:21" x14ac:dyDescent="0.25">
      <c r="I44" s="55">
        <v>0</v>
      </c>
      <c r="J44" s="56">
        <v>0</v>
      </c>
      <c r="K44" s="45"/>
      <c r="L44" s="45"/>
      <c r="M44" s="61">
        <v>3</v>
      </c>
      <c r="N44" s="45"/>
      <c r="O44" s="45">
        <f t="shared" si="5"/>
        <v>0</v>
      </c>
      <c r="P44" s="66">
        <v>9</v>
      </c>
      <c r="Q44" s="76">
        <f t="shared" si="6"/>
        <v>0</v>
      </c>
      <c r="R44" s="45"/>
      <c r="S44" s="45">
        <f t="shared" si="7"/>
        <v>0</v>
      </c>
      <c r="T44" s="67">
        <f t="shared" si="8"/>
        <v>9</v>
      </c>
      <c r="U44" s="76">
        <f t="shared" si="9"/>
        <v>0</v>
      </c>
    </row>
    <row r="45" spans="1:21" x14ac:dyDescent="0.25">
      <c r="I45" s="55">
        <v>0</v>
      </c>
      <c r="J45" s="56">
        <v>0</v>
      </c>
      <c r="K45" s="45"/>
      <c r="L45" s="45"/>
      <c r="M45" s="61">
        <v>3</v>
      </c>
      <c r="N45" s="45"/>
      <c r="O45" s="45">
        <f t="shared" si="5"/>
        <v>0</v>
      </c>
      <c r="P45" s="66">
        <v>9</v>
      </c>
      <c r="Q45" s="76">
        <f t="shared" si="6"/>
        <v>0</v>
      </c>
      <c r="R45" s="45"/>
      <c r="S45" s="45">
        <f t="shared" si="7"/>
        <v>0</v>
      </c>
      <c r="T45" s="67">
        <f t="shared" si="8"/>
        <v>9</v>
      </c>
      <c r="U45" s="76">
        <f t="shared" si="9"/>
        <v>0</v>
      </c>
    </row>
    <row r="46" spans="1:21" x14ac:dyDescent="0.25">
      <c r="I46" s="55">
        <v>0</v>
      </c>
      <c r="J46" s="56">
        <v>0</v>
      </c>
      <c r="K46" s="45"/>
      <c r="L46" s="45"/>
      <c r="M46" s="61">
        <v>3</v>
      </c>
      <c r="N46" s="45"/>
      <c r="O46" s="45">
        <f t="shared" si="5"/>
        <v>0</v>
      </c>
      <c r="P46" s="66">
        <v>9</v>
      </c>
      <c r="Q46" s="76">
        <f t="shared" si="6"/>
        <v>0</v>
      </c>
      <c r="R46" s="45"/>
      <c r="S46" s="45">
        <f t="shared" si="7"/>
        <v>0</v>
      </c>
      <c r="T46" s="67">
        <f t="shared" si="8"/>
        <v>9</v>
      </c>
      <c r="U46" s="76">
        <f t="shared" si="9"/>
        <v>0</v>
      </c>
    </row>
    <row r="47" spans="1:21" x14ac:dyDescent="0.25">
      <c r="I47" s="55">
        <v>0</v>
      </c>
      <c r="J47" s="56">
        <v>0</v>
      </c>
      <c r="K47" s="45"/>
      <c r="L47" s="45"/>
      <c r="M47" s="61">
        <v>3</v>
      </c>
      <c r="N47" s="68"/>
      <c r="O47" s="45">
        <f t="shared" si="5"/>
        <v>0</v>
      </c>
      <c r="P47" s="66">
        <v>9</v>
      </c>
      <c r="Q47" s="76">
        <f t="shared" si="6"/>
        <v>0</v>
      </c>
      <c r="R47" s="45"/>
      <c r="S47" s="45">
        <f t="shared" si="7"/>
        <v>0</v>
      </c>
      <c r="T47" s="67">
        <f t="shared" si="8"/>
        <v>9</v>
      </c>
      <c r="U47" s="76">
        <f t="shared" si="9"/>
        <v>0</v>
      </c>
    </row>
    <row r="48" spans="1:21" x14ac:dyDescent="0.25">
      <c r="I48" s="55">
        <v>0</v>
      </c>
      <c r="J48" s="56">
        <v>0</v>
      </c>
      <c r="K48" s="45"/>
      <c r="L48" s="45"/>
      <c r="M48" s="61">
        <v>3</v>
      </c>
      <c r="N48" s="45"/>
      <c r="O48" s="45">
        <f t="shared" si="5"/>
        <v>0</v>
      </c>
      <c r="P48" s="66">
        <v>9</v>
      </c>
      <c r="Q48" s="76">
        <f t="shared" si="6"/>
        <v>0</v>
      </c>
      <c r="R48" s="45"/>
      <c r="S48" s="45">
        <f t="shared" si="7"/>
        <v>0</v>
      </c>
      <c r="T48" s="67">
        <f t="shared" si="8"/>
        <v>9</v>
      </c>
      <c r="U48" s="76">
        <f t="shared" si="9"/>
        <v>0</v>
      </c>
    </row>
    <row r="49" spans="1:21" x14ac:dyDescent="0.25">
      <c r="I49" s="55">
        <v>0</v>
      </c>
      <c r="J49" s="56">
        <v>0</v>
      </c>
      <c r="K49" s="45"/>
      <c r="L49" s="45"/>
      <c r="M49" s="61">
        <v>3</v>
      </c>
      <c r="N49" s="45"/>
      <c r="O49" s="45">
        <f t="shared" si="5"/>
        <v>0</v>
      </c>
      <c r="P49" s="66">
        <v>9</v>
      </c>
      <c r="Q49" s="76">
        <f t="shared" si="6"/>
        <v>0</v>
      </c>
      <c r="R49" s="45"/>
      <c r="S49" s="45">
        <f t="shared" si="7"/>
        <v>0</v>
      </c>
      <c r="T49" s="67">
        <f t="shared" si="8"/>
        <v>9</v>
      </c>
      <c r="U49" s="76">
        <f t="shared" si="9"/>
        <v>0</v>
      </c>
    </row>
    <row r="50" spans="1:21" x14ac:dyDescent="0.25">
      <c r="A50" s="23"/>
      <c r="I50" s="55">
        <v>0</v>
      </c>
      <c r="J50" s="56">
        <v>0</v>
      </c>
      <c r="K50" s="45"/>
      <c r="L50" s="45"/>
      <c r="M50" s="61">
        <v>3</v>
      </c>
      <c r="N50" s="45"/>
      <c r="O50" s="45">
        <f t="shared" si="5"/>
        <v>0</v>
      </c>
      <c r="P50" s="66">
        <v>9</v>
      </c>
      <c r="Q50" s="76">
        <f t="shared" si="6"/>
        <v>0</v>
      </c>
      <c r="R50" s="45"/>
      <c r="S50" s="45">
        <f t="shared" si="7"/>
        <v>0</v>
      </c>
      <c r="T50" s="67">
        <f t="shared" si="8"/>
        <v>9</v>
      </c>
      <c r="U50" s="76">
        <f t="shared" si="9"/>
        <v>0</v>
      </c>
    </row>
    <row r="51" spans="1:21" x14ac:dyDescent="0.25">
      <c r="A51" s="23"/>
      <c r="I51" s="55">
        <v>0</v>
      </c>
      <c r="J51" s="56">
        <v>0</v>
      </c>
      <c r="K51" s="45"/>
      <c r="L51" s="45"/>
      <c r="M51" s="61">
        <v>3</v>
      </c>
      <c r="N51" s="45"/>
      <c r="O51" s="45">
        <f t="shared" si="5"/>
        <v>0</v>
      </c>
      <c r="P51" s="66">
        <v>9</v>
      </c>
      <c r="Q51" s="76">
        <f t="shared" si="6"/>
        <v>0</v>
      </c>
      <c r="R51" s="45"/>
      <c r="S51" s="45">
        <f t="shared" si="7"/>
        <v>0</v>
      </c>
      <c r="T51" s="67">
        <f t="shared" si="8"/>
        <v>9</v>
      </c>
      <c r="U51" s="76">
        <f t="shared" si="9"/>
        <v>0</v>
      </c>
    </row>
    <row r="52" spans="1:21" x14ac:dyDescent="0.25">
      <c r="A52" s="23"/>
      <c r="I52" s="55">
        <v>0</v>
      </c>
      <c r="J52" s="56">
        <v>0</v>
      </c>
      <c r="K52" s="45"/>
      <c r="L52" s="45"/>
      <c r="M52" s="61">
        <v>3</v>
      </c>
      <c r="N52" s="68"/>
      <c r="O52" s="45">
        <f t="shared" si="5"/>
        <v>0</v>
      </c>
      <c r="P52" s="66">
        <v>9</v>
      </c>
      <c r="Q52" s="76">
        <f t="shared" si="6"/>
        <v>0</v>
      </c>
      <c r="R52" s="45"/>
      <c r="S52" s="45">
        <f t="shared" si="7"/>
        <v>0</v>
      </c>
      <c r="T52" s="67">
        <f t="shared" si="8"/>
        <v>9</v>
      </c>
      <c r="U52" s="76">
        <f t="shared" si="9"/>
        <v>0</v>
      </c>
    </row>
    <row r="53" spans="1:21" x14ac:dyDescent="0.25">
      <c r="I53" s="55">
        <v>0</v>
      </c>
      <c r="J53" s="56">
        <v>0</v>
      </c>
      <c r="K53" s="45"/>
      <c r="L53" s="45"/>
      <c r="M53" s="61">
        <v>3</v>
      </c>
      <c r="N53" s="45"/>
      <c r="O53" s="45">
        <f t="shared" si="5"/>
        <v>0</v>
      </c>
      <c r="P53" s="66">
        <v>9</v>
      </c>
      <c r="Q53" s="76">
        <f t="shared" si="6"/>
        <v>0</v>
      </c>
      <c r="R53" s="45"/>
      <c r="S53" s="45">
        <f t="shared" si="7"/>
        <v>0</v>
      </c>
      <c r="T53" s="67">
        <f t="shared" si="8"/>
        <v>9</v>
      </c>
      <c r="U53" s="76">
        <f t="shared" si="9"/>
        <v>0</v>
      </c>
    </row>
    <row r="54" spans="1:21" x14ac:dyDescent="0.25">
      <c r="I54" s="55">
        <v>0</v>
      </c>
      <c r="J54" s="56">
        <v>0</v>
      </c>
      <c r="K54" s="45"/>
      <c r="L54" s="45"/>
      <c r="M54" s="61">
        <v>3</v>
      </c>
      <c r="N54" s="45"/>
      <c r="O54" s="45">
        <f t="shared" si="5"/>
        <v>0</v>
      </c>
      <c r="P54" s="66">
        <v>9</v>
      </c>
      <c r="Q54" s="76">
        <f t="shared" si="6"/>
        <v>0</v>
      </c>
      <c r="R54" s="45"/>
      <c r="S54" s="45">
        <f t="shared" si="7"/>
        <v>0</v>
      </c>
      <c r="T54" s="67">
        <f t="shared" si="8"/>
        <v>9</v>
      </c>
      <c r="U54" s="76">
        <f t="shared" si="9"/>
        <v>0</v>
      </c>
    </row>
    <row r="55" spans="1:21" x14ac:dyDescent="0.25">
      <c r="I55" s="55">
        <v>0</v>
      </c>
      <c r="J55" s="56">
        <v>0</v>
      </c>
      <c r="K55" s="45"/>
      <c r="L55" s="45"/>
      <c r="M55" s="61">
        <v>3</v>
      </c>
      <c r="N55" s="45"/>
      <c r="O55" s="45">
        <f t="shared" si="5"/>
        <v>0</v>
      </c>
      <c r="P55" s="66">
        <v>9</v>
      </c>
      <c r="Q55" s="76">
        <f t="shared" si="6"/>
        <v>0</v>
      </c>
      <c r="R55" s="45"/>
      <c r="S55" s="45">
        <f t="shared" si="7"/>
        <v>0</v>
      </c>
      <c r="T55" s="67">
        <f t="shared" si="8"/>
        <v>9</v>
      </c>
      <c r="U55" s="76">
        <f t="shared" si="9"/>
        <v>0</v>
      </c>
    </row>
    <row r="56" spans="1:21" x14ac:dyDescent="0.25">
      <c r="I56" s="55">
        <v>0</v>
      </c>
      <c r="J56" s="56">
        <v>0</v>
      </c>
      <c r="K56" s="45"/>
      <c r="L56" s="45"/>
      <c r="M56" s="61">
        <v>3</v>
      </c>
      <c r="N56" s="45"/>
      <c r="O56" s="45">
        <f t="shared" si="5"/>
        <v>0</v>
      </c>
      <c r="P56" s="66">
        <v>9</v>
      </c>
      <c r="Q56" s="76">
        <f t="shared" si="6"/>
        <v>0</v>
      </c>
      <c r="R56" s="45"/>
      <c r="S56" s="45">
        <f t="shared" si="7"/>
        <v>0</v>
      </c>
      <c r="T56" s="67">
        <f t="shared" si="8"/>
        <v>9</v>
      </c>
      <c r="U56" s="76">
        <f t="shared" si="9"/>
        <v>0</v>
      </c>
    </row>
    <row r="57" spans="1:21" x14ac:dyDescent="0.25">
      <c r="A57" s="23"/>
      <c r="I57" s="55">
        <v>0</v>
      </c>
      <c r="J57" s="56">
        <v>0</v>
      </c>
      <c r="K57" s="45"/>
      <c r="L57" s="45"/>
      <c r="M57" s="61">
        <v>3</v>
      </c>
      <c r="N57" s="45"/>
      <c r="O57" s="45">
        <f t="shared" si="5"/>
        <v>0</v>
      </c>
      <c r="P57" s="66">
        <v>9</v>
      </c>
      <c r="Q57" s="76">
        <f t="shared" si="6"/>
        <v>0</v>
      </c>
      <c r="R57" s="45"/>
      <c r="S57" s="45">
        <f t="shared" si="7"/>
        <v>0</v>
      </c>
      <c r="T57" s="67">
        <f t="shared" si="8"/>
        <v>9</v>
      </c>
      <c r="U57" s="76">
        <f t="shared" si="9"/>
        <v>0</v>
      </c>
    </row>
    <row r="58" spans="1:21" x14ac:dyDescent="0.25">
      <c r="A58" s="23"/>
      <c r="I58" s="55">
        <v>0</v>
      </c>
      <c r="J58" s="56">
        <v>0</v>
      </c>
      <c r="K58" s="45"/>
      <c r="L58" s="45"/>
      <c r="M58" s="61">
        <v>3</v>
      </c>
      <c r="N58" s="68"/>
      <c r="O58" s="45">
        <f t="shared" si="5"/>
        <v>0</v>
      </c>
      <c r="P58" s="66">
        <v>9</v>
      </c>
      <c r="Q58" s="76">
        <f t="shared" si="6"/>
        <v>0</v>
      </c>
      <c r="R58" s="45"/>
      <c r="S58" s="45">
        <f t="shared" si="7"/>
        <v>0</v>
      </c>
      <c r="T58" s="67">
        <f t="shared" si="8"/>
        <v>9</v>
      </c>
      <c r="U58" s="76">
        <f t="shared" si="9"/>
        <v>0</v>
      </c>
    </row>
    <row r="59" spans="1:21" x14ac:dyDescent="0.25">
      <c r="A59" s="23"/>
      <c r="I59" s="55">
        <v>0</v>
      </c>
      <c r="J59" s="56">
        <v>0</v>
      </c>
      <c r="K59" s="45"/>
      <c r="L59" s="45"/>
      <c r="M59" s="61">
        <v>3</v>
      </c>
      <c r="N59" s="45"/>
      <c r="O59" s="45">
        <f t="shared" si="5"/>
        <v>0</v>
      </c>
      <c r="P59" s="66">
        <v>9</v>
      </c>
      <c r="Q59" s="76">
        <f t="shared" si="6"/>
        <v>0</v>
      </c>
      <c r="R59" s="45"/>
      <c r="S59" s="45">
        <f t="shared" si="7"/>
        <v>0</v>
      </c>
      <c r="T59" s="67">
        <f t="shared" si="8"/>
        <v>9</v>
      </c>
      <c r="U59" s="76">
        <f t="shared" si="9"/>
        <v>0</v>
      </c>
    </row>
    <row r="60" spans="1:21" x14ac:dyDescent="0.25">
      <c r="I60" s="55">
        <v>0</v>
      </c>
      <c r="J60" s="56">
        <v>0</v>
      </c>
      <c r="K60" s="45"/>
      <c r="L60" s="45"/>
      <c r="M60" s="61">
        <v>3</v>
      </c>
      <c r="N60" s="45"/>
      <c r="O60" s="45">
        <f t="shared" si="5"/>
        <v>0</v>
      </c>
      <c r="P60" s="66">
        <v>9</v>
      </c>
      <c r="Q60" s="76">
        <f t="shared" si="6"/>
        <v>0</v>
      </c>
      <c r="R60" s="45"/>
      <c r="S60" s="45">
        <f t="shared" si="7"/>
        <v>0</v>
      </c>
      <c r="T60" s="67">
        <f t="shared" si="8"/>
        <v>9</v>
      </c>
      <c r="U60" s="76">
        <f t="shared" si="9"/>
        <v>0</v>
      </c>
    </row>
    <row r="61" spans="1:21" x14ac:dyDescent="0.25">
      <c r="I61" s="55">
        <v>0</v>
      </c>
      <c r="J61" s="56">
        <v>0</v>
      </c>
      <c r="K61" s="45"/>
      <c r="L61" s="45"/>
      <c r="M61" s="61">
        <v>3</v>
      </c>
      <c r="N61" s="45"/>
      <c r="O61" s="45">
        <f t="shared" si="5"/>
        <v>0</v>
      </c>
      <c r="P61" s="66">
        <v>9</v>
      </c>
      <c r="Q61" s="76">
        <f t="shared" si="6"/>
        <v>0</v>
      </c>
      <c r="R61" s="45"/>
      <c r="S61" s="45">
        <f t="shared" si="7"/>
        <v>0</v>
      </c>
      <c r="T61" s="67">
        <f t="shared" si="8"/>
        <v>9</v>
      </c>
      <c r="U61" s="76">
        <f t="shared" si="9"/>
        <v>0</v>
      </c>
    </row>
    <row r="62" spans="1:21" x14ac:dyDescent="0.25">
      <c r="I62" s="55">
        <v>0</v>
      </c>
      <c r="J62" s="56">
        <v>0</v>
      </c>
      <c r="K62" s="45"/>
      <c r="L62" s="45"/>
      <c r="M62" s="61">
        <v>3</v>
      </c>
      <c r="N62" s="45"/>
      <c r="O62" s="45">
        <f t="shared" si="5"/>
        <v>0</v>
      </c>
      <c r="P62" s="66">
        <v>9</v>
      </c>
      <c r="Q62" s="76">
        <f t="shared" si="6"/>
        <v>0</v>
      </c>
      <c r="R62" s="45"/>
      <c r="S62" s="45">
        <f t="shared" si="7"/>
        <v>0</v>
      </c>
      <c r="T62" s="67">
        <f t="shared" si="8"/>
        <v>9</v>
      </c>
      <c r="U62" s="76">
        <f t="shared" si="9"/>
        <v>0</v>
      </c>
    </row>
    <row r="63" spans="1:21" x14ac:dyDescent="0.25">
      <c r="I63" s="55">
        <v>0</v>
      </c>
      <c r="J63" s="56">
        <v>0</v>
      </c>
      <c r="K63" s="45"/>
      <c r="L63" s="45"/>
      <c r="M63" s="61">
        <v>3</v>
      </c>
      <c r="N63" s="68"/>
      <c r="O63" s="45">
        <f t="shared" si="5"/>
        <v>0</v>
      </c>
      <c r="P63" s="66">
        <v>9</v>
      </c>
      <c r="Q63" s="76">
        <f t="shared" si="6"/>
        <v>0</v>
      </c>
      <c r="R63" s="45"/>
      <c r="S63" s="45">
        <f t="shared" si="7"/>
        <v>0</v>
      </c>
      <c r="T63" s="67">
        <f t="shared" si="8"/>
        <v>9</v>
      </c>
      <c r="U63" s="76">
        <f t="shared" si="9"/>
        <v>0</v>
      </c>
    </row>
    <row r="64" spans="1:21" x14ac:dyDescent="0.25">
      <c r="I64" s="55">
        <v>0</v>
      </c>
      <c r="J64" s="56">
        <v>0</v>
      </c>
      <c r="K64" s="45"/>
      <c r="L64" s="45"/>
      <c r="M64" s="61">
        <v>3</v>
      </c>
      <c r="N64" s="45"/>
      <c r="O64" s="45">
        <f t="shared" si="5"/>
        <v>0</v>
      </c>
      <c r="P64" s="66">
        <v>9</v>
      </c>
      <c r="Q64" s="76">
        <f t="shared" si="6"/>
        <v>0</v>
      </c>
      <c r="R64" s="45"/>
      <c r="S64" s="45">
        <f t="shared" si="7"/>
        <v>0</v>
      </c>
      <c r="T64" s="67">
        <f t="shared" si="8"/>
        <v>9</v>
      </c>
      <c r="U64" s="76">
        <f t="shared" si="9"/>
        <v>0</v>
      </c>
    </row>
    <row r="65" spans="9:21" x14ac:dyDescent="0.25">
      <c r="I65" s="55">
        <v>0</v>
      </c>
      <c r="J65" s="56">
        <v>0</v>
      </c>
      <c r="K65" s="45"/>
      <c r="L65" s="45"/>
      <c r="M65" s="61">
        <v>3</v>
      </c>
      <c r="N65" s="45"/>
      <c r="O65" s="45">
        <f t="shared" si="5"/>
        <v>0</v>
      </c>
      <c r="P65" s="66">
        <v>9</v>
      </c>
      <c r="Q65" s="76">
        <f t="shared" si="6"/>
        <v>0</v>
      </c>
      <c r="R65" s="45"/>
      <c r="S65" s="45">
        <f t="shared" si="7"/>
        <v>0</v>
      </c>
      <c r="T65" s="67">
        <f t="shared" si="8"/>
        <v>9</v>
      </c>
      <c r="U65" s="76">
        <f t="shared" si="9"/>
        <v>0</v>
      </c>
    </row>
    <row r="66" spans="9:21" x14ac:dyDescent="0.25">
      <c r="I66" s="55">
        <v>0</v>
      </c>
      <c r="J66" s="56">
        <v>0</v>
      </c>
      <c r="K66" s="45"/>
      <c r="L66" s="45"/>
      <c r="M66" s="61">
        <v>3</v>
      </c>
      <c r="N66" s="45"/>
      <c r="O66" s="45">
        <f t="shared" ref="O66:O76" si="10">L66+N66</f>
        <v>0</v>
      </c>
      <c r="P66" s="66">
        <v>9</v>
      </c>
      <c r="Q66" s="76">
        <f t="shared" ref="Q66:Q76" si="11">O66/P66</f>
        <v>0</v>
      </c>
      <c r="R66" s="45"/>
      <c r="S66" s="45">
        <f t="shared" ref="S66:S76" si="12">R66+L66</f>
        <v>0</v>
      </c>
      <c r="T66" s="67">
        <f t="shared" ref="T66:T76" si="13">P66</f>
        <v>9</v>
      </c>
      <c r="U66" s="76">
        <f t="shared" ref="U66:U76" si="14">S66/T66</f>
        <v>0</v>
      </c>
    </row>
    <row r="67" spans="9:21" x14ac:dyDescent="0.25">
      <c r="I67" s="55">
        <v>0</v>
      </c>
      <c r="J67" s="56">
        <v>0</v>
      </c>
      <c r="K67" s="45"/>
      <c r="L67" s="45"/>
      <c r="M67" s="61">
        <v>3</v>
      </c>
      <c r="N67" s="45"/>
      <c r="O67" s="45">
        <f t="shared" si="10"/>
        <v>0</v>
      </c>
      <c r="P67" s="66">
        <v>9</v>
      </c>
      <c r="Q67" s="76">
        <f t="shared" si="11"/>
        <v>0</v>
      </c>
      <c r="R67" s="45"/>
      <c r="S67" s="45">
        <f t="shared" si="12"/>
        <v>0</v>
      </c>
      <c r="T67" s="67">
        <f t="shared" si="13"/>
        <v>9</v>
      </c>
      <c r="U67" s="76">
        <f t="shared" si="14"/>
        <v>0</v>
      </c>
    </row>
    <row r="68" spans="9:21" x14ac:dyDescent="0.25">
      <c r="I68" s="55">
        <v>0</v>
      </c>
      <c r="J68" s="56">
        <v>0</v>
      </c>
      <c r="K68" s="45"/>
      <c r="L68" s="45"/>
      <c r="M68" s="61">
        <v>3</v>
      </c>
      <c r="N68" s="45"/>
      <c r="O68" s="45">
        <f t="shared" si="10"/>
        <v>0</v>
      </c>
      <c r="P68" s="66">
        <v>9</v>
      </c>
      <c r="Q68" s="76">
        <f t="shared" si="11"/>
        <v>0</v>
      </c>
      <c r="R68" s="45"/>
      <c r="S68" s="45">
        <f t="shared" si="12"/>
        <v>0</v>
      </c>
      <c r="T68" s="67">
        <f t="shared" si="13"/>
        <v>9</v>
      </c>
      <c r="U68" s="76">
        <f t="shared" si="14"/>
        <v>0</v>
      </c>
    </row>
    <row r="69" spans="9:21" x14ac:dyDescent="0.25">
      <c r="I69" s="55">
        <v>0</v>
      </c>
      <c r="J69" s="56">
        <v>0</v>
      </c>
      <c r="K69" s="45"/>
      <c r="L69" s="45"/>
      <c r="M69" s="61">
        <v>3</v>
      </c>
      <c r="N69" s="68"/>
      <c r="O69" s="45">
        <f t="shared" si="10"/>
        <v>0</v>
      </c>
      <c r="P69" s="66">
        <v>9</v>
      </c>
      <c r="Q69" s="76">
        <f t="shared" si="11"/>
        <v>0</v>
      </c>
      <c r="R69" s="45"/>
      <c r="S69" s="45">
        <f t="shared" si="12"/>
        <v>0</v>
      </c>
      <c r="T69" s="67">
        <f t="shared" si="13"/>
        <v>9</v>
      </c>
      <c r="U69" s="76">
        <f t="shared" si="14"/>
        <v>0</v>
      </c>
    </row>
    <row r="70" spans="9:21" x14ac:dyDescent="0.25">
      <c r="I70" s="55">
        <v>0</v>
      </c>
      <c r="J70" s="56">
        <v>0</v>
      </c>
      <c r="K70" s="45"/>
      <c r="L70" s="45"/>
      <c r="M70" s="61">
        <v>3</v>
      </c>
      <c r="N70" s="45"/>
      <c r="O70" s="45">
        <f t="shared" si="10"/>
        <v>0</v>
      </c>
      <c r="P70" s="66">
        <v>9</v>
      </c>
      <c r="Q70" s="76">
        <f t="shared" si="11"/>
        <v>0</v>
      </c>
      <c r="R70" s="45"/>
      <c r="S70" s="45">
        <f t="shared" si="12"/>
        <v>0</v>
      </c>
      <c r="T70" s="67">
        <f t="shared" si="13"/>
        <v>9</v>
      </c>
      <c r="U70" s="76">
        <f t="shared" si="14"/>
        <v>0</v>
      </c>
    </row>
    <row r="71" spans="9:21" x14ac:dyDescent="0.25">
      <c r="I71" s="55">
        <v>0</v>
      </c>
      <c r="J71" s="56">
        <v>0</v>
      </c>
      <c r="K71" s="45"/>
      <c r="L71" s="45"/>
      <c r="M71" s="61">
        <v>3</v>
      </c>
      <c r="N71" s="45"/>
      <c r="O71" s="45">
        <f t="shared" si="10"/>
        <v>0</v>
      </c>
      <c r="P71" s="66">
        <v>9</v>
      </c>
      <c r="Q71" s="76">
        <f t="shared" si="11"/>
        <v>0</v>
      </c>
      <c r="R71" s="45"/>
      <c r="S71" s="45">
        <f t="shared" si="12"/>
        <v>0</v>
      </c>
      <c r="T71" s="67">
        <f t="shared" si="13"/>
        <v>9</v>
      </c>
      <c r="U71" s="76">
        <f t="shared" si="14"/>
        <v>0</v>
      </c>
    </row>
    <row r="72" spans="9:21" x14ac:dyDescent="0.25">
      <c r="I72" s="55">
        <v>0</v>
      </c>
      <c r="J72" s="56">
        <v>0</v>
      </c>
      <c r="K72" s="45"/>
      <c r="L72" s="45"/>
      <c r="M72" s="61">
        <v>3</v>
      </c>
      <c r="N72" s="45"/>
      <c r="O72" s="45">
        <f t="shared" si="10"/>
        <v>0</v>
      </c>
      <c r="P72" s="66">
        <v>9</v>
      </c>
      <c r="Q72" s="76">
        <f t="shared" si="11"/>
        <v>0</v>
      </c>
      <c r="R72" s="45"/>
      <c r="S72" s="45">
        <f t="shared" si="12"/>
        <v>0</v>
      </c>
      <c r="T72" s="67">
        <f t="shared" si="13"/>
        <v>9</v>
      </c>
      <c r="U72" s="76">
        <f t="shared" si="14"/>
        <v>0</v>
      </c>
    </row>
    <row r="73" spans="9:21" x14ac:dyDescent="0.25">
      <c r="I73" s="55">
        <v>0</v>
      </c>
      <c r="J73" s="56">
        <v>0</v>
      </c>
      <c r="K73" s="45"/>
      <c r="L73" s="45"/>
      <c r="M73" s="61">
        <v>3</v>
      </c>
      <c r="N73" s="45"/>
      <c r="O73" s="45">
        <f t="shared" si="10"/>
        <v>0</v>
      </c>
      <c r="P73" s="66">
        <v>9</v>
      </c>
      <c r="Q73" s="76">
        <f t="shared" si="11"/>
        <v>0</v>
      </c>
      <c r="R73" s="45"/>
      <c r="S73" s="45">
        <f t="shared" si="12"/>
        <v>0</v>
      </c>
      <c r="T73" s="67">
        <f t="shared" si="13"/>
        <v>9</v>
      </c>
      <c r="U73" s="76">
        <f t="shared" si="14"/>
        <v>0</v>
      </c>
    </row>
    <row r="74" spans="9:21" x14ac:dyDescent="0.25">
      <c r="I74" s="55">
        <v>0</v>
      </c>
      <c r="J74" s="56">
        <v>0</v>
      </c>
      <c r="K74" s="45"/>
      <c r="L74" s="45"/>
      <c r="M74" s="61">
        <v>3</v>
      </c>
      <c r="N74" s="68"/>
      <c r="O74" s="45">
        <f t="shared" si="10"/>
        <v>0</v>
      </c>
      <c r="P74" s="66">
        <v>9</v>
      </c>
      <c r="Q74" s="76">
        <f t="shared" si="11"/>
        <v>0</v>
      </c>
      <c r="R74" s="45"/>
      <c r="S74" s="45">
        <f t="shared" si="12"/>
        <v>0</v>
      </c>
      <c r="T74" s="67">
        <f t="shared" si="13"/>
        <v>9</v>
      </c>
      <c r="U74" s="76">
        <f t="shared" si="14"/>
        <v>0</v>
      </c>
    </row>
    <row r="75" spans="9:21" x14ac:dyDescent="0.25">
      <c r="I75" s="55">
        <v>0</v>
      </c>
      <c r="J75" s="56">
        <v>0</v>
      </c>
      <c r="K75" s="45"/>
      <c r="L75" s="45"/>
      <c r="M75" s="61">
        <v>3</v>
      </c>
      <c r="N75" s="45"/>
      <c r="O75" s="45">
        <f t="shared" si="10"/>
        <v>0</v>
      </c>
      <c r="P75" s="66">
        <v>9</v>
      </c>
      <c r="Q75" s="76">
        <f t="shared" si="11"/>
        <v>0</v>
      </c>
      <c r="R75" s="45"/>
      <c r="S75" s="45">
        <f t="shared" si="12"/>
        <v>0</v>
      </c>
      <c r="T75" s="67">
        <f t="shared" si="13"/>
        <v>9</v>
      </c>
      <c r="U75" s="76">
        <f t="shared" si="14"/>
        <v>0</v>
      </c>
    </row>
    <row r="76" spans="9:21" x14ac:dyDescent="0.25">
      <c r="I76" s="55">
        <v>0</v>
      </c>
      <c r="J76" s="56">
        <v>0</v>
      </c>
      <c r="K76" s="45"/>
      <c r="L76" s="45"/>
      <c r="M76" s="61">
        <v>3</v>
      </c>
      <c r="N76" s="45"/>
      <c r="O76" s="45">
        <f t="shared" si="10"/>
        <v>0</v>
      </c>
      <c r="P76" s="66">
        <v>9</v>
      </c>
      <c r="Q76" s="76">
        <f t="shared" si="11"/>
        <v>0</v>
      </c>
      <c r="R76" s="45"/>
      <c r="S76" s="45">
        <f t="shared" si="12"/>
        <v>0</v>
      </c>
      <c r="T76" s="67">
        <f t="shared" si="13"/>
        <v>9</v>
      </c>
      <c r="U76" s="76">
        <f t="shared" si="14"/>
        <v>0</v>
      </c>
    </row>
  </sheetData>
  <mergeCells count="5">
    <mergeCell ref="A1:D1"/>
    <mergeCell ref="A2:A3"/>
    <mergeCell ref="B2:B3"/>
    <mergeCell ref="C2:C3"/>
    <mergeCell ref="D2:D3"/>
  </mergeCells>
  <conditionalFormatting sqref="J2:J76">
    <cfRule type="colorScale" priority="1">
      <colorScale>
        <cfvo type="min"/>
        <cfvo type="max"/>
        <color rgb="FFFCFCFF"/>
        <color rgb="FFF8696B"/>
      </colorScale>
    </cfRule>
  </conditionalFormatting>
  <conditionalFormatting sqref="I2:I7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{1EF1B2DA-9543-9B15-5455-0608B434234E}</x14:id>
        </ext>
      </extLst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F1B2DA-9543-9B15-5455-0608B43423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I2:I76</xm:sqref>
        </x14:conditionalFormatting>
      </x14:conditionalFormattings>
    </ex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DA9694"/>
  </sheetPr>
  <dimension ref="A26"/>
  <sheetViews>
    <sheetView workbookViewId="0">
      <selection activeCell="B23" sqref="B23"/>
    </sheetView>
  </sheetViews>
  <sheetFormatPr baseColWidth="10" defaultColWidth="10.7109375" defaultRowHeight="15" x14ac:dyDescent="0.25"/>
  <sheetData>
    <row r="26" spans="1:1" x14ac:dyDescent="0.25">
      <c r="A26" s="460">
        <v>44082</v>
      </c>
    </row>
  </sheetData>
  <pageMargins left="0.7" right="0.7" top="0.75" bottom="0.75" header="0.3" footer="0.3"/>
  <pageSetup paperSize="9" fitToWidth="0" pageOrder="overThenDown"/>
  <drawing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B7DEE8"/>
  </sheetPr>
  <dimension ref="A1:CE28"/>
  <sheetViews>
    <sheetView workbookViewId="0">
      <pane xSplit="9" ySplit="2" topLeftCell="AJ3" activePane="bottomRight" state="frozen"/>
      <selection pane="topRight"/>
      <selection pane="bottomLeft"/>
      <selection pane="bottomRight" activeCell="AP1" sqref="AP1:BC1048576"/>
    </sheetView>
  </sheetViews>
  <sheetFormatPr baseColWidth="10" defaultColWidth="11.42578125" defaultRowHeight="15" x14ac:dyDescent="0.25"/>
  <cols>
    <col min="1" max="1" width="19.7109375" customWidth="1"/>
    <col min="2" max="2" width="5.42578125" customWidth="1"/>
    <col min="3" max="3" width="5.5703125" customWidth="1"/>
    <col min="4" max="4" width="5.42578125" style="42" customWidth="1"/>
    <col min="5" max="5" width="13" customWidth="1"/>
    <col min="6" max="6" width="4.5703125" customWidth="1"/>
    <col min="7" max="7" width="5.42578125" customWidth="1"/>
    <col min="8" max="8" width="5.7109375" customWidth="1"/>
    <col min="9" max="9" width="7.42578125" customWidth="1"/>
    <col min="10" max="10" width="4.5703125" customWidth="1"/>
    <col min="11" max="17" width="5.5703125" customWidth="1"/>
    <col min="18" max="18" width="4.85546875" customWidth="1"/>
    <col min="19" max="20" width="6.140625" customWidth="1"/>
    <col min="21" max="22" width="7.85546875" customWidth="1"/>
    <col min="23" max="23" width="7.7109375" customWidth="1"/>
    <col min="24" max="24" width="7.85546875" customWidth="1"/>
    <col min="25" max="25" width="7.42578125" customWidth="1"/>
    <col min="26" max="26" width="10" customWidth="1"/>
    <col min="27" max="27" width="7.85546875" customWidth="1"/>
    <col min="28" max="28" width="7.42578125" customWidth="1"/>
    <col min="29" max="29" width="5.140625" customWidth="1"/>
    <col min="30" max="30" width="7.42578125" customWidth="1"/>
    <col min="31" max="31" width="7.85546875" customWidth="1"/>
    <col min="32" max="32" width="7.42578125" customWidth="1"/>
    <col min="33" max="33" width="5.140625" customWidth="1"/>
    <col min="34" max="34" width="9.7109375" customWidth="1"/>
    <col min="35" max="35" width="7.85546875" customWidth="1"/>
    <col min="36" max="36" width="5.140625" customWidth="1"/>
    <col min="37" max="37" width="6.42578125" customWidth="1"/>
    <col min="38" max="38" width="7.42578125" customWidth="1"/>
    <col min="39" max="41" width="7.85546875" customWidth="1"/>
    <col min="42" max="42" width="7.42578125" customWidth="1"/>
    <col min="43" max="43" width="7.85546875" customWidth="1"/>
    <col min="44" max="44" width="7.42578125" customWidth="1"/>
    <col min="45" max="45" width="5.5703125" customWidth="1"/>
    <col min="46" max="46" width="6.42578125" customWidth="1"/>
    <col min="47" max="47" width="6.85546875" customWidth="1"/>
    <col min="48" max="48" width="6.42578125" customWidth="1"/>
    <col min="49" max="49" width="7.42578125" customWidth="1"/>
    <col min="50" max="50" width="7.85546875" customWidth="1"/>
    <col min="51" max="51" width="7.42578125" customWidth="1"/>
    <col min="52" max="52" width="5.5703125" customWidth="1"/>
    <col min="53" max="53" width="6.42578125" customWidth="1"/>
    <col min="54" max="54" width="6.85546875" customWidth="1"/>
    <col min="55" max="55" width="6.42578125" customWidth="1"/>
    <col min="56" max="56" width="7.42578125" customWidth="1"/>
    <col min="57" max="57" width="7.85546875" customWidth="1"/>
    <col min="58" max="58" width="5.5703125" customWidth="1"/>
    <col min="59" max="59" width="6.42578125" customWidth="1"/>
    <col min="60" max="60" width="6.85546875" customWidth="1"/>
    <col min="61" max="61" width="7.42578125" customWidth="1"/>
    <col min="62" max="62" width="7.85546875" customWidth="1"/>
    <col min="63" max="63" width="5.140625" customWidth="1"/>
    <col min="64" max="64" width="6.42578125" customWidth="1"/>
    <col min="65" max="65" width="6.85546875" customWidth="1"/>
    <col min="66" max="66" width="7.42578125" customWidth="1"/>
    <col min="67" max="67" width="7.85546875" customWidth="1"/>
    <col min="68" max="68" width="5.140625" customWidth="1"/>
    <col min="69" max="69" width="6.42578125" customWidth="1"/>
    <col min="70" max="70" width="6.85546875" customWidth="1"/>
    <col min="71" max="71" width="7.42578125" customWidth="1"/>
    <col min="72" max="72" width="7.85546875" customWidth="1"/>
    <col min="73" max="73" width="6" customWidth="1"/>
    <col min="74" max="74" width="6.42578125" customWidth="1"/>
    <col min="75" max="75" width="6.85546875" customWidth="1"/>
    <col min="76" max="76" width="5.140625" customWidth="1"/>
    <col min="77" max="77" width="6.42578125" customWidth="1"/>
    <col min="78" max="78" width="6.85546875" customWidth="1"/>
    <col min="79" max="80" width="6.42578125" customWidth="1"/>
    <col min="81" max="81" width="6.85546875" customWidth="1"/>
    <col min="82" max="82" width="6.42578125" customWidth="1"/>
    <col min="83" max="83" width="5.140625" customWidth="1"/>
  </cols>
  <sheetData>
    <row r="1" spans="1:83" x14ac:dyDescent="0.25">
      <c r="A1" s="23"/>
      <c r="W1" t="s">
        <v>834</v>
      </c>
      <c r="Z1" t="s">
        <v>835</v>
      </c>
      <c r="AD1" t="s">
        <v>836</v>
      </c>
      <c r="AH1" t="s">
        <v>837</v>
      </c>
      <c r="AL1" t="s">
        <v>838</v>
      </c>
      <c r="AP1" t="s">
        <v>839</v>
      </c>
      <c r="AW1" t="s">
        <v>840</v>
      </c>
      <c r="BD1" t="s">
        <v>841</v>
      </c>
      <c r="BI1" t="s">
        <v>842</v>
      </c>
      <c r="BN1" t="s">
        <v>843</v>
      </c>
      <c r="BS1" t="s">
        <v>844</v>
      </c>
      <c r="BX1" t="s">
        <v>845</v>
      </c>
      <c r="CB1" t="s">
        <v>177</v>
      </c>
    </row>
    <row r="2" spans="1:83" x14ac:dyDescent="0.25">
      <c r="A2" s="31" t="s">
        <v>183</v>
      </c>
      <c r="B2" s="31" t="s">
        <v>846</v>
      </c>
      <c r="C2" s="31" t="s">
        <v>113</v>
      </c>
      <c r="D2" s="51" t="s">
        <v>465</v>
      </c>
      <c r="E2" s="31" t="s">
        <v>847</v>
      </c>
      <c r="F2" s="39" t="s">
        <v>848</v>
      </c>
      <c r="G2" s="39" t="s">
        <v>125</v>
      </c>
      <c r="H2" s="39" t="s">
        <v>126</v>
      </c>
      <c r="I2" s="40" t="s">
        <v>121</v>
      </c>
      <c r="J2" s="32" t="s">
        <v>735</v>
      </c>
      <c r="K2" s="32" t="s">
        <v>153</v>
      </c>
      <c r="L2" s="32" t="s">
        <v>191</v>
      </c>
      <c r="M2" s="32" t="s">
        <v>192</v>
      </c>
      <c r="N2" s="32" t="s">
        <v>489</v>
      </c>
      <c r="O2" s="32" t="s">
        <v>194</v>
      </c>
      <c r="P2" s="32" t="s">
        <v>195</v>
      </c>
      <c r="Q2" s="32" t="s">
        <v>196</v>
      </c>
      <c r="R2" s="33" t="s">
        <v>139</v>
      </c>
      <c r="S2" s="33" t="s">
        <v>849</v>
      </c>
      <c r="T2" s="33" t="s">
        <v>850</v>
      </c>
      <c r="U2" s="33" t="s">
        <v>851</v>
      </c>
      <c r="V2" s="33" t="s">
        <v>852</v>
      </c>
      <c r="W2" s="34" t="s">
        <v>853</v>
      </c>
      <c r="X2" s="34" t="s">
        <v>854</v>
      </c>
      <c r="Y2" s="34" t="s">
        <v>853</v>
      </c>
      <c r="Z2" s="35" t="s">
        <v>853</v>
      </c>
      <c r="AA2" s="35" t="s">
        <v>854</v>
      </c>
      <c r="AB2" s="35" t="s">
        <v>853</v>
      </c>
      <c r="AC2" s="35" t="s">
        <v>172</v>
      </c>
      <c r="AD2" s="35" t="s">
        <v>853</v>
      </c>
      <c r="AE2" s="35" t="s">
        <v>854</v>
      </c>
      <c r="AF2" s="35" t="s">
        <v>853</v>
      </c>
      <c r="AG2" s="35" t="s">
        <v>172</v>
      </c>
      <c r="AH2" s="34" t="s">
        <v>853</v>
      </c>
      <c r="AI2" s="34" t="s">
        <v>854</v>
      </c>
      <c r="AJ2" s="34" t="s">
        <v>172</v>
      </c>
      <c r="AK2" s="34" t="s">
        <v>855</v>
      </c>
      <c r="AL2" s="34" t="s">
        <v>853</v>
      </c>
      <c r="AM2" s="34" t="s">
        <v>854</v>
      </c>
      <c r="AN2" s="34" t="s">
        <v>172</v>
      </c>
      <c r="AO2" s="34" t="s">
        <v>855</v>
      </c>
      <c r="AP2" s="34" t="s">
        <v>853</v>
      </c>
      <c r="AQ2" s="34" t="s">
        <v>854</v>
      </c>
      <c r="AR2" s="34" t="s">
        <v>853</v>
      </c>
      <c r="AS2" s="34" t="s">
        <v>172</v>
      </c>
      <c r="AT2" s="34" t="s">
        <v>855</v>
      </c>
      <c r="AU2" s="34" t="s">
        <v>856</v>
      </c>
      <c r="AV2" s="34" t="s">
        <v>855</v>
      </c>
      <c r="AW2" s="34" t="s">
        <v>853</v>
      </c>
      <c r="AX2" s="34" t="s">
        <v>854</v>
      </c>
      <c r="AY2" s="34" t="s">
        <v>853</v>
      </c>
      <c r="AZ2" s="34" t="s">
        <v>172</v>
      </c>
      <c r="BA2" s="34" t="s">
        <v>855</v>
      </c>
      <c r="BB2" s="34" t="s">
        <v>856</v>
      </c>
      <c r="BC2" s="34" t="s">
        <v>855</v>
      </c>
      <c r="BD2" s="35" t="s">
        <v>853</v>
      </c>
      <c r="BE2" s="35" t="s">
        <v>854</v>
      </c>
      <c r="BF2" s="35" t="s">
        <v>172</v>
      </c>
      <c r="BG2" s="35" t="s">
        <v>855</v>
      </c>
      <c r="BH2" s="35" t="s">
        <v>856</v>
      </c>
      <c r="BI2" s="35" t="s">
        <v>853</v>
      </c>
      <c r="BJ2" s="35" t="s">
        <v>854</v>
      </c>
      <c r="BK2" s="35" t="s">
        <v>172</v>
      </c>
      <c r="BL2" s="35" t="s">
        <v>855</v>
      </c>
      <c r="BM2" s="35" t="s">
        <v>856</v>
      </c>
      <c r="BN2" s="34" t="s">
        <v>853</v>
      </c>
      <c r="BO2" s="34" t="s">
        <v>854</v>
      </c>
      <c r="BP2" s="34" t="s">
        <v>172</v>
      </c>
      <c r="BQ2" s="34" t="s">
        <v>855</v>
      </c>
      <c r="BR2" s="34" t="s">
        <v>856</v>
      </c>
      <c r="BS2" s="34" t="s">
        <v>853</v>
      </c>
      <c r="BT2" s="34" t="s">
        <v>854</v>
      </c>
      <c r="BU2" s="34" t="s">
        <v>172</v>
      </c>
      <c r="BV2" s="34" t="s">
        <v>855</v>
      </c>
      <c r="BW2" s="34" t="s">
        <v>856</v>
      </c>
      <c r="BX2" s="35" t="s">
        <v>172</v>
      </c>
      <c r="BY2" s="35" t="s">
        <v>855</v>
      </c>
      <c r="BZ2" s="35" t="s">
        <v>856</v>
      </c>
      <c r="CA2" s="35" t="s">
        <v>855</v>
      </c>
      <c r="CB2" s="34" t="s">
        <v>855</v>
      </c>
      <c r="CC2" s="34" t="s">
        <v>856</v>
      </c>
      <c r="CD2" s="34" t="s">
        <v>855</v>
      </c>
      <c r="CE2" s="34" t="s">
        <v>172</v>
      </c>
    </row>
    <row r="3" spans="1:83" x14ac:dyDescent="0.25">
      <c r="A3" t="str">
        <f>Plantilla!D4</f>
        <v>Cosme Fonteboa</v>
      </c>
      <c r="B3">
        <f>Plantilla!E4</f>
        <v>28</v>
      </c>
      <c r="C3" s="25">
        <f ca="1">Plantilla!F4</f>
        <v>2</v>
      </c>
      <c r="D3" s="42">
        <f>Plantilla!G4</f>
        <v>0</v>
      </c>
      <c r="E3" s="23">
        <f>Plantilla!M4</f>
        <v>43415</v>
      </c>
      <c r="F3" s="37">
        <f>Plantilla!Q4</f>
        <v>6</v>
      </c>
      <c r="G3" s="38">
        <f t="shared" ref="G3" si="0">(F3/7)^0.5</f>
        <v>0.92582009977255142</v>
      </c>
      <c r="H3" s="38">
        <f t="shared" ref="H3" si="1">IF(F3=7,1,((F3+0.99)/7)^0.5)</f>
        <v>0.99928545900129484</v>
      </c>
      <c r="I3" s="104">
        <f ca="1">Plantilla!N4</f>
        <v>1</v>
      </c>
      <c r="J3" s="29">
        <f>Plantilla!I4</f>
        <v>10.4</v>
      </c>
      <c r="K3" s="36">
        <f>Plantilla!X4</f>
        <v>15</v>
      </c>
      <c r="L3" s="36">
        <f>Plantilla!Y4</f>
        <v>13.153846153846153</v>
      </c>
      <c r="M3" s="36">
        <f>Plantilla!Z4</f>
        <v>0</v>
      </c>
      <c r="N3" s="36">
        <f>Plantilla!AA4</f>
        <v>1</v>
      </c>
      <c r="O3" s="36">
        <f>Plantilla!AB4</f>
        <v>1</v>
      </c>
      <c r="P3" s="36">
        <f>Plantilla!AC4</f>
        <v>1</v>
      </c>
      <c r="Q3" s="36">
        <f>Plantilla!AD4</f>
        <v>16.333333333333332</v>
      </c>
      <c r="R3" s="36">
        <f t="shared" ref="R3" si="2">((2*(O3+1))+(L3+1))/8</f>
        <v>2.2692307692307692</v>
      </c>
      <c r="S3" s="36">
        <f t="shared" ref="S3" si="3">(0.5*P3+0.3*Q3)/10</f>
        <v>0.53999999999999992</v>
      </c>
      <c r="T3" s="36">
        <f t="shared" ref="T3" si="4">(0.4*L3+0.3*Q3)/10</f>
        <v>1.0161538461538462</v>
      </c>
      <c r="U3" s="36">
        <f t="shared" ref="U3" ca="1" si="5">(Q3+I3+(LOG(J3)*4/3))*(F3/7)^0.5</f>
        <v>17.303001606273035</v>
      </c>
      <c r="V3" s="36">
        <f t="shared" ref="V3" ca="1" si="6">IF(F3=7,U3,(Q3+I3+(LOG(J3)*4/3))*((F3+0.99)/7)^0.5)</f>
        <v>18.676023459063511</v>
      </c>
      <c r="W3" s="27">
        <f t="shared" ref="W3" ca="1" si="7">((K3+I3+(LOG(J3)*4/3))*0.597)+((L3+I3+(LOG(J3)*4/3))*0.276)</f>
        <v>14.642288345405319</v>
      </c>
      <c r="X3" s="27">
        <f t="shared" ref="X3" ca="1" si="8">((K3+I3+(LOG(J3)*4/3))*0.866)+((L3+I3+(LOG(J3)*4/3))*0.425)</f>
        <v>21.622038003430912</v>
      </c>
      <c r="Y3" s="27">
        <f t="shared" ref="Y3" ca="1" si="9">W3</f>
        <v>14.642288345405319</v>
      </c>
      <c r="Z3" s="27">
        <f t="shared" ref="Z3" ca="1" si="10">((L3+I3+(LOG(J3)*4/3))*0.516)</f>
        <v>8.0031035528221768</v>
      </c>
      <c r="AA3" s="27">
        <f t="shared" ref="AA3" ca="1" si="11">((L3+I3+(LOG(J3)*4/3))*1)</f>
        <v>15.509890606244527</v>
      </c>
      <c r="AB3" s="27">
        <f t="shared" ref="AB3" ca="1" si="12">Z3/2</f>
        <v>4.0015517764110884</v>
      </c>
      <c r="AC3" s="27">
        <f t="shared" ref="AC3" ca="1" si="13">((M3+I3+(LOG(J3)*4/3))*0.238)</f>
        <v>0.56073857967081286</v>
      </c>
      <c r="AD3" s="27">
        <f t="shared" ref="AD3" ca="1" si="14">((L3+I3+(LOG(J3)*4/3))*0.378)</f>
        <v>5.8627386491604314</v>
      </c>
      <c r="AE3" s="27">
        <f t="shared" ref="AE3" ca="1" si="15">((L3+I3+(LOG(J3)*4/3))*0.723)</f>
        <v>11.213650908314793</v>
      </c>
      <c r="AF3" s="27">
        <f t="shared" ref="AF3" ca="1" si="16">AD3/2</f>
        <v>2.9313693245802157</v>
      </c>
      <c r="AG3" s="27">
        <f t="shared" ref="AG3" ca="1" si="17">((M3+I3+(LOG(J3)*4/3))*0.385)</f>
        <v>0.90707711417337389</v>
      </c>
      <c r="AH3" s="27">
        <f t="shared" ref="AH3" ca="1" si="18">((L3+I3+(LOG(J3)*4/3))*0.92)</f>
        <v>14.269099357744965</v>
      </c>
      <c r="AI3" s="27">
        <f t="shared" ref="AI3" ca="1" si="19">((L3+I3+(LOG(J3)*4/3))*0.414)</f>
        <v>6.4210947109852334</v>
      </c>
      <c r="AJ3" s="27">
        <f t="shared" ref="AJ3" ca="1" si="20">((M3+I3+(LOG(J3)*4/3))*0.167)</f>
        <v>0.39345942355052843</v>
      </c>
      <c r="AK3" s="27">
        <f t="shared" ref="AK3" ca="1" si="21">((N3+I3+(LOG(J3)*4/3))*0.588)</f>
        <v>1.9733541380102435</v>
      </c>
      <c r="AL3" s="27">
        <f t="shared" ref="AL3" ca="1" si="22">((L3+I3+(LOG(J3)*4/3))*0.754)</f>
        <v>11.694457517108374</v>
      </c>
      <c r="AM3" s="27">
        <f t="shared" ref="AM3" ca="1" si="23">((L3+I3+(LOG(J3)*4/3))*0.708)</f>
        <v>10.981002549221124</v>
      </c>
      <c r="AN3" s="27">
        <f t="shared" ref="AN3" ca="1" si="24">((Q3+I3+(LOG(J3)*4/3))*0.167)</f>
        <v>3.1211260902171953</v>
      </c>
      <c r="AO3" s="27">
        <f t="shared" ref="AO3" ca="1" si="25">((R3+I3+(LOG(J3)*4/3))*0.288)</f>
        <v>1.3320792638291929</v>
      </c>
      <c r="AP3" s="27">
        <f t="shared" ref="AP3" ca="1" si="26">((L3+I3+(LOG(J3)*4/3))*0.27)</f>
        <v>4.1876704636860227</v>
      </c>
      <c r="AQ3" s="27">
        <f t="shared" ref="AQ3" ca="1" si="27">((L3+I3+(LOG(J3)*4/3))*0.594)</f>
        <v>9.212875020109248</v>
      </c>
      <c r="AR3" s="27">
        <f t="shared" ref="AR3" ca="1" si="28">AP3/2</f>
        <v>2.0938352318430113</v>
      </c>
      <c r="AS3" s="27">
        <f t="shared" ref="AS3" ca="1" si="29">((M3+I3+(LOG(J3)*4/3))*0.944)</f>
        <v>2.2241059630640647</v>
      </c>
      <c r="AT3" s="27">
        <f t="shared" ref="AT3" ca="1" si="30">((O3+I3+(LOG(J3)*4/3))*0.13)</f>
        <v>0.43628577881178859</v>
      </c>
      <c r="AU3" s="27">
        <f t="shared" ref="AU3" ca="1" si="31">((P3+I3+(LOG(J3)*4/3))*0.173)+((O3+I3+(LOG(J3)*4/3))*0.12)</f>
        <v>0.98332102455272352</v>
      </c>
      <c r="AV3" s="27">
        <f t="shared" ref="AV3" ca="1" si="32">AT3/2</f>
        <v>0.2181428894058943</v>
      </c>
      <c r="AW3" s="27">
        <f t="shared" ref="AW3" ca="1" si="33">((L3+I3+(LOG(J3)*4/3))*0.189)</f>
        <v>2.9313693245802157</v>
      </c>
      <c r="AX3" s="27">
        <f t="shared" ref="AX3" ca="1" si="34">((L3+I3+(LOG(J3)*4/3))*0.4)</f>
        <v>6.203956242497811</v>
      </c>
      <c r="AY3" s="27">
        <f t="shared" ref="AY3" ca="1" si="35">AW3/2</f>
        <v>1.4656846622901079</v>
      </c>
      <c r="AZ3" s="27">
        <f t="shared" ref="AZ3" ca="1" si="36">((M3+I3+(LOG(J3)*4/3))*1)</f>
        <v>2.3560444523983737</v>
      </c>
      <c r="BA3" s="27">
        <f t="shared" ref="BA3" ca="1" si="37">((O3+I3+(LOG(J3)*4/3))*0.253)</f>
        <v>0.84907924645678856</v>
      </c>
      <c r="BB3" s="27">
        <f t="shared" ref="BB3" ca="1" si="38">((P3+I3+(LOG(J3)*4/3))*0.21)+((O3+I3+(LOG(J3)*4/3))*0.341)</f>
        <v>1.8491804932715041</v>
      </c>
      <c r="BC3" s="27">
        <f t="shared" ref="BC3" ca="1" si="39">BA3/2</f>
        <v>0.42453962322839428</v>
      </c>
      <c r="BD3" s="27">
        <f t="shared" ref="BD3" ca="1" si="40">((L3+I3+(LOG(J3)*4/3))*0.291)</f>
        <v>4.5133781664171568</v>
      </c>
      <c r="BE3" s="27">
        <f t="shared" ref="BE3" ca="1" si="41">((L3+I3+(LOG(J3)*4/3))*0.348)</f>
        <v>5.3974419309730948</v>
      </c>
      <c r="BF3" s="27">
        <f t="shared" ref="BF3" ca="1" si="42">((M3+I3+(LOG(J3)*4/3))*0.881)</f>
        <v>2.075675162562967</v>
      </c>
      <c r="BG3" s="27">
        <f t="shared" ref="BG3" ca="1" si="43">((N3+I3+(LOG(J3)*4/3))*0.574)+((O3+I3+(LOG(J3)*4/3))*0.315)</f>
        <v>2.983523518182154</v>
      </c>
      <c r="BH3" s="27">
        <f t="shared" ref="BH3" ca="1" si="44">((O3+I3+(LOG(J3)*4/3))*0.241)</f>
        <v>0.808806713028008</v>
      </c>
      <c r="BI3" s="27">
        <f t="shared" ref="BI3" ca="1" si="45">((L3+I3+(LOG(J3)*4/3))*0.485)</f>
        <v>7.5222969440285956</v>
      </c>
      <c r="BJ3" s="27">
        <f t="shared" ref="BJ3" ca="1" si="46">((L3+I3+(LOG(J3)*4/3))*0.264)</f>
        <v>4.0946111200485555</v>
      </c>
      <c r="BK3" s="27">
        <f t="shared" ref="BK3" ca="1" si="47">((M3+I3+(LOG(J3)*4/3))*0.381)</f>
        <v>0.89765293636378041</v>
      </c>
      <c r="BL3" s="27">
        <f t="shared" ref="BL3" ca="1" si="48">((N3+I3+(LOG(J3)*4/3))*0.673)+((O3+I3+(LOG(J3)*4/3))*0.201)</f>
        <v>2.9331828513961788</v>
      </c>
      <c r="BM3" s="27">
        <f t="shared" ref="BM3" ca="1" si="49">((O3+I3+(LOG(J3)*4/3))*0.052)</f>
        <v>0.17451431152471542</v>
      </c>
      <c r="BN3" s="27">
        <f t="shared" ref="BN3" ca="1" si="50">((L3+I3+(LOG(J3)*4/3))*0.18)</f>
        <v>2.7917803091240145</v>
      </c>
      <c r="BO3" s="27">
        <f t="shared" ref="BO3" ca="1" si="51">((L3+I3+(LOG(J3)*4/3))*0.068)</f>
        <v>1.0546725612246279</v>
      </c>
      <c r="BP3" s="27">
        <f t="shared" ref="BP3" ca="1" si="52">((M3+I3+(LOG(J3)*4/3))*0.305)</f>
        <v>0.71859355798150393</v>
      </c>
      <c r="BQ3" s="27">
        <f t="shared" ref="BQ3" ca="1" si="53">((N3+I3+(LOG(J3)*4/3))*1)+((O3+I3+(LOG(J3)*4/3))*0.286)</f>
        <v>4.3158731657843088</v>
      </c>
      <c r="BR3" s="27">
        <f t="shared" ref="BR3" ca="1" si="54">((O3+I3+(LOG(J3)*4/3))*0.135)</f>
        <v>0.45306600107378048</v>
      </c>
      <c r="BS3" s="27">
        <f t="shared" ref="BS3" ca="1" si="55">((L3+I3+(LOG(J3)*4/3))*0.284)</f>
        <v>4.4048089321734452</v>
      </c>
      <c r="BT3" s="27">
        <f t="shared" ref="BT3" ca="1" si="56">((L3+I3+(LOG(J3)*4/3))*0.244)</f>
        <v>3.7844133079236646</v>
      </c>
      <c r="BU3" s="27">
        <f t="shared" ref="BU3" ca="1" si="57">((M3+I3+(LOG(J3)*4/3))*0.631)</f>
        <v>1.4866640494633738</v>
      </c>
      <c r="BV3" s="27">
        <f t="shared" ref="BV3" ca="1" si="58">((N3+I3+(LOG(J3)*4/3))*0.702)+((O3+I3+(LOG(J3)*4/3))*0.193)</f>
        <v>3.0036597848965441</v>
      </c>
      <c r="BW3" s="27">
        <f t="shared" ref="BW3" ca="1" si="59">((O3+I3+(LOG(J3)*4/3))*0.148)</f>
        <v>0.49669457895495928</v>
      </c>
      <c r="BX3" s="27">
        <f t="shared" ref="BX3" ca="1" si="60">((M3+I3+(LOG(J3)*4/3))*0.406)</f>
        <v>0.95655404767373975</v>
      </c>
      <c r="BY3" s="27">
        <f t="shared" ref="BY3" ca="1" si="61">IF(D3="TEC",((N3+I3+(LOG(J3)*4/3))*0.15)+((O3+I3+(LOG(J3)*4/3))*0.324)+((P3+I3+(LOG(J3)*4/3))*0.127),((N3+I3+(LOG(J3)*4/3))*0.144)+((O3+I3+(LOG(J3)*4/3))*0.25)+((P3+I3+(LOG(J3)*4/3))*0.127))</f>
        <v>1.7484991596995527</v>
      </c>
      <c r="BZ3" s="27">
        <f t="shared" ref="BZ3" ca="1" si="62">IF(D3="TEC",((O3+I3+(LOG(J3)*4/3))*0.543)+((P3+I3+(LOG(J3)*4/3))*0.583),((O3+I3+(LOG(J3)*4/3))*0.543)+((P3+I3+(LOG(J3)*4/3))*0.583))</f>
        <v>3.7789060534005685</v>
      </c>
      <c r="CA3" s="27">
        <f t="shared" ref="CA3" ca="1" si="63">BY3</f>
        <v>1.7484991596995527</v>
      </c>
      <c r="CB3" s="27">
        <f t="shared" ref="CB3" ca="1" si="64">((P3+I3+(LOG(J3)*4/3))*0.26)+((N3+I3+(LOG(J3)*4/3))*0.221)+((O3+I3+(LOG(J3)*4/3))*0.142)</f>
        <v>2.0908156938441866</v>
      </c>
      <c r="CC3" s="27">
        <f t="shared" ref="CC3" ca="1" si="65">((P3+I3+(LOG(J3)*4/3))*1)+((O3+I3+(LOG(J3)*4/3))*0.369)</f>
        <v>4.594424855333374</v>
      </c>
      <c r="CD3" s="27">
        <f t="shared" ref="CD3" ca="1" si="66">CB3</f>
        <v>2.0908156938441866</v>
      </c>
      <c r="CE3" s="27">
        <f t="shared" ref="CE3" ca="1" si="67">((M3+I3+(LOG(J3)*4/3))*0.25)</f>
        <v>0.58901111309959342</v>
      </c>
    </row>
    <row r="4" spans="1:83" x14ac:dyDescent="0.25">
      <c r="A4" t="str">
        <f>Plantilla!D5</f>
        <v>Nicolae Hornet</v>
      </c>
      <c r="B4">
        <f>Plantilla!E5</f>
        <v>28</v>
      </c>
      <c r="C4" s="25">
        <f ca="1">Plantilla!F5</f>
        <v>27</v>
      </c>
      <c r="D4" s="42">
        <f>Plantilla!G5</f>
        <v>0</v>
      </c>
      <c r="E4" s="23">
        <f>Plantilla!M5</f>
        <v>43190</v>
      </c>
      <c r="F4" s="37">
        <f>Plantilla!Q5</f>
        <v>3</v>
      </c>
      <c r="G4" s="38">
        <f t="shared" ref="G4:G19" si="68">(F4/7)^0.5</f>
        <v>0.65465367070797709</v>
      </c>
      <c r="H4" s="38">
        <f t="shared" ref="H4:H19" si="69">IF(F4=7,1,((F4+0.99)/7)^0.5)</f>
        <v>0.75498344352707503</v>
      </c>
      <c r="I4" s="104">
        <f ca="1">Plantilla!N5</f>
        <v>1</v>
      </c>
      <c r="J4" s="29">
        <f>Plantilla!I5</f>
        <v>2.2999999999999998</v>
      </c>
      <c r="K4" s="36">
        <f>Plantilla!X5</f>
        <v>6</v>
      </c>
      <c r="L4" s="36">
        <f>Plantilla!Y5</f>
        <v>5.8</v>
      </c>
      <c r="M4" s="36">
        <f>Plantilla!Z5</f>
        <v>0</v>
      </c>
      <c r="N4" s="36">
        <f>Plantilla!AA5</f>
        <v>3</v>
      </c>
      <c r="O4" s="36">
        <f>Plantilla!AB5</f>
        <v>1</v>
      </c>
      <c r="P4" s="36">
        <f>Plantilla!AC5</f>
        <v>1</v>
      </c>
      <c r="Q4" s="36">
        <f>Plantilla!AD5</f>
        <v>4</v>
      </c>
      <c r="R4" s="36">
        <f t="shared" ref="R4:R19" si="70">((2*(O4+1))+(L4+1))/8</f>
        <v>1.35</v>
      </c>
      <c r="S4" s="36">
        <f t="shared" ref="S4:S19" si="71">(0.5*P4+0.3*Q4)/10</f>
        <v>0.16999999999999998</v>
      </c>
      <c r="T4" s="36">
        <f t="shared" ref="T4:T19" si="72">(0.4*L4+0.3*Q4)/10</f>
        <v>0.35199999999999998</v>
      </c>
      <c r="U4" s="36">
        <f t="shared" ref="U4:U19" ca="1" si="73">(Q4+I4+(LOG(J4)*4/3))*(F4/7)^0.5</f>
        <v>3.5890102944014459</v>
      </c>
      <c r="V4" s="36">
        <f t="shared" ref="V4:V19" ca="1" si="74">IF(F4=7,U4,(Q4+I4+(LOG(J4)*4/3))*((F4+0.99)/7)^0.5)</f>
        <v>4.1390485873102545</v>
      </c>
      <c r="W4" s="27">
        <f t="shared" ref="W4:W19" ca="1" si="75">((K4+I4+(LOG(J4)*4/3))*0.597)+((L4+I4+(LOG(J4)*4/3))*0.276)</f>
        <v>6.4768512011244788</v>
      </c>
      <c r="X4" s="27">
        <f t="shared" ref="X4:X19" ca="1" si="76">((K4+I4+(LOG(J4)*4/3))*0.866)+((L4+I4+(LOG(J4)*4/3))*0.425)</f>
        <v>9.5746541817316171</v>
      </c>
      <c r="Y4" s="27">
        <f t="shared" ref="Y4:Y19" ca="1" si="77">W4</f>
        <v>6.4768512011244788</v>
      </c>
      <c r="Z4" s="27">
        <f t="shared" ref="Z4:Z19" ca="1" si="78">((L4+I4+(LOG(J4)*4/3))*0.516)</f>
        <v>3.7576687511801041</v>
      </c>
      <c r="AA4" s="27">
        <f t="shared" ref="AA4:AA19" ca="1" si="79">((L4+I4+(LOG(J4)*4/3))*1)</f>
        <v>7.2823037813567906</v>
      </c>
      <c r="AB4" s="27">
        <f t="shared" ref="AB4:AB19" ca="1" si="80">Z4/2</f>
        <v>1.8788343755900521</v>
      </c>
      <c r="AC4" s="27">
        <f t="shared" ref="AC4:AC19" ca="1" si="81">((M4+I4+(LOG(J4)*4/3))*0.238)</f>
        <v>0.35278829996291611</v>
      </c>
      <c r="AD4" s="27">
        <f t="shared" ref="AD4:AD19" ca="1" si="82">((L4+I4+(LOG(J4)*4/3))*0.378)</f>
        <v>2.7527108293528668</v>
      </c>
      <c r="AE4" s="27">
        <f t="shared" ref="AE4:AE19" ca="1" si="83">((L4+I4+(LOG(J4)*4/3))*0.723)</f>
        <v>5.2651056339209594</v>
      </c>
      <c r="AF4" s="27">
        <f t="shared" ref="AF4:AF19" ca="1" si="84">AD4/2</f>
        <v>1.3763554146764334</v>
      </c>
      <c r="AG4" s="27">
        <f t="shared" ref="AG4:AG19" ca="1" si="85">((M4+I4+(LOG(J4)*4/3))*0.385)</f>
        <v>0.57068695582236439</v>
      </c>
      <c r="AH4" s="27">
        <f t="shared" ref="AH4:AH19" ca="1" si="86">((L4+I4+(LOG(J4)*4/3))*0.92)</f>
        <v>6.6997194788482473</v>
      </c>
      <c r="AI4" s="27">
        <f t="shared" ref="AI4:AI19" ca="1" si="87">((L4+I4+(LOG(J4)*4/3))*0.414)</f>
        <v>3.014873765481711</v>
      </c>
      <c r="AJ4" s="27">
        <f t="shared" ref="AJ4:AJ19" ca="1" si="88">((M4+I4+(LOG(J4)*4/3))*0.167)</f>
        <v>0.24754473148658404</v>
      </c>
      <c r="AK4" s="27">
        <f t="shared" ref="AK4:AK19" ca="1" si="89">((N4+I4+(LOG(J4)*4/3))*0.588)</f>
        <v>2.6355946234377927</v>
      </c>
      <c r="AL4" s="27">
        <f t="shared" ref="AL4:AL19" ca="1" si="90">((L4+I4+(LOG(J4)*4/3))*0.754)</f>
        <v>5.4908570511430197</v>
      </c>
      <c r="AM4" s="27">
        <f t="shared" ref="AM4:AM19" ca="1" si="91">((L4+I4+(LOG(J4)*4/3))*0.708)</f>
        <v>5.1558710772006071</v>
      </c>
      <c r="AN4" s="27">
        <f t="shared" ref="AN4:AN19" ca="1" si="92">((Q4+I4+(LOG(J4)*4/3))*0.167)</f>
        <v>0.91554473148658411</v>
      </c>
      <c r="AO4" s="27">
        <f t="shared" ref="AO4:AO19" ca="1" si="93">((R4+I4+(LOG(J4)*4/3))*0.288)</f>
        <v>0.81570348903075562</v>
      </c>
      <c r="AP4" s="27">
        <f t="shared" ref="AP4:AP19" ca="1" si="94">((L4+I4+(LOG(J4)*4/3))*0.27)</f>
        <v>1.9662220209663337</v>
      </c>
      <c r="AQ4" s="27">
        <f t="shared" ref="AQ4:AQ19" ca="1" si="95">((L4+I4+(LOG(J4)*4/3))*0.594)</f>
        <v>4.3256884461259331</v>
      </c>
      <c r="AR4" s="27">
        <f t="shared" ref="AR4:AR19" ca="1" si="96">AP4/2</f>
        <v>0.98311101048316685</v>
      </c>
      <c r="AS4" s="27">
        <f t="shared" ref="AS4:AS19" ca="1" si="97">((M4+I4+(LOG(J4)*4/3))*0.944)</f>
        <v>1.3992947696008102</v>
      </c>
      <c r="AT4" s="27">
        <f t="shared" ref="AT4:AT19" ca="1" si="98">((O4+I4+(LOG(J4)*4/3))*0.13)</f>
        <v>0.32269949157638272</v>
      </c>
      <c r="AU4" s="27">
        <f t="shared" ref="AU4:AU19" ca="1" si="99">((P4+I4+(LOG(J4)*4/3))*0.173)+((O4+I4+(LOG(J4)*4/3))*0.12)</f>
        <v>0.72731500793753956</v>
      </c>
      <c r="AV4" s="27">
        <f t="shared" ref="AV4:AV19" ca="1" si="100">AT4/2</f>
        <v>0.16134974578819136</v>
      </c>
      <c r="AW4" s="27">
        <f t="shared" ref="AW4:AW19" ca="1" si="101">((L4+I4+(LOG(J4)*4/3))*0.189)</f>
        <v>1.3763554146764334</v>
      </c>
      <c r="AX4" s="27">
        <f t="shared" ref="AX4:AX19" ca="1" si="102">((L4+I4+(LOG(J4)*4/3))*0.4)</f>
        <v>2.9129215125427166</v>
      </c>
      <c r="AY4" s="27">
        <f t="shared" ref="AY4:AY19" ca="1" si="103">AW4/2</f>
        <v>0.6881777073382167</v>
      </c>
      <c r="AZ4" s="27">
        <f t="shared" ref="AZ4:AZ19" ca="1" si="104">((M4+I4+(LOG(J4)*4/3))*1)</f>
        <v>1.4823037813567905</v>
      </c>
      <c r="BA4" s="27">
        <f t="shared" ref="BA4:BA19" ca="1" si="105">((O4+I4+(LOG(J4)*4/3))*0.253)</f>
        <v>0.62802285668326796</v>
      </c>
      <c r="BB4" s="27">
        <f t="shared" ref="BB4:BB19" ca="1" si="106">((P4+I4+(LOG(J4)*4/3))*0.21)+((O4+I4+(LOG(J4)*4/3))*0.341)</f>
        <v>1.3677493835275916</v>
      </c>
      <c r="BC4" s="27">
        <f t="shared" ref="BC4:BC19" ca="1" si="107">BA4/2</f>
        <v>0.31401142834163398</v>
      </c>
      <c r="BD4" s="27">
        <f t="shared" ref="BD4:BD19" ca="1" si="108">((L4+I4+(LOG(J4)*4/3))*0.291)</f>
        <v>2.119150400374826</v>
      </c>
      <c r="BE4" s="27">
        <f t="shared" ref="BE4:BE19" ca="1" si="109">((L4+I4+(LOG(J4)*4/3))*0.348)</f>
        <v>2.5342417159121631</v>
      </c>
      <c r="BF4" s="27">
        <f t="shared" ref="BF4:BF19" ca="1" si="110">((M4+I4+(LOG(J4)*4/3))*0.881)</f>
        <v>1.3059096313753324</v>
      </c>
      <c r="BG4" s="27">
        <f t="shared" ref="BG4:BG19" ca="1" si="111">((N4+I4+(LOG(J4)*4/3))*0.574)+((O4+I4+(LOG(J4)*4/3))*0.315)</f>
        <v>3.3547680616261863</v>
      </c>
      <c r="BH4" s="27">
        <f t="shared" ref="BH4:BH19" ca="1" si="112">((O4+I4+(LOG(J4)*4/3))*0.241)</f>
        <v>0.59823521130698643</v>
      </c>
      <c r="BI4" s="27">
        <f t="shared" ref="BI4:BI19" ca="1" si="113">((L4+I4+(LOG(J4)*4/3))*0.485)</f>
        <v>3.5319173339580434</v>
      </c>
      <c r="BJ4" s="27">
        <f t="shared" ref="BJ4:BJ19" ca="1" si="114">((L4+I4+(LOG(J4)*4/3))*0.264)</f>
        <v>1.9225281982781928</v>
      </c>
      <c r="BK4" s="27">
        <f t="shared" ref="BK4:BK19" ca="1" si="115">((M4+I4+(LOG(J4)*4/3))*0.381)</f>
        <v>0.56475774069693718</v>
      </c>
      <c r="BL4" s="27">
        <f t="shared" ref="BL4:BL19" ca="1" si="116">((N4+I4+(LOG(J4)*4/3))*0.673)+((O4+I4+(LOG(J4)*4/3))*0.201)</f>
        <v>3.5155335049058354</v>
      </c>
      <c r="BM4" s="27">
        <f t="shared" ref="BM4:BM19" ca="1" si="117">((O4+I4+(LOG(J4)*4/3))*0.052)</f>
        <v>0.12907979663055308</v>
      </c>
      <c r="BN4" s="27">
        <f t="shared" ref="BN4:BN19" ca="1" si="118">((L4+I4+(LOG(J4)*4/3))*0.18)</f>
        <v>1.3108146806442222</v>
      </c>
      <c r="BO4" s="27">
        <f t="shared" ref="BO4:BO19" ca="1" si="119">((L4+I4+(LOG(J4)*4/3))*0.068)</f>
        <v>0.4951966571322618</v>
      </c>
      <c r="BP4" s="27">
        <f t="shared" ref="BP4:BP19" ca="1" si="120">((M4+I4+(LOG(J4)*4/3))*0.305)</f>
        <v>0.4521026533138211</v>
      </c>
      <c r="BQ4" s="27">
        <f t="shared" ref="BQ4:BQ19" ca="1" si="121">((N4+I4+(LOG(J4)*4/3))*1)+((O4+I4+(LOG(J4)*4/3))*0.286)</f>
        <v>5.1922426628248326</v>
      </c>
      <c r="BR4" s="27">
        <f t="shared" ref="BR4:BR19" ca="1" si="122">((O4+I4+(LOG(J4)*4/3))*0.135)</f>
        <v>0.33511101048316672</v>
      </c>
      <c r="BS4" s="27">
        <f t="shared" ref="BS4:BS19" ca="1" si="123">((L4+I4+(LOG(J4)*4/3))*0.284)</f>
        <v>2.0681742739053282</v>
      </c>
      <c r="BT4" s="27">
        <f t="shared" ref="BT4:BT19" ca="1" si="124">((L4+I4+(LOG(J4)*4/3))*0.244)</f>
        <v>1.7768821226510569</v>
      </c>
      <c r="BU4" s="27">
        <f t="shared" ref="BU4:BU19" ca="1" si="125">((M4+I4+(LOG(J4)*4/3))*0.631)</f>
        <v>0.93533368603613487</v>
      </c>
      <c r="BV4" s="27">
        <f t="shared" ref="BV4:BV19" ca="1" si="126">((N4+I4+(LOG(J4)*4/3))*0.702)+((O4+I4+(LOG(J4)*4/3))*0.193)</f>
        <v>3.6256618843143276</v>
      </c>
      <c r="BW4" s="27">
        <f t="shared" ref="BW4:BW19" ca="1" si="127">((O4+I4+(LOG(J4)*4/3))*0.148)</f>
        <v>0.36738095964080497</v>
      </c>
      <c r="BX4" s="27">
        <f t="shared" ref="BX4:BX19" ca="1" si="128">((M4+I4+(LOG(J4)*4/3))*0.406)</f>
        <v>0.60181533523085695</v>
      </c>
      <c r="BY4" s="27">
        <f t="shared" ref="BY4:BY19" ca="1" si="129">IF(D4="TEC",((N4+I4+(LOG(J4)*4/3))*0.15)+((O4+I4+(LOG(J4)*4/3))*0.324)+((P4+I4+(LOG(J4)*4/3))*0.127),((N4+I4+(LOG(J4)*4/3))*0.144)+((O4+I4+(LOG(J4)*4/3))*0.25)+((P4+I4+(LOG(J4)*4/3))*0.127))</f>
        <v>1.581280270086888</v>
      </c>
      <c r="BZ4" s="27">
        <f t="shared" ref="BZ4:BZ19" ca="1" si="130">IF(D4="TEC",((O4+I4+(LOG(J4)*4/3))*0.543)+((P4+I4+(LOG(J4)*4/3))*0.583),((O4+I4+(LOG(J4)*4/3))*0.543)+((P4+I4+(LOG(J4)*4/3))*0.583))</f>
        <v>2.7950740578077458</v>
      </c>
      <c r="CA4" s="27">
        <f t="shared" ref="CA4:CA19" ca="1" si="131">BY4</f>
        <v>1.581280270086888</v>
      </c>
      <c r="CB4" s="27">
        <f t="shared" ref="CB4:CB19" ca="1" si="132">((P4+I4+(LOG(J4)*4/3))*0.26)+((N4+I4+(LOG(J4)*4/3))*0.221)+((O4+I4+(LOG(J4)*4/3))*0.142)</f>
        <v>1.9884752557852803</v>
      </c>
      <c r="CC4" s="27">
        <f t="shared" ref="CC4:CC19" ca="1" si="133">((P4+I4+(LOG(J4)*4/3))*1)+((O4+I4+(LOG(J4)*4/3))*0.369)</f>
        <v>3.3982738766774458</v>
      </c>
      <c r="CD4" s="27">
        <f t="shared" ref="CD4:CD19" ca="1" si="134">CB4</f>
        <v>1.9884752557852803</v>
      </c>
      <c r="CE4" s="27">
        <f t="shared" ref="CE4:CE19" ca="1" si="135">((M4+I4+(LOG(J4)*4/3))*0.25)</f>
        <v>0.37057594533919763</v>
      </c>
    </row>
    <row r="5" spans="1:83" x14ac:dyDescent="0.25">
      <c r="A5" t="str">
        <f>Plantilla!D17</f>
        <v>Roxelio Reboredo</v>
      </c>
      <c r="B5">
        <f>Plantilla!E17</f>
        <v>32</v>
      </c>
      <c r="C5" s="25">
        <f ca="1">Plantilla!F17</f>
        <v>97</v>
      </c>
      <c r="D5" s="42">
        <f>Plantilla!G17</f>
        <v>0</v>
      </c>
      <c r="E5" s="23">
        <f>Plantilla!M17</f>
        <v>44251</v>
      </c>
      <c r="F5" s="37">
        <f>Plantilla!Q17</f>
        <v>5</v>
      </c>
      <c r="G5" s="38">
        <f t="shared" si="68"/>
        <v>0.84515425472851657</v>
      </c>
      <c r="H5" s="38">
        <f t="shared" si="69"/>
        <v>0.92504826128926143</v>
      </c>
      <c r="I5" s="104">
        <f ca="1">Plantilla!N17</f>
        <v>0.11852742785325386</v>
      </c>
      <c r="J5" s="29">
        <f>Plantilla!I17</f>
        <v>9.9</v>
      </c>
      <c r="K5" s="36">
        <f>Plantilla!X17</f>
        <v>0</v>
      </c>
      <c r="L5" s="36">
        <f>Plantilla!Y17</f>
        <v>6</v>
      </c>
      <c r="M5" s="36">
        <f>Plantilla!Z17</f>
        <v>13</v>
      </c>
      <c r="N5" s="36">
        <f>Plantilla!AA17</f>
        <v>7</v>
      </c>
      <c r="O5" s="36">
        <f>Plantilla!AB17</f>
        <v>12</v>
      </c>
      <c r="P5" s="36">
        <f>Plantilla!AC17</f>
        <v>4</v>
      </c>
      <c r="Q5" s="36">
        <f>Plantilla!AD17</f>
        <v>16</v>
      </c>
      <c r="R5" s="36">
        <f t="shared" si="70"/>
        <v>4.125</v>
      </c>
      <c r="S5" s="36">
        <f t="shared" si="71"/>
        <v>0.67999999999999994</v>
      </c>
      <c r="T5" s="36">
        <f t="shared" si="72"/>
        <v>0.72</v>
      </c>
      <c r="U5" s="36">
        <f t="shared" ca="1" si="73"/>
        <v>14.74459579677057</v>
      </c>
      <c r="V5" s="36">
        <f t="shared" ca="1" si="74"/>
        <v>16.138429912533404</v>
      </c>
      <c r="W5" s="27">
        <f t="shared" ca="1" si="75"/>
        <v>2.9183938110274386</v>
      </c>
      <c r="X5" s="27">
        <f t="shared" ca="1" si="76"/>
        <v>4.4168389576591327</v>
      </c>
      <c r="Y5" s="27">
        <f t="shared" ca="1" si="77"/>
        <v>2.9183938110274386</v>
      </c>
      <c r="Z5" s="27">
        <f t="shared" ca="1" si="78"/>
        <v>3.8421571666553933</v>
      </c>
      <c r="AA5" s="27">
        <f t="shared" ca="1" si="79"/>
        <v>7.4460410206499867</v>
      </c>
      <c r="AB5" s="27">
        <f t="shared" ca="1" si="80"/>
        <v>1.9210785833276967</v>
      </c>
      <c r="AC5" s="27">
        <f t="shared" ca="1" si="81"/>
        <v>3.4381577629146967</v>
      </c>
      <c r="AD5" s="27">
        <f t="shared" ca="1" si="82"/>
        <v>2.8146035058056951</v>
      </c>
      <c r="AE5" s="27">
        <f t="shared" ca="1" si="83"/>
        <v>5.3834876579299404</v>
      </c>
      <c r="AF5" s="27">
        <f t="shared" ca="1" si="84"/>
        <v>1.4073017529028475</v>
      </c>
      <c r="AG5" s="27">
        <f t="shared" ca="1" si="85"/>
        <v>5.5617257929502451</v>
      </c>
      <c r="AH5" s="27">
        <f t="shared" ca="1" si="86"/>
        <v>6.8503577389979879</v>
      </c>
      <c r="AI5" s="27">
        <f t="shared" ca="1" si="87"/>
        <v>3.0826609825490943</v>
      </c>
      <c r="AJ5" s="27">
        <f t="shared" ca="1" si="88"/>
        <v>2.4124888504485478</v>
      </c>
      <c r="AK5" s="27">
        <f t="shared" ca="1" si="89"/>
        <v>4.9662721201421913</v>
      </c>
      <c r="AL5" s="27">
        <f t="shared" ca="1" si="90"/>
        <v>5.6143149295700896</v>
      </c>
      <c r="AM5" s="27">
        <f t="shared" ca="1" si="91"/>
        <v>5.2717970426201903</v>
      </c>
      <c r="AN5" s="27">
        <f t="shared" ca="1" si="92"/>
        <v>2.9134888504485486</v>
      </c>
      <c r="AO5" s="27">
        <f t="shared" ca="1" si="93"/>
        <v>1.6044598139471962</v>
      </c>
      <c r="AP5" s="27">
        <f t="shared" ca="1" si="94"/>
        <v>2.0104310755754966</v>
      </c>
      <c r="AQ5" s="27">
        <f t="shared" ca="1" si="95"/>
        <v>4.422948366266092</v>
      </c>
      <c r="AR5" s="27">
        <f t="shared" ca="1" si="96"/>
        <v>1.0052155377877483</v>
      </c>
      <c r="AS5" s="27">
        <f t="shared" ca="1" si="97"/>
        <v>13.637062723493585</v>
      </c>
      <c r="AT5" s="27">
        <f t="shared" ca="1" si="98"/>
        <v>1.7479853326844983</v>
      </c>
      <c r="AU5" s="27">
        <f t="shared" ca="1" si="99"/>
        <v>2.5556900190504459</v>
      </c>
      <c r="AV5" s="27">
        <f t="shared" ca="1" si="100"/>
        <v>0.87399266634224915</v>
      </c>
      <c r="AW5" s="27">
        <f t="shared" ca="1" si="101"/>
        <v>1.4073017529028475</v>
      </c>
      <c r="AX5" s="27">
        <f t="shared" ca="1" si="102"/>
        <v>2.9784164082599949</v>
      </c>
      <c r="AY5" s="27">
        <f t="shared" ca="1" si="103"/>
        <v>0.70365087645142377</v>
      </c>
      <c r="AZ5" s="27">
        <f t="shared" ca="1" si="104"/>
        <v>14.446041020649986</v>
      </c>
      <c r="BA5" s="27">
        <f t="shared" ca="1" si="105"/>
        <v>3.4018483782244466</v>
      </c>
      <c r="BB5" s="27">
        <f t="shared" ca="1" si="106"/>
        <v>5.7287686023781426</v>
      </c>
      <c r="BC5" s="27">
        <f t="shared" ca="1" si="107"/>
        <v>1.7009241891122233</v>
      </c>
      <c r="BD5" s="27">
        <f t="shared" ca="1" si="108"/>
        <v>2.1667979370091461</v>
      </c>
      <c r="BE5" s="27">
        <f t="shared" ca="1" si="109"/>
        <v>2.5912222751861953</v>
      </c>
      <c r="BF5" s="27">
        <f t="shared" ca="1" si="110"/>
        <v>12.726962139192638</v>
      </c>
      <c r="BG5" s="27">
        <f t="shared" ca="1" si="111"/>
        <v>9.0835304673578374</v>
      </c>
      <c r="BH5" s="27">
        <f t="shared" ca="1" si="112"/>
        <v>3.2404958859766464</v>
      </c>
      <c r="BI5" s="27">
        <f t="shared" ca="1" si="113"/>
        <v>3.6113298950152433</v>
      </c>
      <c r="BJ5" s="27">
        <f t="shared" ca="1" si="114"/>
        <v>1.9657548294515965</v>
      </c>
      <c r="BK5" s="27">
        <f t="shared" ca="1" si="115"/>
        <v>5.5039416288676444</v>
      </c>
      <c r="BL5" s="27">
        <f t="shared" ca="1" si="116"/>
        <v>8.3868398520480874</v>
      </c>
      <c r="BM5" s="27">
        <f t="shared" ca="1" si="117"/>
        <v>0.69919413307379918</v>
      </c>
      <c r="BN5" s="27">
        <f t="shared" ca="1" si="118"/>
        <v>1.3402873837169975</v>
      </c>
      <c r="BO5" s="27">
        <f t="shared" ca="1" si="119"/>
        <v>0.50633078940419918</v>
      </c>
      <c r="BP5" s="27">
        <f t="shared" ca="1" si="120"/>
        <v>4.4060425112982458</v>
      </c>
      <c r="BQ5" s="27">
        <f t="shared" ca="1" si="121"/>
        <v>12.291608752555881</v>
      </c>
      <c r="BR5" s="27">
        <f t="shared" ca="1" si="122"/>
        <v>1.8152155377877481</v>
      </c>
      <c r="BS5" s="27">
        <f t="shared" ca="1" si="123"/>
        <v>2.114675649864596</v>
      </c>
      <c r="BT5" s="27">
        <f t="shared" ca="1" si="124"/>
        <v>1.8168340090385968</v>
      </c>
      <c r="BU5" s="27">
        <f t="shared" ca="1" si="125"/>
        <v>9.1154518840301417</v>
      </c>
      <c r="BV5" s="27">
        <f t="shared" ca="1" si="126"/>
        <v>8.5242067134817372</v>
      </c>
      <c r="BW5" s="27">
        <f t="shared" ca="1" si="127"/>
        <v>1.9900140710561978</v>
      </c>
      <c r="BX5" s="27">
        <f t="shared" ca="1" si="128"/>
        <v>5.8650926543838944</v>
      </c>
      <c r="BY5" s="27">
        <f t="shared" ca="1" si="129"/>
        <v>5.2693873717586426</v>
      </c>
      <c r="BZ5" s="27">
        <f t="shared" ca="1" si="130"/>
        <v>10.476242189251884</v>
      </c>
      <c r="CA5" s="27">
        <f t="shared" ca="1" si="131"/>
        <v>5.2693873717586426</v>
      </c>
      <c r="CB5" s="27">
        <f t="shared" ca="1" si="132"/>
        <v>5.1918835558649405</v>
      </c>
      <c r="CC5" s="27">
        <f t="shared" ca="1" si="133"/>
        <v>10.407630157269832</v>
      </c>
      <c r="CD5" s="27">
        <f t="shared" ca="1" si="134"/>
        <v>5.1918835558649405</v>
      </c>
      <c r="CE5" s="27">
        <f t="shared" ca="1" si="135"/>
        <v>3.6115102551624965</v>
      </c>
    </row>
    <row r="6" spans="1:83" x14ac:dyDescent="0.25">
      <c r="A6" t="str">
        <f>Plantilla!D6</f>
        <v>Iván Real Figueroa</v>
      </c>
      <c r="B6">
        <f>Plantilla!E6</f>
        <v>27</v>
      </c>
      <c r="C6" s="25">
        <f ca="1">Plantilla!F6</f>
        <v>92</v>
      </c>
      <c r="D6" s="42">
        <f>Plantilla!G6</f>
        <v>0</v>
      </c>
      <c r="E6" s="23">
        <f>Plantilla!M6</f>
        <v>43410</v>
      </c>
      <c r="F6" s="37">
        <f>Plantilla!Q6</f>
        <v>6</v>
      </c>
      <c r="G6" s="38">
        <f t="shared" si="68"/>
        <v>0.92582009977255142</v>
      </c>
      <c r="H6" s="38">
        <f t="shared" si="69"/>
        <v>0.99928545900129484</v>
      </c>
      <c r="I6" s="104">
        <f ca="1">Plantilla!N6</f>
        <v>1</v>
      </c>
      <c r="J6" s="29">
        <f>Plantilla!I6</f>
        <v>7.5</v>
      </c>
      <c r="K6" s="36">
        <f>Plantilla!X6</f>
        <v>0</v>
      </c>
      <c r="L6" s="36">
        <f>Plantilla!Y6</f>
        <v>15.8125</v>
      </c>
      <c r="M6" s="36">
        <f>Plantilla!Z6</f>
        <v>5</v>
      </c>
      <c r="N6" s="36">
        <f>Plantilla!AA6</f>
        <v>8.75</v>
      </c>
      <c r="O6" s="36">
        <f>Plantilla!AB6</f>
        <v>9</v>
      </c>
      <c r="P6" s="36">
        <f>Plantilla!AC6</f>
        <v>1</v>
      </c>
      <c r="Q6" s="36">
        <f>Plantilla!AD6</f>
        <v>14.666666666666666</v>
      </c>
      <c r="R6" s="36">
        <f t="shared" si="70"/>
        <v>4.6015625</v>
      </c>
      <c r="S6" s="36">
        <f t="shared" si="71"/>
        <v>0.48999999999999994</v>
      </c>
      <c r="T6" s="36">
        <f t="shared" si="72"/>
        <v>1.0725</v>
      </c>
      <c r="U6" s="36">
        <f t="shared" ca="1" si="73"/>
        <v>15.584713971343836</v>
      </c>
      <c r="V6" s="36">
        <f t="shared" ca="1" si="74"/>
        <v>16.821386852677122</v>
      </c>
      <c r="W6" s="27">
        <f t="shared" ca="1" si="75"/>
        <v>6.2558213105879386</v>
      </c>
      <c r="X6" s="27">
        <f t="shared" ca="1" si="76"/>
        <v>9.5175846213849127</v>
      </c>
      <c r="Y6" s="27">
        <f t="shared" ca="1" si="77"/>
        <v>6.2558213105879386</v>
      </c>
      <c r="Z6" s="27">
        <f t="shared" ca="1" si="78"/>
        <v>9.2772921492134888</v>
      </c>
      <c r="AA6" s="27">
        <f t="shared" ca="1" si="79"/>
        <v>17.979248351188932</v>
      </c>
      <c r="AB6" s="27">
        <f t="shared" ca="1" si="80"/>
        <v>4.6386460746067444</v>
      </c>
      <c r="AC6" s="27">
        <f t="shared" ca="1" si="81"/>
        <v>1.7056861075829661</v>
      </c>
      <c r="AD6" s="27">
        <f t="shared" ca="1" si="82"/>
        <v>6.7961558767494168</v>
      </c>
      <c r="AE6" s="27">
        <f t="shared" ca="1" si="83"/>
        <v>12.998996557909598</v>
      </c>
      <c r="AF6" s="27">
        <f t="shared" ca="1" si="84"/>
        <v>3.3980779383747084</v>
      </c>
      <c r="AG6" s="27">
        <f t="shared" ca="1" si="85"/>
        <v>2.7591981152077394</v>
      </c>
      <c r="AH6" s="27">
        <f t="shared" ca="1" si="86"/>
        <v>16.540908483093819</v>
      </c>
      <c r="AI6" s="27">
        <f t="shared" ca="1" si="87"/>
        <v>7.4434088173922177</v>
      </c>
      <c r="AJ6" s="27">
        <f t="shared" ca="1" si="88"/>
        <v>1.1968469746485519</v>
      </c>
      <c r="AK6" s="27">
        <f t="shared" ca="1" si="89"/>
        <v>6.4190480304990931</v>
      </c>
      <c r="AL6" s="27">
        <f t="shared" ca="1" si="90"/>
        <v>13.556353256796456</v>
      </c>
      <c r="AM6" s="27">
        <f t="shared" ca="1" si="91"/>
        <v>12.729307832641764</v>
      </c>
      <c r="AN6" s="27">
        <f t="shared" ca="1" si="92"/>
        <v>2.8111803079818856</v>
      </c>
      <c r="AO6" s="27">
        <f t="shared" ca="1" si="93"/>
        <v>1.9492735251424127</v>
      </c>
      <c r="AP6" s="27">
        <f t="shared" ca="1" si="94"/>
        <v>4.8543970548210122</v>
      </c>
      <c r="AQ6" s="27">
        <f t="shared" ca="1" si="95"/>
        <v>10.679673520606226</v>
      </c>
      <c r="AR6" s="27">
        <f t="shared" ca="1" si="96"/>
        <v>2.4271985274105061</v>
      </c>
      <c r="AS6" s="27">
        <f t="shared" ca="1" si="97"/>
        <v>6.7654104435223523</v>
      </c>
      <c r="AT6" s="27">
        <f t="shared" ca="1" si="98"/>
        <v>1.4516772856545614</v>
      </c>
      <c r="AU6" s="27">
        <f t="shared" ca="1" si="99"/>
        <v>1.8878572668983575</v>
      </c>
      <c r="AV6" s="27">
        <f t="shared" ca="1" si="100"/>
        <v>0.72583864282728072</v>
      </c>
      <c r="AW6" s="27">
        <f t="shared" ca="1" si="101"/>
        <v>3.3980779383747084</v>
      </c>
      <c r="AX6" s="27">
        <f t="shared" ca="1" si="102"/>
        <v>7.1916993404755729</v>
      </c>
      <c r="AY6" s="27">
        <f t="shared" ca="1" si="103"/>
        <v>1.6990389691873542</v>
      </c>
      <c r="AZ6" s="27">
        <f t="shared" ca="1" si="104"/>
        <v>7.1667483511889332</v>
      </c>
      <c r="BA6" s="27">
        <f t="shared" ca="1" si="105"/>
        <v>2.8251873328508004</v>
      </c>
      <c r="BB6" s="27">
        <f t="shared" ca="1" si="106"/>
        <v>4.472878341505103</v>
      </c>
      <c r="BC6" s="27">
        <f t="shared" ca="1" si="107"/>
        <v>1.4125936664254002</v>
      </c>
      <c r="BD6" s="27">
        <f t="shared" ca="1" si="108"/>
        <v>5.2319612701959786</v>
      </c>
      <c r="BE6" s="27">
        <f t="shared" ca="1" si="109"/>
        <v>6.2567784262137476</v>
      </c>
      <c r="BF6" s="27">
        <f t="shared" ca="1" si="110"/>
        <v>6.3139052973974499</v>
      </c>
      <c r="BG6" s="27">
        <f t="shared" ca="1" si="111"/>
        <v>9.7837392842069626</v>
      </c>
      <c r="BH6" s="27">
        <f t="shared" ca="1" si="112"/>
        <v>2.6911863526365329</v>
      </c>
      <c r="BI6" s="27">
        <f t="shared" ca="1" si="113"/>
        <v>8.7199354503266324</v>
      </c>
      <c r="BJ6" s="27">
        <f t="shared" ca="1" si="114"/>
        <v>4.7465215647138788</v>
      </c>
      <c r="BK6" s="27">
        <f t="shared" ca="1" si="115"/>
        <v>2.7305311218029837</v>
      </c>
      <c r="BL6" s="27">
        <f t="shared" ca="1" si="116"/>
        <v>9.5914880589391291</v>
      </c>
      <c r="BM6" s="27">
        <f t="shared" ca="1" si="117"/>
        <v>0.58067091426182449</v>
      </c>
      <c r="BN6" s="27">
        <f t="shared" ca="1" si="118"/>
        <v>3.2362647032140077</v>
      </c>
      <c r="BO6" s="27">
        <f t="shared" ca="1" si="119"/>
        <v>1.2225888878808475</v>
      </c>
      <c r="BP6" s="27">
        <f t="shared" ca="1" si="120"/>
        <v>2.1858582471126247</v>
      </c>
      <c r="BQ6" s="27">
        <f t="shared" ca="1" si="121"/>
        <v>14.110438379628969</v>
      </c>
      <c r="BR6" s="27">
        <f t="shared" ca="1" si="122"/>
        <v>1.5075110274105061</v>
      </c>
      <c r="BS6" s="27">
        <f t="shared" ca="1" si="123"/>
        <v>5.1061065317376562</v>
      </c>
      <c r="BT6" s="27">
        <f t="shared" ca="1" si="124"/>
        <v>4.3869365976900996</v>
      </c>
      <c r="BU6" s="27">
        <f t="shared" ca="1" si="125"/>
        <v>4.5222182096002168</v>
      </c>
      <c r="BV6" s="27">
        <f t="shared" ca="1" si="126"/>
        <v>9.8187397743140945</v>
      </c>
      <c r="BW6" s="27">
        <f t="shared" ca="1" si="127"/>
        <v>1.6526787559759621</v>
      </c>
      <c r="BX6" s="27">
        <f t="shared" ca="1" si="128"/>
        <v>2.9096998305827069</v>
      </c>
      <c r="BY6" s="27">
        <f t="shared" ca="1" si="129"/>
        <v>4.7658758909694345</v>
      </c>
      <c r="BZ6" s="27">
        <f t="shared" ca="1" si="130"/>
        <v>7.9097586434387388</v>
      </c>
      <c r="CA6" s="27">
        <f t="shared" ca="1" si="131"/>
        <v>4.7658758909694345</v>
      </c>
      <c r="CB6" s="27">
        <f t="shared" ca="1" si="132"/>
        <v>4.8216342227907063</v>
      </c>
      <c r="CC6" s="27">
        <f t="shared" ca="1" si="133"/>
        <v>7.2872784927776495</v>
      </c>
      <c r="CD6" s="27">
        <f t="shared" ca="1" si="134"/>
        <v>4.8216342227907063</v>
      </c>
      <c r="CE6" s="27">
        <f t="shared" ca="1" si="135"/>
        <v>1.7916870877972333</v>
      </c>
    </row>
    <row r="7" spans="1:83" x14ac:dyDescent="0.25">
      <c r="A7" t="str">
        <f>Plantilla!D7</f>
        <v>Berto Abandero</v>
      </c>
      <c r="B7">
        <f>Plantilla!E7</f>
        <v>28</v>
      </c>
      <c r="C7" s="25">
        <f ca="1">Plantilla!F7</f>
        <v>30</v>
      </c>
      <c r="D7" s="42">
        <f>Plantilla!G7</f>
        <v>0</v>
      </c>
      <c r="E7" s="23">
        <f>Plantilla!M7</f>
        <v>43383</v>
      </c>
      <c r="F7" s="37">
        <f>Plantilla!Q7</f>
        <v>6</v>
      </c>
      <c r="G7" s="38">
        <f t="shared" si="68"/>
        <v>0.92582009977255142</v>
      </c>
      <c r="H7" s="38">
        <f t="shared" si="69"/>
        <v>0.99928545900129484</v>
      </c>
      <c r="I7" s="104">
        <f ca="1">Plantilla!N7</f>
        <v>1</v>
      </c>
      <c r="J7" s="29">
        <f>Plantilla!I7</f>
        <v>7.6</v>
      </c>
      <c r="K7" s="36">
        <f>Plantilla!X7</f>
        <v>0</v>
      </c>
      <c r="L7" s="36">
        <f>Plantilla!Y7</f>
        <v>14.6875</v>
      </c>
      <c r="M7" s="36">
        <f>Plantilla!Z7</f>
        <v>3.25</v>
      </c>
      <c r="N7" s="36">
        <f>Plantilla!AA7</f>
        <v>9</v>
      </c>
      <c r="O7" s="36">
        <f>Plantilla!AB7</f>
        <v>12</v>
      </c>
      <c r="P7" s="36">
        <f>Plantilla!AC7</f>
        <v>4</v>
      </c>
      <c r="Q7" s="36">
        <f>Plantilla!AD7</f>
        <v>15.333333333333334</v>
      </c>
      <c r="R7" s="36">
        <f t="shared" si="70"/>
        <v>5.2109375</v>
      </c>
      <c r="S7" s="36">
        <f t="shared" si="71"/>
        <v>0.65999999999999992</v>
      </c>
      <c r="T7" s="36">
        <f t="shared" si="72"/>
        <v>1.0474999999999999</v>
      </c>
      <c r="U7" s="36">
        <f t="shared" ca="1" si="73"/>
        <v>16.20902820013357</v>
      </c>
      <c r="V7" s="36">
        <f t="shared" ca="1" si="74"/>
        <v>17.495241450163672</v>
      </c>
      <c r="W7" s="27">
        <f t="shared" ca="1" si="75"/>
        <v>5.9520170214148411</v>
      </c>
      <c r="X7" s="27">
        <f t="shared" ca="1" si="76"/>
        <v>9.0493612968460013</v>
      </c>
      <c r="Y7" s="27">
        <f t="shared" ca="1" si="77"/>
        <v>5.9520170214148411</v>
      </c>
      <c r="Z7" s="27">
        <f t="shared" ca="1" si="78"/>
        <v>8.7007497514891838</v>
      </c>
      <c r="AA7" s="27">
        <f t="shared" ca="1" si="79"/>
        <v>16.861918123041054</v>
      </c>
      <c r="AB7" s="27">
        <f t="shared" ca="1" si="80"/>
        <v>4.3503748757445919</v>
      </c>
      <c r="AC7" s="27">
        <f t="shared" ca="1" si="81"/>
        <v>1.291011513283771</v>
      </c>
      <c r="AD7" s="27">
        <f t="shared" ca="1" si="82"/>
        <v>6.3738050505095183</v>
      </c>
      <c r="AE7" s="27">
        <f t="shared" ca="1" si="83"/>
        <v>12.191166802958682</v>
      </c>
      <c r="AF7" s="27">
        <f t="shared" ca="1" si="84"/>
        <v>3.1869025252547591</v>
      </c>
      <c r="AG7" s="27">
        <f t="shared" ca="1" si="85"/>
        <v>2.0884009773708061</v>
      </c>
      <c r="AH7" s="27">
        <f t="shared" ca="1" si="86"/>
        <v>15.51296467319777</v>
      </c>
      <c r="AI7" s="27">
        <f t="shared" ca="1" si="87"/>
        <v>6.9808341029389958</v>
      </c>
      <c r="AJ7" s="27">
        <f t="shared" ca="1" si="88"/>
        <v>0.9058778265478562</v>
      </c>
      <c r="AK7" s="27">
        <f t="shared" ca="1" si="89"/>
        <v>6.5705578563481408</v>
      </c>
      <c r="AL7" s="27">
        <f t="shared" ca="1" si="90"/>
        <v>12.713886264772954</v>
      </c>
      <c r="AM7" s="27">
        <f t="shared" ca="1" si="91"/>
        <v>11.938238031113066</v>
      </c>
      <c r="AN7" s="27">
        <f t="shared" ca="1" si="92"/>
        <v>2.9237944932145234</v>
      </c>
      <c r="AO7" s="27">
        <f t="shared" ca="1" si="93"/>
        <v>2.1269824194358238</v>
      </c>
      <c r="AP7" s="27">
        <f t="shared" ca="1" si="94"/>
        <v>4.552717893221085</v>
      </c>
      <c r="AQ7" s="27">
        <f t="shared" ca="1" si="95"/>
        <v>10.015979365086386</v>
      </c>
      <c r="AR7" s="27">
        <f t="shared" ca="1" si="96"/>
        <v>2.2763589466105425</v>
      </c>
      <c r="AS7" s="27">
        <f t="shared" ca="1" si="97"/>
        <v>5.1206507081507553</v>
      </c>
      <c r="AT7" s="27">
        <f t="shared" ca="1" si="98"/>
        <v>1.8426743559953374</v>
      </c>
      <c r="AU7" s="27">
        <f t="shared" ca="1" si="99"/>
        <v>2.769104510051029</v>
      </c>
      <c r="AV7" s="27">
        <f t="shared" ca="1" si="100"/>
        <v>0.92133717799766868</v>
      </c>
      <c r="AW7" s="27">
        <f t="shared" ca="1" si="101"/>
        <v>3.1869025252547591</v>
      </c>
      <c r="AX7" s="27">
        <f t="shared" ca="1" si="102"/>
        <v>6.7447672492164221</v>
      </c>
      <c r="AY7" s="27">
        <f t="shared" ca="1" si="103"/>
        <v>1.5934512626273796</v>
      </c>
      <c r="AZ7" s="27">
        <f t="shared" ca="1" si="104"/>
        <v>5.4244181230410549</v>
      </c>
      <c r="BA7" s="27">
        <f t="shared" ca="1" si="105"/>
        <v>3.5861277851293871</v>
      </c>
      <c r="BB7" s="27">
        <f t="shared" ca="1" si="106"/>
        <v>6.1301043857956223</v>
      </c>
      <c r="BC7" s="27">
        <f t="shared" ca="1" si="107"/>
        <v>1.7930638925646936</v>
      </c>
      <c r="BD7" s="27">
        <f t="shared" ca="1" si="108"/>
        <v>4.9068181738049468</v>
      </c>
      <c r="BE7" s="27">
        <f t="shared" ca="1" si="109"/>
        <v>5.867947506818286</v>
      </c>
      <c r="BF7" s="27">
        <f t="shared" ca="1" si="110"/>
        <v>4.7789123663991697</v>
      </c>
      <c r="BG7" s="27">
        <f t="shared" ca="1" si="111"/>
        <v>10.879057711383499</v>
      </c>
      <c r="BH7" s="27">
        <f t="shared" ca="1" si="112"/>
        <v>3.4160347676528944</v>
      </c>
      <c r="BI7" s="27">
        <f t="shared" ca="1" si="113"/>
        <v>8.1780302896749113</v>
      </c>
      <c r="BJ7" s="27">
        <f t="shared" ca="1" si="114"/>
        <v>4.4515463844828389</v>
      </c>
      <c r="BK7" s="27">
        <f t="shared" ca="1" si="115"/>
        <v>2.0667033048786418</v>
      </c>
      <c r="BL7" s="27">
        <f t="shared" ca="1" si="116"/>
        <v>10.369441439537884</v>
      </c>
      <c r="BM7" s="27">
        <f t="shared" ca="1" si="117"/>
        <v>0.73706974239813483</v>
      </c>
      <c r="BN7" s="27">
        <f t="shared" ca="1" si="118"/>
        <v>3.0351452621473896</v>
      </c>
      <c r="BO7" s="27">
        <f t="shared" ca="1" si="119"/>
        <v>1.1466104323667918</v>
      </c>
      <c r="BP7" s="27">
        <f t="shared" ca="1" si="120"/>
        <v>1.6544475275275217</v>
      </c>
      <c r="BQ7" s="27">
        <f t="shared" ca="1" si="121"/>
        <v>15.228301706230798</v>
      </c>
      <c r="BR7" s="27">
        <f t="shared" ca="1" si="122"/>
        <v>1.9135464466105427</v>
      </c>
      <c r="BS7" s="27">
        <f t="shared" ca="1" si="123"/>
        <v>4.7887847469436586</v>
      </c>
      <c r="BT7" s="27">
        <f t="shared" ca="1" si="124"/>
        <v>4.1143080220220174</v>
      </c>
      <c r="BU7" s="27">
        <f t="shared" ca="1" si="125"/>
        <v>3.4228078356389058</v>
      </c>
      <c r="BV7" s="27">
        <f t="shared" ca="1" si="126"/>
        <v>10.580104220121743</v>
      </c>
      <c r="BW7" s="27">
        <f t="shared" ca="1" si="127"/>
        <v>2.097813882210076</v>
      </c>
      <c r="BX7" s="27">
        <f t="shared" ca="1" si="128"/>
        <v>2.2023137579546685</v>
      </c>
      <c r="BY7" s="27">
        <f t="shared" ca="1" si="129"/>
        <v>5.9368718421043898</v>
      </c>
      <c r="BZ7" s="27">
        <f t="shared" ca="1" si="130"/>
        <v>11.296394806544228</v>
      </c>
      <c r="CA7" s="27">
        <f t="shared" ca="1" si="131"/>
        <v>5.9368718421043898</v>
      </c>
      <c r="CB7" s="27">
        <f t="shared" ca="1" si="132"/>
        <v>6.0876624906545773</v>
      </c>
      <c r="CC7" s="27">
        <f t="shared" ca="1" si="133"/>
        <v>11.404778410443203</v>
      </c>
      <c r="CD7" s="27">
        <f t="shared" ca="1" si="134"/>
        <v>6.0876624906545773</v>
      </c>
      <c r="CE7" s="27">
        <f t="shared" ca="1" si="135"/>
        <v>1.3561045307602637</v>
      </c>
    </row>
    <row r="8" spans="1:83" x14ac:dyDescent="0.25">
      <c r="A8" t="str">
        <f>Plantilla!D8</f>
        <v>Guillermo Pedrajas</v>
      </c>
      <c r="B8">
        <f>Plantilla!E8</f>
        <v>28</v>
      </c>
      <c r="C8" s="25">
        <f ca="1">Plantilla!F8</f>
        <v>15</v>
      </c>
      <c r="D8" s="42">
        <f>Plantilla!G8</f>
        <v>0</v>
      </c>
      <c r="E8" s="23">
        <f>Plantilla!M8</f>
        <v>43419</v>
      </c>
      <c r="F8" s="37">
        <f>Plantilla!Q8</f>
        <v>6</v>
      </c>
      <c r="G8" s="38">
        <f t="shared" si="68"/>
        <v>0.92582009977255142</v>
      </c>
      <c r="H8" s="38">
        <f t="shared" si="69"/>
        <v>0.99928545900129484</v>
      </c>
      <c r="I8" s="104">
        <f ca="1">Plantilla!N8</f>
        <v>1</v>
      </c>
      <c r="J8" s="29">
        <f>Plantilla!I8</f>
        <v>8.3000000000000007</v>
      </c>
      <c r="K8" s="36">
        <f>Plantilla!X8</f>
        <v>0</v>
      </c>
      <c r="L8" s="36">
        <f>Plantilla!Y8</f>
        <v>13</v>
      </c>
      <c r="M8" s="36">
        <f>Plantilla!Z8</f>
        <v>11.444444444444445</v>
      </c>
      <c r="N8" s="36">
        <f>Plantilla!AA8</f>
        <v>4.5999999999999996</v>
      </c>
      <c r="O8" s="36">
        <f>Plantilla!AB8</f>
        <v>11.142857142857142</v>
      </c>
      <c r="P8" s="36">
        <f>Plantilla!AC8</f>
        <v>4</v>
      </c>
      <c r="Q8" s="36">
        <f>Plantilla!AD8</f>
        <v>15</v>
      </c>
      <c r="R8" s="36">
        <f t="shared" si="70"/>
        <v>4.7857142857142856</v>
      </c>
      <c r="S8" s="36">
        <f t="shared" si="71"/>
        <v>0.65</v>
      </c>
      <c r="T8" s="36">
        <f t="shared" si="72"/>
        <v>0.97</v>
      </c>
      <c r="U8" s="36">
        <f t="shared" ca="1" si="73"/>
        <v>15.947656224604</v>
      </c>
      <c r="V8" s="36">
        <f t="shared" ca="1" si="74"/>
        <v>17.213129175218128</v>
      </c>
      <c r="W8" s="27">
        <f t="shared" ca="1" si="75"/>
        <v>5.53080689952575</v>
      </c>
      <c r="X8" s="27">
        <f t="shared" ca="1" si="76"/>
        <v>8.3980397563433478</v>
      </c>
      <c r="Y8" s="27">
        <f t="shared" ca="1" si="77"/>
        <v>5.53080689952575</v>
      </c>
      <c r="Z8" s="27">
        <f t="shared" ca="1" si="78"/>
        <v>7.8563257275547391</v>
      </c>
      <c r="AA8" s="27">
        <f t="shared" ca="1" si="79"/>
        <v>15.225437456501432</v>
      </c>
      <c r="AB8" s="27">
        <f t="shared" ca="1" si="80"/>
        <v>3.9281628637773696</v>
      </c>
      <c r="AC8" s="27">
        <f t="shared" ca="1" si="81"/>
        <v>3.2534318924251182</v>
      </c>
      <c r="AD8" s="27">
        <f t="shared" ca="1" si="82"/>
        <v>5.7552153585575416</v>
      </c>
      <c r="AE8" s="27">
        <f t="shared" ca="1" si="83"/>
        <v>11.007991281050534</v>
      </c>
      <c r="AF8" s="27">
        <f t="shared" ca="1" si="84"/>
        <v>2.8776076792787708</v>
      </c>
      <c r="AG8" s="27">
        <f t="shared" ca="1" si="85"/>
        <v>5.2629045318641623</v>
      </c>
      <c r="AH8" s="27">
        <f t="shared" ca="1" si="86"/>
        <v>14.007402459981318</v>
      </c>
      <c r="AI8" s="27">
        <f t="shared" ca="1" si="87"/>
        <v>6.3033311069915925</v>
      </c>
      <c r="AJ8" s="27">
        <f t="shared" ca="1" si="88"/>
        <v>2.2828702774579614</v>
      </c>
      <c r="AK8" s="27">
        <f t="shared" ca="1" si="89"/>
        <v>4.0133572244228413</v>
      </c>
      <c r="AL8" s="27">
        <f t="shared" ca="1" si="90"/>
        <v>11.479979842202079</v>
      </c>
      <c r="AM8" s="27">
        <f t="shared" ca="1" si="91"/>
        <v>10.779609719203012</v>
      </c>
      <c r="AN8" s="27">
        <f t="shared" ca="1" si="92"/>
        <v>2.8766480552357394</v>
      </c>
      <c r="AO8" s="27">
        <f t="shared" ca="1" si="93"/>
        <v>2.0192117017581266</v>
      </c>
      <c r="AP8" s="27">
        <f t="shared" ca="1" si="94"/>
        <v>4.1108681132553873</v>
      </c>
      <c r="AQ8" s="27">
        <f t="shared" ca="1" si="95"/>
        <v>9.0439098491618495</v>
      </c>
      <c r="AR8" s="27">
        <f t="shared" ca="1" si="96"/>
        <v>2.0554340566276936</v>
      </c>
      <c r="AS8" s="27">
        <f t="shared" ca="1" si="97"/>
        <v>12.904368514492907</v>
      </c>
      <c r="AT8" s="27">
        <f t="shared" ca="1" si="98"/>
        <v>1.7378782979166147</v>
      </c>
      <c r="AU8" s="27">
        <f t="shared" ca="1" si="99"/>
        <v>2.6811960318977763</v>
      </c>
      <c r="AV8" s="27">
        <f t="shared" ca="1" si="100"/>
        <v>0.86893914895830737</v>
      </c>
      <c r="AW8" s="27">
        <f t="shared" ca="1" si="101"/>
        <v>2.8776076792787708</v>
      </c>
      <c r="AX8" s="27">
        <f t="shared" ca="1" si="102"/>
        <v>6.0901749826005727</v>
      </c>
      <c r="AY8" s="27">
        <f t="shared" ca="1" si="103"/>
        <v>1.4388038396393854</v>
      </c>
      <c r="AZ8" s="27">
        <f t="shared" ca="1" si="104"/>
        <v>13.669881900945876</v>
      </c>
      <c r="BA8" s="27">
        <f t="shared" ca="1" si="105"/>
        <v>3.3821785336377195</v>
      </c>
      <c r="BB8" s="27">
        <f t="shared" ca="1" si="106"/>
        <v>5.8659303242465741</v>
      </c>
      <c r="BC8" s="27">
        <f t="shared" ca="1" si="107"/>
        <v>1.6910892668188597</v>
      </c>
      <c r="BD8" s="27">
        <f t="shared" ca="1" si="108"/>
        <v>4.4306022998419161</v>
      </c>
      <c r="BE8" s="27">
        <f t="shared" ca="1" si="109"/>
        <v>5.2984522348624976</v>
      </c>
      <c r="BF8" s="27">
        <f t="shared" ca="1" si="110"/>
        <v>12.043165954733317</v>
      </c>
      <c r="BG8" s="27">
        <f t="shared" ca="1" si="111"/>
        <v>8.1288138988297725</v>
      </c>
      <c r="BH8" s="27">
        <f t="shared" ca="1" si="112"/>
        <v>3.221758998445416</v>
      </c>
      <c r="BI8" s="27">
        <f t="shared" ca="1" si="113"/>
        <v>7.3843371664031938</v>
      </c>
      <c r="BJ8" s="27">
        <f t="shared" ca="1" si="114"/>
        <v>4.0195154885163777</v>
      </c>
      <c r="BK8" s="27">
        <f t="shared" ca="1" si="115"/>
        <v>5.2082250042603793</v>
      </c>
      <c r="BL8" s="27">
        <f t="shared" ca="1" si="116"/>
        <v>7.2805466226965372</v>
      </c>
      <c r="BM8" s="27">
        <f t="shared" ca="1" si="117"/>
        <v>0.69515131916664585</v>
      </c>
      <c r="BN8" s="27">
        <f t="shared" ca="1" si="118"/>
        <v>2.7405787421702574</v>
      </c>
      <c r="BO8" s="27">
        <f t="shared" ca="1" si="119"/>
        <v>1.0353297470420975</v>
      </c>
      <c r="BP8" s="27">
        <f t="shared" ca="1" si="120"/>
        <v>4.1693139797884919</v>
      </c>
      <c r="BQ8" s="27">
        <f t="shared" ca="1" si="121"/>
        <v>10.648769711917982</v>
      </c>
      <c r="BR8" s="27">
        <f t="shared" ca="1" si="122"/>
        <v>1.8047197709134075</v>
      </c>
      <c r="BS8" s="27">
        <f t="shared" ca="1" si="123"/>
        <v>4.3240242376464062</v>
      </c>
      <c r="BT8" s="27">
        <f t="shared" ca="1" si="124"/>
        <v>3.7150067393863493</v>
      </c>
      <c r="BU8" s="27">
        <f t="shared" ca="1" si="125"/>
        <v>8.6256954794968479</v>
      </c>
      <c r="BV8" s="27">
        <f t="shared" ca="1" si="126"/>
        <v>7.3715379521402102</v>
      </c>
      <c r="BW8" s="27">
        <f t="shared" ca="1" si="127"/>
        <v>1.9785076007050688</v>
      </c>
      <c r="BX8" s="27">
        <f t="shared" ca="1" si="128"/>
        <v>5.5499720517840263</v>
      </c>
      <c r="BY8" s="27">
        <f t="shared" ca="1" si="129"/>
        <v>5.1155672005515314</v>
      </c>
      <c r="BZ8" s="27">
        <f t="shared" ca="1" si="130"/>
        <v>10.88841400459204</v>
      </c>
      <c r="CA8" s="27">
        <f t="shared" ca="1" si="131"/>
        <v>5.1155672005515314</v>
      </c>
      <c r="CB8" s="27">
        <f t="shared" ca="1" si="132"/>
        <v>5.0253332496861063</v>
      </c>
      <c r="CC8" s="27">
        <f t="shared" ca="1" si="133"/>
        <v>11.158338163664745</v>
      </c>
      <c r="CD8" s="27">
        <f t="shared" ca="1" si="134"/>
        <v>5.0253332496861063</v>
      </c>
      <c r="CE8" s="27">
        <f t="shared" ca="1" si="135"/>
        <v>3.4174704752364691</v>
      </c>
    </row>
    <row r="9" spans="1:83" x14ac:dyDescent="0.25">
      <c r="A9" t="str">
        <f>Plantilla!D9</f>
        <v>Venanci Oset</v>
      </c>
      <c r="B9">
        <f>Plantilla!E9</f>
        <v>28</v>
      </c>
      <c r="C9" s="25">
        <f ca="1">Plantilla!F9</f>
        <v>58</v>
      </c>
      <c r="D9" s="42">
        <f>Plantilla!G9</f>
        <v>0</v>
      </c>
      <c r="E9" s="23">
        <f>Plantilla!M9</f>
        <v>43706</v>
      </c>
      <c r="F9" s="37">
        <f>Plantilla!Q9</f>
        <v>5</v>
      </c>
      <c r="G9" s="38">
        <f t="shared" si="68"/>
        <v>0.84515425472851657</v>
      </c>
      <c r="H9" s="38">
        <f t="shared" si="69"/>
        <v>0.92504826128926143</v>
      </c>
      <c r="I9" s="104">
        <f ca="1">Plantilla!N9</f>
        <v>1</v>
      </c>
      <c r="J9" s="29">
        <f>Plantilla!I9</f>
        <v>7.6</v>
      </c>
      <c r="K9" s="36">
        <f>Plantilla!X9</f>
        <v>0</v>
      </c>
      <c r="L9" s="36">
        <f>Plantilla!Y9</f>
        <v>14.6875</v>
      </c>
      <c r="M9" s="36">
        <f>Plantilla!Z9</f>
        <v>5.125</v>
      </c>
      <c r="N9" s="36">
        <f>Plantilla!AA9</f>
        <v>3</v>
      </c>
      <c r="O9" s="36">
        <f>Plantilla!AB9</f>
        <v>12.222222222222221</v>
      </c>
      <c r="P9" s="36">
        <f>Plantilla!AC9</f>
        <v>6</v>
      </c>
      <c r="Q9" s="36">
        <f>Plantilla!AD9</f>
        <v>14</v>
      </c>
      <c r="R9" s="36">
        <f t="shared" si="70"/>
        <v>5.2664930555555554</v>
      </c>
      <c r="S9" s="36">
        <f t="shared" si="71"/>
        <v>0.72</v>
      </c>
      <c r="T9" s="36">
        <f t="shared" si="72"/>
        <v>1.0074999999999998</v>
      </c>
      <c r="U9" s="36">
        <f t="shared" ca="1" si="73"/>
        <v>13.669878294446175</v>
      </c>
      <c r="V9" s="36">
        <f t="shared" ca="1" si="74"/>
        <v>14.962117362084646</v>
      </c>
      <c r="W9" s="27">
        <f t="shared" ca="1" si="75"/>
        <v>5.9520170214148411</v>
      </c>
      <c r="X9" s="27">
        <f t="shared" ca="1" si="76"/>
        <v>9.0493612968460013</v>
      </c>
      <c r="Y9" s="27">
        <f t="shared" ca="1" si="77"/>
        <v>5.9520170214148411</v>
      </c>
      <c r="Z9" s="27">
        <f t="shared" ca="1" si="78"/>
        <v>8.7007497514891838</v>
      </c>
      <c r="AA9" s="27">
        <f t="shared" ca="1" si="79"/>
        <v>16.861918123041054</v>
      </c>
      <c r="AB9" s="27">
        <f t="shared" ca="1" si="80"/>
        <v>4.3503748757445919</v>
      </c>
      <c r="AC9" s="27">
        <f t="shared" ca="1" si="81"/>
        <v>1.737261513283771</v>
      </c>
      <c r="AD9" s="27">
        <f t="shared" ca="1" si="82"/>
        <v>6.3738050505095183</v>
      </c>
      <c r="AE9" s="27">
        <f t="shared" ca="1" si="83"/>
        <v>12.191166802958682</v>
      </c>
      <c r="AF9" s="27">
        <f t="shared" ca="1" si="84"/>
        <v>3.1869025252547591</v>
      </c>
      <c r="AG9" s="27">
        <f t="shared" ca="1" si="85"/>
        <v>2.8102759773708064</v>
      </c>
      <c r="AH9" s="27">
        <f t="shared" ca="1" si="86"/>
        <v>15.51296467319777</v>
      </c>
      <c r="AI9" s="27">
        <f t="shared" ca="1" si="87"/>
        <v>6.9808341029389958</v>
      </c>
      <c r="AJ9" s="27">
        <f t="shared" ca="1" si="88"/>
        <v>1.2190028265478563</v>
      </c>
      <c r="AK9" s="27">
        <f t="shared" ca="1" si="89"/>
        <v>3.0425578563481399</v>
      </c>
      <c r="AL9" s="27">
        <f t="shared" ca="1" si="90"/>
        <v>12.713886264772954</v>
      </c>
      <c r="AM9" s="27">
        <f t="shared" ca="1" si="91"/>
        <v>11.938238031113066</v>
      </c>
      <c r="AN9" s="27">
        <f t="shared" ca="1" si="92"/>
        <v>2.701127826547856</v>
      </c>
      <c r="AO9" s="27">
        <f t="shared" ca="1" si="93"/>
        <v>2.1429824194358238</v>
      </c>
      <c r="AP9" s="27">
        <f t="shared" ca="1" si="94"/>
        <v>4.552717893221085</v>
      </c>
      <c r="AQ9" s="27">
        <f t="shared" ca="1" si="95"/>
        <v>10.015979365086386</v>
      </c>
      <c r="AR9" s="27">
        <f t="shared" ca="1" si="96"/>
        <v>2.2763589466105425</v>
      </c>
      <c r="AS9" s="27">
        <f t="shared" ca="1" si="97"/>
        <v>6.8906507081507558</v>
      </c>
      <c r="AT9" s="27">
        <f t="shared" ca="1" si="98"/>
        <v>1.8715632448842261</v>
      </c>
      <c r="AU9" s="27">
        <f t="shared" ca="1" si="99"/>
        <v>3.1417711767176959</v>
      </c>
      <c r="AV9" s="27">
        <f t="shared" ca="1" si="100"/>
        <v>0.93578162244211305</v>
      </c>
      <c r="AW9" s="27">
        <f t="shared" ca="1" si="101"/>
        <v>3.1869025252547591</v>
      </c>
      <c r="AX9" s="27">
        <f t="shared" ca="1" si="102"/>
        <v>6.7447672492164221</v>
      </c>
      <c r="AY9" s="27">
        <f t="shared" ca="1" si="103"/>
        <v>1.5934512626273796</v>
      </c>
      <c r="AZ9" s="27">
        <f t="shared" ca="1" si="104"/>
        <v>7.2994181230410549</v>
      </c>
      <c r="BA9" s="27">
        <f t="shared" ca="1" si="105"/>
        <v>3.6423500073516091</v>
      </c>
      <c r="BB9" s="27">
        <f t="shared" ca="1" si="106"/>
        <v>6.6258821635733991</v>
      </c>
      <c r="BC9" s="27">
        <f t="shared" ca="1" si="107"/>
        <v>1.8211750036758045</v>
      </c>
      <c r="BD9" s="27">
        <f t="shared" ca="1" si="108"/>
        <v>4.9068181738049468</v>
      </c>
      <c r="BE9" s="27">
        <f t="shared" ca="1" si="109"/>
        <v>5.867947506818286</v>
      </c>
      <c r="BF9" s="27">
        <f t="shared" ca="1" si="110"/>
        <v>6.4307873663991693</v>
      </c>
      <c r="BG9" s="27">
        <f t="shared" ca="1" si="111"/>
        <v>7.5050577113834969</v>
      </c>
      <c r="BH9" s="27">
        <f t="shared" ca="1" si="112"/>
        <v>3.4695903232084495</v>
      </c>
      <c r="BI9" s="27">
        <f t="shared" ca="1" si="113"/>
        <v>8.1780302896749113</v>
      </c>
      <c r="BJ9" s="27">
        <f t="shared" ca="1" si="114"/>
        <v>4.4515463844828389</v>
      </c>
      <c r="BK9" s="27">
        <f t="shared" ca="1" si="115"/>
        <v>2.7810783048786418</v>
      </c>
      <c r="BL9" s="27">
        <f t="shared" ca="1" si="116"/>
        <v>6.3761081062045495</v>
      </c>
      <c r="BM9" s="27">
        <f t="shared" ca="1" si="117"/>
        <v>0.74862529795369037</v>
      </c>
      <c r="BN9" s="27">
        <f t="shared" ca="1" si="118"/>
        <v>3.0351452621473896</v>
      </c>
      <c r="BO9" s="27">
        <f t="shared" ca="1" si="119"/>
        <v>1.1466104323667918</v>
      </c>
      <c r="BP9" s="27">
        <f t="shared" ca="1" si="120"/>
        <v>2.2263225275275218</v>
      </c>
      <c r="BQ9" s="27">
        <f t="shared" ca="1" si="121"/>
        <v>9.2918572617863511</v>
      </c>
      <c r="BR9" s="27">
        <f t="shared" ca="1" si="122"/>
        <v>1.9435464466105425</v>
      </c>
      <c r="BS9" s="27">
        <f t="shared" ca="1" si="123"/>
        <v>4.7887847469436586</v>
      </c>
      <c r="BT9" s="27">
        <f t="shared" ca="1" si="124"/>
        <v>4.1143080220220174</v>
      </c>
      <c r="BU9" s="27">
        <f t="shared" ca="1" si="125"/>
        <v>4.6059328356389058</v>
      </c>
      <c r="BV9" s="27">
        <f t="shared" ca="1" si="126"/>
        <v>6.4109931090106329</v>
      </c>
      <c r="BW9" s="27">
        <f t="shared" ca="1" si="127"/>
        <v>2.130702771098965</v>
      </c>
      <c r="BX9" s="27">
        <f t="shared" ca="1" si="128"/>
        <v>2.9635637579546685</v>
      </c>
      <c r="BY9" s="27">
        <f t="shared" ca="1" si="129"/>
        <v>5.3824273976599457</v>
      </c>
      <c r="BZ9" s="27">
        <f t="shared" ca="1" si="130"/>
        <v>12.583061473210895</v>
      </c>
      <c r="CA9" s="27">
        <f t="shared" ca="1" si="131"/>
        <v>5.3824273976599457</v>
      </c>
      <c r="CB9" s="27">
        <f t="shared" ca="1" si="132"/>
        <v>5.3132180462101326</v>
      </c>
      <c r="CC9" s="27">
        <f t="shared" ca="1" si="133"/>
        <v>13.486778410443204</v>
      </c>
      <c r="CD9" s="27">
        <f t="shared" ca="1" si="134"/>
        <v>5.3132180462101326</v>
      </c>
      <c r="CE9" s="27">
        <f t="shared" ca="1" si="135"/>
        <v>1.8248545307602637</v>
      </c>
    </row>
    <row r="10" spans="1:83" x14ac:dyDescent="0.25">
      <c r="A10" t="str">
        <f>Plantilla!D10</f>
        <v>Francesc Añigas</v>
      </c>
      <c r="B10">
        <f>Plantilla!E10</f>
        <v>27</v>
      </c>
      <c r="C10" s="25">
        <f ca="1">Plantilla!F10</f>
        <v>107</v>
      </c>
      <c r="D10" s="42" t="str">
        <f>Plantilla!G10</f>
        <v>IMP</v>
      </c>
      <c r="E10" s="23">
        <f>Plantilla!M10</f>
        <v>43137</v>
      </c>
      <c r="F10" s="37">
        <f>Plantilla!Q10</f>
        <v>5</v>
      </c>
      <c r="G10" s="38">
        <f t="shared" si="68"/>
        <v>0.84515425472851657</v>
      </c>
      <c r="H10" s="38">
        <f t="shared" si="69"/>
        <v>0.92504826128926143</v>
      </c>
      <c r="I10" s="104">
        <f ca="1">Plantilla!N10</f>
        <v>1</v>
      </c>
      <c r="J10" s="29">
        <f>Plantilla!I10</f>
        <v>9.3000000000000007</v>
      </c>
      <c r="K10" s="36">
        <f>Plantilla!X10</f>
        <v>0</v>
      </c>
      <c r="L10" s="36">
        <f>Plantilla!Y10</f>
        <v>14.1875</v>
      </c>
      <c r="M10" s="36">
        <f>Plantilla!Z10</f>
        <v>4.25</v>
      </c>
      <c r="N10" s="36">
        <f>Plantilla!AA10</f>
        <v>13.733333333333333</v>
      </c>
      <c r="O10" s="36">
        <f>Plantilla!AB10</f>
        <v>8.1999999999999993</v>
      </c>
      <c r="P10" s="36">
        <f>Plantilla!AC10</f>
        <v>7</v>
      </c>
      <c r="Q10" s="36">
        <f>Plantilla!AD10</f>
        <v>15.333333333333334</v>
      </c>
      <c r="R10" s="36">
        <f t="shared" si="70"/>
        <v>4.1984374999999998</v>
      </c>
      <c r="S10" s="36">
        <f t="shared" si="71"/>
        <v>0.80999999999999994</v>
      </c>
      <c r="T10" s="36">
        <f t="shared" si="72"/>
        <v>1.0275000000000001</v>
      </c>
      <c r="U10" s="36">
        <f t="shared" ca="1" si="73"/>
        <v>14.895542806702275</v>
      </c>
      <c r="V10" s="36">
        <f t="shared" ca="1" si="74"/>
        <v>16.303646224588757</v>
      </c>
      <c r="W10" s="27">
        <f t="shared" ca="1" si="75"/>
        <v>5.9160641521167801</v>
      </c>
      <c r="X10" s="27">
        <f t="shared" ca="1" si="76"/>
        <v>8.9877694821108403</v>
      </c>
      <c r="Y10" s="27">
        <f t="shared" ca="1" si="77"/>
        <v>5.9160641521167801</v>
      </c>
      <c r="Z10" s="27">
        <f t="shared" ca="1" si="78"/>
        <v>8.5030662686051066</v>
      </c>
      <c r="AA10" s="27">
        <f t="shared" ca="1" si="79"/>
        <v>16.478810598071913</v>
      </c>
      <c r="AB10" s="27">
        <f t="shared" ca="1" si="80"/>
        <v>4.2515331343025533</v>
      </c>
      <c r="AC10" s="27">
        <f t="shared" ca="1" si="81"/>
        <v>1.5568319223411153</v>
      </c>
      <c r="AD10" s="27">
        <f t="shared" ca="1" si="82"/>
        <v>6.2289904060711834</v>
      </c>
      <c r="AE10" s="27">
        <f t="shared" ca="1" si="83"/>
        <v>11.914180062405993</v>
      </c>
      <c r="AF10" s="27">
        <f t="shared" ca="1" si="84"/>
        <v>3.1144952030355917</v>
      </c>
      <c r="AG10" s="27">
        <f t="shared" ca="1" si="85"/>
        <v>2.5184045802576867</v>
      </c>
      <c r="AH10" s="27">
        <f t="shared" ca="1" si="86"/>
        <v>15.160505750226161</v>
      </c>
      <c r="AI10" s="27">
        <f t="shared" ca="1" si="87"/>
        <v>6.8222275876017715</v>
      </c>
      <c r="AJ10" s="27">
        <f t="shared" ca="1" si="88"/>
        <v>1.0923988698780096</v>
      </c>
      <c r="AK10" s="27">
        <f t="shared" ca="1" si="89"/>
        <v>9.4224906316662853</v>
      </c>
      <c r="AL10" s="27">
        <f t="shared" ca="1" si="90"/>
        <v>12.425023190946222</v>
      </c>
      <c r="AM10" s="27">
        <f t="shared" ca="1" si="91"/>
        <v>11.666997903434915</v>
      </c>
      <c r="AN10" s="27">
        <f t="shared" ca="1" si="92"/>
        <v>2.9433155365446768</v>
      </c>
      <c r="AO10" s="27">
        <f t="shared" ca="1" si="93"/>
        <v>1.8690474522447109</v>
      </c>
      <c r="AP10" s="27">
        <f t="shared" ca="1" si="94"/>
        <v>4.4492788614794172</v>
      </c>
      <c r="AQ10" s="27">
        <f t="shared" ca="1" si="95"/>
        <v>9.7884134952547157</v>
      </c>
      <c r="AR10" s="27">
        <f t="shared" ca="1" si="96"/>
        <v>2.2246394307397086</v>
      </c>
      <c r="AS10" s="27">
        <f t="shared" ca="1" si="97"/>
        <v>6.1749972045798858</v>
      </c>
      <c r="AT10" s="27">
        <f t="shared" ca="1" si="98"/>
        <v>1.3638703777493486</v>
      </c>
      <c r="AU10" s="27">
        <f t="shared" ca="1" si="99"/>
        <v>2.8663540052350704</v>
      </c>
      <c r="AV10" s="27">
        <f t="shared" ca="1" si="100"/>
        <v>0.6819351888746743</v>
      </c>
      <c r="AW10" s="27">
        <f t="shared" ca="1" si="101"/>
        <v>3.1144952030355917</v>
      </c>
      <c r="AX10" s="27">
        <f t="shared" ca="1" si="102"/>
        <v>6.5915242392287654</v>
      </c>
      <c r="AY10" s="27">
        <f t="shared" ca="1" si="103"/>
        <v>1.5572476015177958</v>
      </c>
      <c r="AZ10" s="27">
        <f t="shared" ca="1" si="104"/>
        <v>6.5413105980719131</v>
      </c>
      <c r="BA10" s="27">
        <f t="shared" ca="1" si="105"/>
        <v>2.6543015813121937</v>
      </c>
      <c r="BB10" s="27">
        <f t="shared" ca="1" si="106"/>
        <v>5.5287121395376237</v>
      </c>
      <c r="BC10" s="27">
        <f t="shared" ca="1" si="107"/>
        <v>1.3271507906560969</v>
      </c>
      <c r="BD10" s="27">
        <f t="shared" ca="1" si="108"/>
        <v>4.7953338840389268</v>
      </c>
      <c r="BE10" s="27">
        <f t="shared" ca="1" si="109"/>
        <v>5.7346260881290254</v>
      </c>
      <c r="BF10" s="27">
        <f t="shared" ca="1" si="110"/>
        <v>5.7628946369013558</v>
      </c>
      <c r="BG10" s="27">
        <f t="shared" ca="1" si="111"/>
        <v>12.502908455019263</v>
      </c>
      <c r="BH10" s="27">
        <f t="shared" ca="1" si="112"/>
        <v>2.5284058541353307</v>
      </c>
      <c r="BI10" s="27">
        <f t="shared" ca="1" si="113"/>
        <v>7.992223140064878</v>
      </c>
      <c r="BJ10" s="27">
        <f t="shared" ca="1" si="114"/>
        <v>4.3504059978909853</v>
      </c>
      <c r="BK10" s="27">
        <f t="shared" ca="1" si="115"/>
        <v>2.4922393378653989</v>
      </c>
      <c r="BL10" s="27">
        <f t="shared" ca="1" si="116"/>
        <v>12.893338796048186</v>
      </c>
      <c r="BM10" s="27">
        <f t="shared" ca="1" si="117"/>
        <v>0.54554815109973942</v>
      </c>
      <c r="BN10" s="27">
        <f t="shared" ca="1" si="118"/>
        <v>2.9661859076529442</v>
      </c>
      <c r="BO10" s="27">
        <f t="shared" ca="1" si="119"/>
        <v>1.1205591206688901</v>
      </c>
      <c r="BP10" s="27">
        <f t="shared" ca="1" si="120"/>
        <v>1.9950997324119335</v>
      </c>
      <c r="BQ10" s="27">
        <f t="shared" ca="1" si="121"/>
        <v>19.025158762453813</v>
      </c>
      <c r="BR10" s="27">
        <f t="shared" ca="1" si="122"/>
        <v>1.4163269307397082</v>
      </c>
      <c r="BS10" s="27">
        <f t="shared" ca="1" si="123"/>
        <v>4.6799822098524233</v>
      </c>
      <c r="BT10" s="27">
        <f t="shared" ca="1" si="124"/>
        <v>4.0208297859295463</v>
      </c>
      <c r="BU10" s="27">
        <f t="shared" ca="1" si="125"/>
        <v>4.1275669873833776</v>
      </c>
      <c r="BV10" s="27">
        <f t="shared" ca="1" si="126"/>
        <v>13.274122985274362</v>
      </c>
      <c r="BW10" s="27">
        <f t="shared" ca="1" si="127"/>
        <v>1.5527139685146429</v>
      </c>
      <c r="BX10" s="27">
        <f t="shared" ca="1" si="128"/>
        <v>2.6557721028171968</v>
      </c>
      <c r="BY10" s="27">
        <f t="shared" ca="1" si="129"/>
        <v>6.1103728215954671</v>
      </c>
      <c r="BZ10" s="27">
        <f t="shared" ca="1" si="130"/>
        <v>11.113615733428974</v>
      </c>
      <c r="CA10" s="27">
        <f t="shared" ca="1" si="131"/>
        <v>6.1103728215954671</v>
      </c>
      <c r="CB10" s="27">
        <f t="shared" ca="1" si="132"/>
        <v>7.446953169265468</v>
      </c>
      <c r="CC10" s="27">
        <f t="shared" ca="1" si="133"/>
        <v>13.162604208760449</v>
      </c>
      <c r="CD10" s="27">
        <f t="shared" ca="1" si="134"/>
        <v>7.446953169265468</v>
      </c>
      <c r="CE10" s="27">
        <f t="shared" ca="1" si="135"/>
        <v>1.6353276495179783</v>
      </c>
    </row>
    <row r="11" spans="1:83" x14ac:dyDescent="0.25">
      <c r="A11" t="str">
        <f>Plantilla!D11</f>
        <v>Will Duffill</v>
      </c>
      <c r="B11">
        <f>Plantilla!E11</f>
        <v>27</v>
      </c>
      <c r="C11" s="25">
        <f ca="1">Plantilla!F11</f>
        <v>68</v>
      </c>
      <c r="D11" s="42" t="str">
        <f>Plantilla!G11</f>
        <v>RAP</v>
      </c>
      <c r="E11" s="23">
        <f>Plantilla!M11</f>
        <v>43122</v>
      </c>
      <c r="F11" s="37">
        <f>Plantilla!Q11</f>
        <v>6</v>
      </c>
      <c r="G11" s="38">
        <f t="shared" si="68"/>
        <v>0.92582009977255142</v>
      </c>
      <c r="H11" s="38">
        <f t="shared" si="69"/>
        <v>0.99928545900129484</v>
      </c>
      <c r="I11" s="104">
        <f ca="1">Plantilla!N11</f>
        <v>1</v>
      </c>
      <c r="J11" s="29">
        <f>Plantilla!I11</f>
        <v>9.3000000000000007</v>
      </c>
      <c r="K11" s="36">
        <f>Plantilla!X11</f>
        <v>0</v>
      </c>
      <c r="L11" s="36">
        <f>Plantilla!Y11</f>
        <v>13.692307692307692</v>
      </c>
      <c r="M11" s="36">
        <f>Plantilla!Z11</f>
        <v>4.25</v>
      </c>
      <c r="N11" s="36">
        <f>Plantilla!AA11</f>
        <v>14.625</v>
      </c>
      <c r="O11" s="36">
        <f>Plantilla!AB11</f>
        <v>10</v>
      </c>
      <c r="P11" s="36">
        <f>Plantilla!AC11</f>
        <v>7</v>
      </c>
      <c r="Q11" s="36">
        <f>Plantilla!AD11</f>
        <v>16</v>
      </c>
      <c r="R11" s="36">
        <f t="shared" si="70"/>
        <v>4.5865384615384617</v>
      </c>
      <c r="S11" s="36">
        <f t="shared" si="71"/>
        <v>0.83000000000000007</v>
      </c>
      <c r="T11" s="36">
        <f t="shared" si="72"/>
        <v>1.0276923076923077</v>
      </c>
      <c r="U11" s="36">
        <f t="shared" ca="1" si="73"/>
        <v>16.934463002877667</v>
      </c>
      <c r="V11" s="36">
        <f t="shared" ca="1" si="74"/>
        <v>18.278240706729541</v>
      </c>
      <c r="W11" s="27">
        <f t="shared" ca="1" si="75"/>
        <v>5.7793910751937041</v>
      </c>
      <c r="X11" s="27">
        <f t="shared" ca="1" si="76"/>
        <v>8.7773127513416078</v>
      </c>
      <c r="Y11" s="27">
        <f t="shared" ca="1" si="77"/>
        <v>5.7793910751937041</v>
      </c>
      <c r="Z11" s="27">
        <f t="shared" ca="1" si="78"/>
        <v>8.2475470378358757</v>
      </c>
      <c r="AA11" s="27">
        <f t="shared" ca="1" si="79"/>
        <v>15.983618290379605</v>
      </c>
      <c r="AB11" s="27">
        <f t="shared" ca="1" si="80"/>
        <v>4.1237735189179379</v>
      </c>
      <c r="AC11" s="27">
        <f t="shared" ca="1" si="81"/>
        <v>1.5568319223411153</v>
      </c>
      <c r="AD11" s="27">
        <f t="shared" ca="1" si="82"/>
        <v>6.0418077137634905</v>
      </c>
      <c r="AE11" s="27">
        <f t="shared" ca="1" si="83"/>
        <v>11.556156023944453</v>
      </c>
      <c r="AF11" s="27">
        <f t="shared" ca="1" si="84"/>
        <v>3.0209038568817452</v>
      </c>
      <c r="AG11" s="27">
        <f t="shared" ca="1" si="85"/>
        <v>2.5184045802576867</v>
      </c>
      <c r="AH11" s="27">
        <f t="shared" ca="1" si="86"/>
        <v>14.704928827149237</v>
      </c>
      <c r="AI11" s="27">
        <f t="shared" ca="1" si="87"/>
        <v>6.6172179722171558</v>
      </c>
      <c r="AJ11" s="27">
        <f t="shared" ca="1" si="88"/>
        <v>1.0923988698780096</v>
      </c>
      <c r="AK11" s="27">
        <f t="shared" ca="1" si="89"/>
        <v>9.9467906316662837</v>
      </c>
      <c r="AL11" s="27">
        <f t="shared" ca="1" si="90"/>
        <v>12.051648190946223</v>
      </c>
      <c r="AM11" s="27">
        <f t="shared" ca="1" si="91"/>
        <v>11.31640174958876</v>
      </c>
      <c r="AN11" s="27">
        <f t="shared" ca="1" si="92"/>
        <v>3.0546488698780099</v>
      </c>
      <c r="AO11" s="27">
        <f t="shared" ca="1" si="93"/>
        <v>1.9808205291677878</v>
      </c>
      <c r="AP11" s="27">
        <f t="shared" ca="1" si="94"/>
        <v>4.3155769384024936</v>
      </c>
      <c r="AQ11" s="27">
        <f t="shared" ca="1" si="95"/>
        <v>9.4942692644854851</v>
      </c>
      <c r="AR11" s="27">
        <f t="shared" ca="1" si="96"/>
        <v>2.1577884692012468</v>
      </c>
      <c r="AS11" s="27">
        <f t="shared" ca="1" si="97"/>
        <v>6.1749972045798858</v>
      </c>
      <c r="AT11" s="27">
        <f t="shared" ca="1" si="98"/>
        <v>1.5978703777493488</v>
      </c>
      <c r="AU11" s="27">
        <f t="shared" ca="1" si="99"/>
        <v>3.0823540052350702</v>
      </c>
      <c r="AV11" s="27">
        <f t="shared" ca="1" si="100"/>
        <v>0.79893518887467441</v>
      </c>
      <c r="AW11" s="27">
        <f t="shared" ca="1" si="101"/>
        <v>3.0209038568817452</v>
      </c>
      <c r="AX11" s="27">
        <f t="shared" ca="1" si="102"/>
        <v>6.3934473161518426</v>
      </c>
      <c r="AY11" s="27">
        <f t="shared" ca="1" si="103"/>
        <v>1.5104519284408726</v>
      </c>
      <c r="AZ11" s="27">
        <f t="shared" ca="1" si="104"/>
        <v>6.5413105980719131</v>
      </c>
      <c r="BA11" s="27">
        <f t="shared" ca="1" si="105"/>
        <v>3.1097015813121942</v>
      </c>
      <c r="BB11" s="27">
        <f t="shared" ca="1" si="106"/>
        <v>6.1425121395376241</v>
      </c>
      <c r="BC11" s="27">
        <f t="shared" ca="1" si="107"/>
        <v>1.5548507906560971</v>
      </c>
      <c r="BD11" s="27">
        <f t="shared" ca="1" si="108"/>
        <v>4.6512329225004647</v>
      </c>
      <c r="BE11" s="27">
        <f t="shared" ca="1" si="109"/>
        <v>5.5622991650521021</v>
      </c>
      <c r="BF11" s="27">
        <f t="shared" ca="1" si="110"/>
        <v>5.7628946369013558</v>
      </c>
      <c r="BG11" s="27">
        <f t="shared" ca="1" si="111"/>
        <v>13.581725121685931</v>
      </c>
      <c r="BH11" s="27">
        <f t="shared" ca="1" si="112"/>
        <v>2.9622058541353309</v>
      </c>
      <c r="BI11" s="27">
        <f t="shared" ca="1" si="113"/>
        <v>7.7520548708341082</v>
      </c>
      <c r="BJ11" s="27">
        <f t="shared" ca="1" si="114"/>
        <v>4.2196752286602157</v>
      </c>
      <c r="BK11" s="27">
        <f t="shared" ca="1" si="115"/>
        <v>2.4922393378653989</v>
      </c>
      <c r="BL11" s="27">
        <f t="shared" ca="1" si="116"/>
        <v>13.855230462714854</v>
      </c>
      <c r="BM11" s="27">
        <f t="shared" ca="1" si="117"/>
        <v>0.63914815109973944</v>
      </c>
      <c r="BN11" s="27">
        <f t="shared" ca="1" si="118"/>
        <v>2.8770512922683289</v>
      </c>
      <c r="BO11" s="27">
        <f t="shared" ca="1" si="119"/>
        <v>1.0868860437458132</v>
      </c>
      <c r="BP11" s="27">
        <f t="shared" ca="1" si="120"/>
        <v>1.9950997324119335</v>
      </c>
      <c r="BQ11" s="27">
        <f t="shared" ca="1" si="121"/>
        <v>20.43162542912048</v>
      </c>
      <c r="BR11" s="27">
        <f t="shared" ca="1" si="122"/>
        <v>1.6593269307397083</v>
      </c>
      <c r="BS11" s="27">
        <f t="shared" ca="1" si="123"/>
        <v>4.5393475944678077</v>
      </c>
      <c r="BT11" s="27">
        <f t="shared" ca="1" si="124"/>
        <v>3.9000028628526233</v>
      </c>
      <c r="BU11" s="27">
        <f t="shared" ca="1" si="125"/>
        <v>4.1275669873833776</v>
      </c>
      <c r="BV11" s="27">
        <f t="shared" ca="1" si="126"/>
        <v>14.247472985274362</v>
      </c>
      <c r="BW11" s="27">
        <f t="shared" ca="1" si="127"/>
        <v>1.8191139685146431</v>
      </c>
      <c r="BX11" s="27">
        <f t="shared" ca="1" si="128"/>
        <v>2.6557721028171968</v>
      </c>
      <c r="BY11" s="27">
        <f t="shared" ca="1" si="129"/>
        <v>6.6887728215954674</v>
      </c>
      <c r="BZ11" s="27">
        <f t="shared" ca="1" si="130"/>
        <v>12.091015733428975</v>
      </c>
      <c r="CA11" s="27">
        <f t="shared" ca="1" si="131"/>
        <v>6.6887728215954674</v>
      </c>
      <c r="CB11" s="27">
        <f t="shared" ca="1" si="132"/>
        <v>7.8996115025988018</v>
      </c>
      <c r="CC11" s="27">
        <f t="shared" ca="1" si="133"/>
        <v>13.82680420876045</v>
      </c>
      <c r="CD11" s="27">
        <f t="shared" ca="1" si="134"/>
        <v>7.8996115025988018</v>
      </c>
      <c r="CE11" s="27">
        <f t="shared" ca="1" si="135"/>
        <v>1.6353276495179783</v>
      </c>
    </row>
    <row r="12" spans="1:83" x14ac:dyDescent="0.25">
      <c r="A12" t="str">
        <f>Plantilla!D12</f>
        <v>Valeri Gomis</v>
      </c>
      <c r="B12">
        <f>Plantilla!E12</f>
        <v>27</v>
      </c>
      <c r="C12" s="25">
        <f ca="1">Plantilla!F12</f>
        <v>107</v>
      </c>
      <c r="D12" s="42" t="str">
        <f>Plantilla!G12</f>
        <v>IMP</v>
      </c>
      <c r="E12" s="23">
        <f>Plantilla!M12</f>
        <v>43051</v>
      </c>
      <c r="F12" s="37">
        <f>Plantilla!Q12</f>
        <v>6</v>
      </c>
      <c r="G12" s="38">
        <f t="shared" si="68"/>
        <v>0.92582009977255142</v>
      </c>
      <c r="H12" s="38">
        <f t="shared" si="69"/>
        <v>0.99928545900129484</v>
      </c>
      <c r="I12" s="104">
        <f ca="1">Plantilla!N12</f>
        <v>1</v>
      </c>
      <c r="J12" s="29">
        <f>Plantilla!I12</f>
        <v>8.6</v>
      </c>
      <c r="K12" s="36">
        <f>Plantilla!X12</f>
        <v>0</v>
      </c>
      <c r="L12" s="36">
        <f>Plantilla!Y12</f>
        <v>13.133333333333333</v>
      </c>
      <c r="M12" s="36">
        <f>Plantilla!Z12</f>
        <v>4.25</v>
      </c>
      <c r="N12" s="36">
        <f>Plantilla!AA12</f>
        <v>13</v>
      </c>
      <c r="O12" s="36">
        <f>Plantilla!AB12</f>
        <v>9.1666666666666661</v>
      </c>
      <c r="P12" s="36">
        <f>Plantilla!AC12</f>
        <v>7.25</v>
      </c>
      <c r="Q12" s="36">
        <f>Plantilla!AD12</f>
        <v>16</v>
      </c>
      <c r="R12" s="36">
        <f t="shared" si="70"/>
        <v>4.3083333333333336</v>
      </c>
      <c r="S12" s="36">
        <f t="shared" si="71"/>
        <v>0.84250000000000003</v>
      </c>
      <c r="T12" s="36">
        <f t="shared" si="72"/>
        <v>1.0053333333333334</v>
      </c>
      <c r="U12" s="36">
        <f t="shared" ca="1" si="73"/>
        <v>16.892511628623527</v>
      </c>
      <c r="V12" s="36">
        <f t="shared" ca="1" si="74"/>
        <v>18.232960421404581</v>
      </c>
      <c r="W12" s="27">
        <f t="shared" ca="1" si="75"/>
        <v>5.585556197247513</v>
      </c>
      <c r="X12" s="27">
        <f t="shared" ca="1" si="76"/>
        <v>8.4812500007405944</v>
      </c>
      <c r="Y12" s="27">
        <f t="shared" ca="1" si="77"/>
        <v>5.585556197247513</v>
      </c>
      <c r="Z12" s="27">
        <f t="shared" ca="1" si="78"/>
        <v>7.9357349344555743</v>
      </c>
      <c r="AA12" s="27">
        <f t="shared" ca="1" si="79"/>
        <v>15.379331268324757</v>
      </c>
      <c r="AB12" s="27">
        <f t="shared" ca="1" si="80"/>
        <v>3.9678674672277872</v>
      </c>
      <c r="AC12" s="27">
        <f t="shared" ca="1" si="81"/>
        <v>1.5460475085279588</v>
      </c>
      <c r="AD12" s="27">
        <f t="shared" ca="1" si="82"/>
        <v>5.8133872194267582</v>
      </c>
      <c r="AE12" s="27">
        <f t="shared" ca="1" si="83"/>
        <v>11.119256506998799</v>
      </c>
      <c r="AF12" s="27">
        <f t="shared" ca="1" si="84"/>
        <v>2.9066936097133791</v>
      </c>
      <c r="AG12" s="27">
        <f t="shared" ca="1" si="85"/>
        <v>2.5009592049716982</v>
      </c>
      <c r="AH12" s="27">
        <f t="shared" ca="1" si="86"/>
        <v>14.148984766858776</v>
      </c>
      <c r="AI12" s="27">
        <f t="shared" ca="1" si="87"/>
        <v>6.3670431450864493</v>
      </c>
      <c r="AJ12" s="27">
        <f t="shared" ca="1" si="88"/>
        <v>1.0848316551435679</v>
      </c>
      <c r="AK12" s="27">
        <f t="shared" ca="1" si="89"/>
        <v>8.9646467857749563</v>
      </c>
      <c r="AL12" s="27">
        <f t="shared" ca="1" si="90"/>
        <v>11.596015776316866</v>
      </c>
      <c r="AM12" s="27">
        <f t="shared" ca="1" si="91"/>
        <v>10.888566537973928</v>
      </c>
      <c r="AN12" s="27">
        <f t="shared" ca="1" si="92"/>
        <v>3.0470816551435678</v>
      </c>
      <c r="AO12" s="27">
        <f t="shared" ca="1" si="93"/>
        <v>1.8876474052775301</v>
      </c>
      <c r="AP12" s="27">
        <f t="shared" ca="1" si="94"/>
        <v>4.1524194424476848</v>
      </c>
      <c r="AQ12" s="27">
        <f t="shared" ca="1" si="95"/>
        <v>9.1353227733849049</v>
      </c>
      <c r="AR12" s="27">
        <f t="shared" ca="1" si="96"/>
        <v>2.0762097212238424</v>
      </c>
      <c r="AS12" s="27">
        <f t="shared" ca="1" si="97"/>
        <v>6.1322220506319036</v>
      </c>
      <c r="AT12" s="27">
        <f t="shared" ca="1" si="98"/>
        <v>1.4836463982155517</v>
      </c>
      <c r="AU12" s="27">
        <f t="shared" ca="1" si="99"/>
        <v>3.0123273949524867</v>
      </c>
      <c r="AV12" s="27">
        <f t="shared" ca="1" si="100"/>
        <v>0.74182319910777583</v>
      </c>
      <c r="AW12" s="27">
        <f t="shared" ca="1" si="101"/>
        <v>2.9066936097133791</v>
      </c>
      <c r="AX12" s="27">
        <f t="shared" ca="1" si="102"/>
        <v>6.1517325073299034</v>
      </c>
      <c r="AY12" s="27">
        <f t="shared" ca="1" si="103"/>
        <v>1.4533468048566895</v>
      </c>
      <c r="AZ12" s="27">
        <f t="shared" ca="1" si="104"/>
        <v>6.4959979349914239</v>
      </c>
      <c r="BA12" s="27">
        <f t="shared" ca="1" si="105"/>
        <v>2.8874041442194969</v>
      </c>
      <c r="BB12" s="27">
        <f t="shared" ca="1" si="106"/>
        <v>5.8858781955136079</v>
      </c>
      <c r="BC12" s="27">
        <f t="shared" ca="1" si="107"/>
        <v>1.4437020721097484</v>
      </c>
      <c r="BD12" s="27">
        <f t="shared" ca="1" si="108"/>
        <v>4.4753853990825041</v>
      </c>
      <c r="BE12" s="27">
        <f t="shared" ca="1" si="109"/>
        <v>5.3520072813770145</v>
      </c>
      <c r="BF12" s="27">
        <f t="shared" ca="1" si="110"/>
        <v>5.7229741807274443</v>
      </c>
      <c r="BG12" s="27">
        <f t="shared" ca="1" si="111"/>
        <v>12.346192164207373</v>
      </c>
      <c r="BH12" s="27">
        <f t="shared" ca="1" si="112"/>
        <v>2.7504521689995998</v>
      </c>
      <c r="BI12" s="27">
        <f t="shared" ca="1" si="113"/>
        <v>7.4589756651375065</v>
      </c>
      <c r="BJ12" s="27">
        <f t="shared" ca="1" si="114"/>
        <v>4.0601434548377355</v>
      </c>
      <c r="BK12" s="27">
        <f t="shared" ca="1" si="115"/>
        <v>2.4749752132317324</v>
      </c>
      <c r="BL12" s="27">
        <f t="shared" ca="1" si="116"/>
        <v>12.554502195182504</v>
      </c>
      <c r="BM12" s="27">
        <f t="shared" ca="1" si="117"/>
        <v>0.5934585592862206</v>
      </c>
      <c r="BN12" s="27">
        <f t="shared" ca="1" si="118"/>
        <v>2.7682796282984561</v>
      </c>
      <c r="BO12" s="27">
        <f t="shared" ca="1" si="119"/>
        <v>1.0457945262460835</v>
      </c>
      <c r="BP12" s="27">
        <f t="shared" ca="1" si="120"/>
        <v>1.9812793701723843</v>
      </c>
      <c r="BQ12" s="27">
        <f t="shared" ca="1" si="121"/>
        <v>18.510020011065638</v>
      </c>
      <c r="BR12" s="27">
        <f t="shared" ca="1" si="122"/>
        <v>1.5407097212238423</v>
      </c>
      <c r="BS12" s="27">
        <f t="shared" ca="1" si="123"/>
        <v>4.3677300802042307</v>
      </c>
      <c r="BT12" s="27">
        <f t="shared" ca="1" si="124"/>
        <v>3.7525568294712404</v>
      </c>
      <c r="BU12" s="27">
        <f t="shared" ca="1" si="125"/>
        <v>4.0989746969795888</v>
      </c>
      <c r="BV12" s="27">
        <f t="shared" ca="1" si="126"/>
        <v>12.90533481848399</v>
      </c>
      <c r="BW12" s="27">
        <f t="shared" ca="1" si="127"/>
        <v>1.6890743610453973</v>
      </c>
      <c r="BX12" s="27">
        <f t="shared" ca="1" si="128"/>
        <v>2.6373751616065184</v>
      </c>
      <c r="BY12" s="27">
        <f t="shared" ca="1" si="129"/>
        <v>6.2545815907971978</v>
      </c>
      <c r="BZ12" s="27">
        <f t="shared" ca="1" si="130"/>
        <v>11.733243674800343</v>
      </c>
      <c r="CA12" s="27">
        <f t="shared" ca="1" si="131"/>
        <v>6.2545815907971978</v>
      </c>
      <c r="CB12" s="27">
        <f t="shared" ca="1" si="132"/>
        <v>7.4589233801663237</v>
      </c>
      <c r="CC12" s="27">
        <f t="shared" ca="1" si="133"/>
        <v>13.70727117300326</v>
      </c>
      <c r="CD12" s="27">
        <f t="shared" ca="1" si="134"/>
        <v>7.4589233801663237</v>
      </c>
      <c r="CE12" s="27">
        <f t="shared" ca="1" si="135"/>
        <v>1.623999483747856</v>
      </c>
    </row>
    <row r="13" spans="1:83" x14ac:dyDescent="0.25">
      <c r="A13" t="str">
        <f>Plantilla!D13</f>
        <v>Enrique Cubas</v>
      </c>
      <c r="B13">
        <f>Plantilla!E13</f>
        <v>27</v>
      </c>
      <c r="C13" s="25">
        <f ca="1">Plantilla!F13</f>
        <v>103</v>
      </c>
      <c r="D13" s="42" t="str">
        <f>Plantilla!G13</f>
        <v>RAP</v>
      </c>
      <c r="E13" s="23">
        <f>Plantilla!M13</f>
        <v>43046</v>
      </c>
      <c r="F13" s="37">
        <f>Plantilla!Q13</f>
        <v>5</v>
      </c>
      <c r="G13" s="38">
        <f t="shared" si="68"/>
        <v>0.84515425472851657</v>
      </c>
      <c r="H13" s="38">
        <f t="shared" si="69"/>
        <v>0.92504826128926143</v>
      </c>
      <c r="I13" s="104">
        <f>Plantilla!N13</f>
        <v>1.5</v>
      </c>
      <c r="J13" s="29">
        <f>Plantilla!I13</f>
        <v>9.6</v>
      </c>
      <c r="K13" s="36">
        <f>Plantilla!X13</f>
        <v>0</v>
      </c>
      <c r="L13" s="36">
        <f>Plantilla!Y13</f>
        <v>12.333333333333334</v>
      </c>
      <c r="M13" s="36">
        <f>Plantilla!Z13</f>
        <v>6.2</v>
      </c>
      <c r="N13" s="36">
        <f>Plantilla!AA13</f>
        <v>15.555555555555555</v>
      </c>
      <c r="O13" s="36">
        <f>Plantilla!AB13</f>
        <v>9.5</v>
      </c>
      <c r="P13" s="36">
        <f>Plantilla!AC13</f>
        <v>7.8</v>
      </c>
      <c r="Q13" s="36">
        <f>Plantilla!AD13</f>
        <v>16.666666666666668</v>
      </c>
      <c r="R13" s="36">
        <f t="shared" si="70"/>
        <v>4.291666666666667</v>
      </c>
      <c r="S13" s="36">
        <f t="shared" si="71"/>
        <v>0.89</v>
      </c>
      <c r="T13" s="36">
        <f t="shared" si="72"/>
        <v>0.9933333333333334</v>
      </c>
      <c r="U13" s="36">
        <f t="shared" si="73"/>
        <v>16.460529910102476</v>
      </c>
      <c r="V13" s="36">
        <f t="shared" si="74"/>
        <v>18.016574475071867</v>
      </c>
      <c r="W13" s="27">
        <f t="shared" si="75"/>
        <v>5.8568637152580587</v>
      </c>
      <c r="X13" s="27">
        <f t="shared" si="76"/>
        <v>8.8689828824721104</v>
      </c>
      <c r="Y13" s="27">
        <f t="shared" si="77"/>
        <v>5.8568637152580587</v>
      </c>
      <c r="Z13" s="27">
        <f t="shared" si="78"/>
        <v>7.8138026083312235</v>
      </c>
      <c r="AA13" s="27">
        <f t="shared" si="79"/>
        <v>15.143028310719425</v>
      </c>
      <c r="AB13" s="27">
        <f t="shared" si="80"/>
        <v>3.9069013041656118</v>
      </c>
      <c r="AC13" s="27">
        <f t="shared" si="81"/>
        <v>2.1443074046178898</v>
      </c>
      <c r="AD13" s="27">
        <f t="shared" si="82"/>
        <v>5.7240647014519421</v>
      </c>
      <c r="AE13" s="27">
        <f t="shared" si="83"/>
        <v>10.948409468650144</v>
      </c>
      <c r="AF13" s="27">
        <f t="shared" si="84"/>
        <v>2.8620323507259711</v>
      </c>
      <c r="AG13" s="27">
        <f t="shared" si="85"/>
        <v>3.4687325662936455</v>
      </c>
      <c r="AH13" s="27">
        <f t="shared" si="86"/>
        <v>13.931586045861872</v>
      </c>
      <c r="AI13" s="27">
        <f t="shared" si="87"/>
        <v>6.2692137206378415</v>
      </c>
      <c r="AJ13" s="27">
        <f t="shared" si="88"/>
        <v>1.5046190612234773</v>
      </c>
      <c r="AK13" s="27">
        <f t="shared" si="89"/>
        <v>10.798767313369689</v>
      </c>
      <c r="AL13" s="27">
        <f t="shared" si="90"/>
        <v>11.417843346282446</v>
      </c>
      <c r="AM13" s="27">
        <f t="shared" si="91"/>
        <v>10.721264043989352</v>
      </c>
      <c r="AN13" s="27">
        <f t="shared" si="92"/>
        <v>3.2525523945568109</v>
      </c>
      <c r="AO13" s="27">
        <f t="shared" si="93"/>
        <v>2.0451921534871942</v>
      </c>
      <c r="AP13" s="27">
        <f t="shared" si="94"/>
        <v>4.0886176438942448</v>
      </c>
      <c r="AQ13" s="27">
        <f t="shared" si="95"/>
        <v>8.9949588165673386</v>
      </c>
      <c r="AR13" s="27">
        <f t="shared" si="96"/>
        <v>2.0443088219471224</v>
      </c>
      <c r="AS13" s="27">
        <f t="shared" si="97"/>
        <v>8.5051520586524703</v>
      </c>
      <c r="AT13" s="27">
        <f t="shared" si="98"/>
        <v>1.6002603470601919</v>
      </c>
      <c r="AU13" s="27">
        <f t="shared" si="99"/>
        <v>3.3126406283741243</v>
      </c>
      <c r="AV13" s="27">
        <f t="shared" si="100"/>
        <v>0.80013017353009597</v>
      </c>
      <c r="AW13" s="27">
        <f t="shared" si="101"/>
        <v>2.8620323507259711</v>
      </c>
      <c r="AX13" s="27">
        <f t="shared" si="102"/>
        <v>6.0572113242877705</v>
      </c>
      <c r="AY13" s="27">
        <f t="shared" si="103"/>
        <v>1.4310161753629855</v>
      </c>
      <c r="AZ13" s="27">
        <f t="shared" si="104"/>
        <v>9.0096949773860917</v>
      </c>
      <c r="BA13" s="27">
        <f t="shared" si="105"/>
        <v>3.1143528292786811</v>
      </c>
      <c r="BB13" s="27">
        <f t="shared" si="106"/>
        <v>6.4256419325397367</v>
      </c>
      <c r="BC13" s="27">
        <f t="shared" si="107"/>
        <v>1.5571764146393405</v>
      </c>
      <c r="BD13" s="27">
        <f t="shared" si="108"/>
        <v>4.4066212384193522</v>
      </c>
      <c r="BE13" s="27">
        <f t="shared" si="109"/>
        <v>5.269773852130359</v>
      </c>
      <c r="BF13" s="27">
        <f t="shared" si="110"/>
        <v>7.9375412750771472</v>
      </c>
      <c r="BG13" s="27">
        <f t="shared" si="111"/>
        <v>14.419207723785123</v>
      </c>
      <c r="BH13" s="27">
        <f t="shared" si="112"/>
        <v>2.9666364895500479</v>
      </c>
      <c r="BI13" s="27">
        <f t="shared" si="113"/>
        <v>7.3443687306989212</v>
      </c>
      <c r="BJ13" s="27">
        <f t="shared" si="114"/>
        <v>3.9977594740299285</v>
      </c>
      <c r="BK13" s="27">
        <f t="shared" si="115"/>
        <v>3.4326937863841009</v>
      </c>
      <c r="BL13" s="27">
        <f t="shared" si="116"/>
        <v>14.834062299124335</v>
      </c>
      <c r="BM13" s="27">
        <f t="shared" si="117"/>
        <v>0.64010413882407668</v>
      </c>
      <c r="BN13" s="27">
        <f t="shared" si="118"/>
        <v>2.7257450959294962</v>
      </c>
      <c r="BO13" s="27">
        <f t="shared" si="119"/>
        <v>1.029725925128921</v>
      </c>
      <c r="BP13" s="27">
        <f t="shared" si="120"/>
        <v>2.7479569681027578</v>
      </c>
      <c r="BQ13" s="27">
        <f t="shared" si="121"/>
        <v>21.885823296474069</v>
      </c>
      <c r="BR13" s="27">
        <f t="shared" si="122"/>
        <v>1.6618088219471223</v>
      </c>
      <c r="BS13" s="27">
        <f t="shared" si="123"/>
        <v>4.3006200402443158</v>
      </c>
      <c r="BT13" s="27">
        <f t="shared" si="124"/>
        <v>3.6948989078155394</v>
      </c>
      <c r="BU13" s="27">
        <f t="shared" si="125"/>
        <v>5.6851175307306239</v>
      </c>
      <c r="BV13" s="27">
        <f t="shared" si="126"/>
        <v>15.268177004760551</v>
      </c>
      <c r="BW13" s="27">
        <f t="shared" si="127"/>
        <v>1.8218348566531413</v>
      </c>
      <c r="BX13" s="27">
        <f t="shared" si="128"/>
        <v>3.6579361608187533</v>
      </c>
      <c r="BY13" s="27">
        <f t="shared" si="129"/>
        <v>7.0694510832181532</v>
      </c>
      <c r="BZ13" s="27">
        <f t="shared" si="130"/>
        <v>12.86961654453674</v>
      </c>
      <c r="CA13" s="27">
        <f t="shared" si="131"/>
        <v>7.0694510832181532</v>
      </c>
      <c r="CB13" s="27">
        <f t="shared" si="132"/>
        <v>8.565217748689312</v>
      </c>
      <c r="CC13" s="27">
        <f t="shared" si="133"/>
        <v>15.15197242404156</v>
      </c>
      <c r="CD13" s="27">
        <f t="shared" si="134"/>
        <v>8.565217748689312</v>
      </c>
      <c r="CE13" s="27">
        <f t="shared" si="135"/>
        <v>2.2524237443465229</v>
      </c>
    </row>
    <row r="14" spans="1:83" x14ac:dyDescent="0.25">
      <c r="A14" t="str">
        <f>Plantilla!D14</f>
        <v>J. G. Peñuela</v>
      </c>
      <c r="B14">
        <f>Plantilla!E14</f>
        <v>27</v>
      </c>
      <c r="C14" s="25">
        <f ca="1">Plantilla!F14</f>
        <v>103</v>
      </c>
      <c r="D14" s="42" t="str">
        <f>Plantilla!G14</f>
        <v>IMP</v>
      </c>
      <c r="E14" s="23">
        <f>Plantilla!M14</f>
        <v>43054</v>
      </c>
      <c r="F14" s="37">
        <f>Plantilla!Q14</f>
        <v>6</v>
      </c>
      <c r="G14" s="38">
        <f t="shared" si="68"/>
        <v>0.92582009977255142</v>
      </c>
      <c r="H14" s="38">
        <f t="shared" si="69"/>
        <v>0.99928545900129484</v>
      </c>
      <c r="I14" s="104">
        <f ca="1">Plantilla!N14</f>
        <v>1</v>
      </c>
      <c r="J14" s="29">
        <f>Plantilla!I14</f>
        <v>8.3000000000000007</v>
      </c>
      <c r="K14" s="36">
        <f>Plantilla!X14</f>
        <v>0</v>
      </c>
      <c r="L14" s="36">
        <f>Plantilla!Y14</f>
        <v>12.666666666666666</v>
      </c>
      <c r="M14" s="36">
        <f>Plantilla!Z14</f>
        <v>5.75</v>
      </c>
      <c r="N14" s="36">
        <f>Plantilla!AA14</f>
        <v>14.777777777777779</v>
      </c>
      <c r="O14" s="36">
        <f>Plantilla!AB14</f>
        <v>8.8571428571428577</v>
      </c>
      <c r="P14" s="36">
        <f>Plantilla!AC14</f>
        <v>8</v>
      </c>
      <c r="Q14" s="36">
        <f>Plantilla!AD14</f>
        <v>15.666666666666666</v>
      </c>
      <c r="R14" s="36">
        <f t="shared" si="70"/>
        <v>4.1726190476190474</v>
      </c>
      <c r="S14" s="36">
        <f t="shared" si="71"/>
        <v>0.86999999999999988</v>
      </c>
      <c r="T14" s="36">
        <f t="shared" si="72"/>
        <v>0.97666666666666657</v>
      </c>
      <c r="U14" s="36">
        <f t="shared" ca="1" si="73"/>
        <v>16.564869624452367</v>
      </c>
      <c r="V14" s="36">
        <f t="shared" ca="1" si="74"/>
        <v>17.879319481218992</v>
      </c>
      <c r="W14" s="27">
        <f t="shared" ca="1" si="75"/>
        <v>5.4388068995257495</v>
      </c>
      <c r="X14" s="27">
        <f t="shared" ca="1" si="76"/>
        <v>8.2563730896766803</v>
      </c>
      <c r="Y14" s="27">
        <f t="shared" ca="1" si="77"/>
        <v>5.4388068995257495</v>
      </c>
      <c r="Z14" s="27">
        <f t="shared" ca="1" si="78"/>
        <v>7.6843257275547385</v>
      </c>
      <c r="AA14" s="27">
        <f t="shared" ca="1" si="79"/>
        <v>14.892104123168098</v>
      </c>
      <c r="AB14" s="27">
        <f t="shared" ca="1" si="80"/>
        <v>3.8421628637773693</v>
      </c>
      <c r="AC14" s="27">
        <f t="shared" ca="1" si="81"/>
        <v>1.8981541146473406</v>
      </c>
      <c r="AD14" s="27">
        <f t="shared" ca="1" si="82"/>
        <v>5.6292153585575413</v>
      </c>
      <c r="AE14" s="27">
        <f t="shared" ca="1" si="83"/>
        <v>10.766991281050535</v>
      </c>
      <c r="AF14" s="27">
        <f t="shared" ca="1" si="84"/>
        <v>2.8146076792787706</v>
      </c>
      <c r="AG14" s="27">
        <f t="shared" ca="1" si="85"/>
        <v>3.0705434207530513</v>
      </c>
      <c r="AH14" s="27">
        <f t="shared" ca="1" si="86"/>
        <v>13.700735793314651</v>
      </c>
      <c r="AI14" s="27">
        <f t="shared" ca="1" si="87"/>
        <v>6.1653311069915926</v>
      </c>
      <c r="AJ14" s="27">
        <f t="shared" ca="1" si="88"/>
        <v>1.3318980552357391</v>
      </c>
      <c r="AK14" s="27">
        <f t="shared" ca="1" si="89"/>
        <v>9.9978905577561754</v>
      </c>
      <c r="AL14" s="27">
        <f t="shared" ca="1" si="90"/>
        <v>11.228646508868746</v>
      </c>
      <c r="AM14" s="27">
        <f t="shared" ca="1" si="91"/>
        <v>10.543609719203012</v>
      </c>
      <c r="AN14" s="27">
        <f t="shared" ca="1" si="92"/>
        <v>2.987981388569072</v>
      </c>
      <c r="AO14" s="27">
        <f t="shared" ca="1" si="93"/>
        <v>1.8426402731866978</v>
      </c>
      <c r="AP14" s="27">
        <f t="shared" ca="1" si="94"/>
        <v>4.0208681132553865</v>
      </c>
      <c r="AQ14" s="27">
        <f t="shared" ca="1" si="95"/>
        <v>8.8459098491618491</v>
      </c>
      <c r="AR14" s="27">
        <f t="shared" ca="1" si="96"/>
        <v>2.0104340566276933</v>
      </c>
      <c r="AS14" s="27">
        <f t="shared" ca="1" si="97"/>
        <v>7.5288129589373511</v>
      </c>
      <c r="AT14" s="27">
        <f t="shared" ca="1" si="98"/>
        <v>1.4407354407737576</v>
      </c>
      <c r="AU14" s="27">
        <f t="shared" ca="1" si="99"/>
        <v>3.098910317612062</v>
      </c>
      <c r="AV14" s="27">
        <f t="shared" ca="1" si="100"/>
        <v>0.7203677203868788</v>
      </c>
      <c r="AW14" s="27">
        <f t="shared" ca="1" si="101"/>
        <v>2.8146076792787706</v>
      </c>
      <c r="AX14" s="27">
        <f t="shared" ca="1" si="102"/>
        <v>5.9568416492672398</v>
      </c>
      <c r="AY14" s="27">
        <f t="shared" ca="1" si="103"/>
        <v>1.4073038396393853</v>
      </c>
      <c r="AZ14" s="27">
        <f t="shared" ca="1" si="104"/>
        <v>7.9754374565014317</v>
      </c>
      <c r="BA14" s="27">
        <f t="shared" ca="1" si="105"/>
        <v>2.8038928193520052</v>
      </c>
      <c r="BB14" s="27">
        <f t="shared" ca="1" si="106"/>
        <v>5.9265017528180035</v>
      </c>
      <c r="BC14" s="27">
        <f t="shared" ca="1" si="107"/>
        <v>1.4019464096760026</v>
      </c>
      <c r="BD14" s="27">
        <f t="shared" ca="1" si="108"/>
        <v>4.3336022998419166</v>
      </c>
      <c r="BE14" s="27">
        <f t="shared" ca="1" si="109"/>
        <v>5.182452234862498</v>
      </c>
      <c r="BF14" s="27">
        <f t="shared" ca="1" si="110"/>
        <v>7.0263603991777615</v>
      </c>
      <c r="BG14" s="27">
        <f t="shared" ca="1" si="111"/>
        <v>13.250858343274217</v>
      </c>
      <c r="BH14" s="27">
        <f t="shared" ca="1" si="112"/>
        <v>2.6709018555882738</v>
      </c>
      <c r="BI14" s="27">
        <f t="shared" ca="1" si="113"/>
        <v>7.2226704997365276</v>
      </c>
      <c r="BJ14" s="27">
        <f t="shared" ca="1" si="114"/>
        <v>3.9315154885163781</v>
      </c>
      <c r="BK14" s="27">
        <f t="shared" ca="1" si="115"/>
        <v>3.0386416709270456</v>
      </c>
      <c r="BL14" s="27">
        <f t="shared" ca="1" si="116"/>
        <v>13.670762495712413</v>
      </c>
      <c r="BM14" s="27">
        <f t="shared" ca="1" si="117"/>
        <v>0.57629417630950297</v>
      </c>
      <c r="BN14" s="27">
        <f t="shared" ca="1" si="118"/>
        <v>2.6805787421702574</v>
      </c>
      <c r="BO14" s="27">
        <f t="shared" ca="1" si="119"/>
        <v>1.0126630803754306</v>
      </c>
      <c r="BP14" s="27">
        <f t="shared" ca="1" si="120"/>
        <v>2.4325084242329367</v>
      </c>
      <c r="BQ14" s="27">
        <f t="shared" ca="1" si="121"/>
        <v>20.172833203981476</v>
      </c>
      <c r="BR14" s="27">
        <f t="shared" ca="1" si="122"/>
        <v>1.4961483423419792</v>
      </c>
      <c r="BS14" s="27">
        <f t="shared" ca="1" si="123"/>
        <v>4.2293575709797393</v>
      </c>
      <c r="BT14" s="27">
        <f t="shared" ca="1" si="124"/>
        <v>3.6336734060530156</v>
      </c>
      <c r="BU14" s="27">
        <f t="shared" ca="1" si="125"/>
        <v>5.0325010350524035</v>
      </c>
      <c r="BV14" s="27">
        <f t="shared" ca="1" si="126"/>
        <v>14.075195094997351</v>
      </c>
      <c r="BW14" s="27">
        <f t="shared" ca="1" si="127"/>
        <v>1.6402218864193547</v>
      </c>
      <c r="BX14" s="27">
        <f t="shared" ca="1" si="128"/>
        <v>3.2380276073395815</v>
      </c>
      <c r="BY14" s="27">
        <f t="shared" ca="1" si="129"/>
        <v>6.5177386291229604</v>
      </c>
      <c r="BZ14" s="27">
        <f t="shared" ca="1" si="130"/>
        <v>11.979271147449184</v>
      </c>
      <c r="CA14" s="27">
        <f t="shared" ca="1" si="131"/>
        <v>6.5177386291229604</v>
      </c>
      <c r="CB14" s="27">
        <f t="shared" ca="1" si="132"/>
        <v>7.9900507100035671</v>
      </c>
      <c r="CC14" s="27">
        <f t="shared" ca="1" si="133"/>
        <v>14.314909592236173</v>
      </c>
      <c r="CD14" s="27">
        <f t="shared" ca="1" si="134"/>
        <v>7.9900507100035671</v>
      </c>
      <c r="CE14" s="27">
        <f t="shared" ca="1" si="135"/>
        <v>1.9938593641253579</v>
      </c>
    </row>
    <row r="15" spans="1:83" x14ac:dyDescent="0.25">
      <c r="A15" t="str">
        <f>Plantilla!D15</f>
        <v>Julian Gräbitz</v>
      </c>
      <c r="B15">
        <f>Plantilla!E15</f>
        <v>27</v>
      </c>
      <c r="C15" s="25">
        <f ca="1">Plantilla!F15</f>
        <v>77</v>
      </c>
      <c r="D15" s="42" t="str">
        <f>Plantilla!G15</f>
        <v>RAP</v>
      </c>
      <c r="E15" s="23">
        <f>Plantilla!M15</f>
        <v>43744</v>
      </c>
      <c r="F15" s="37">
        <f>Plantilla!Q15</f>
        <v>7</v>
      </c>
      <c r="G15" s="38">
        <f t="shared" si="68"/>
        <v>1</v>
      </c>
      <c r="H15" s="38">
        <f t="shared" si="69"/>
        <v>1</v>
      </c>
      <c r="I15" s="104">
        <f ca="1">Plantilla!N15</f>
        <v>1</v>
      </c>
      <c r="J15" s="29">
        <f>Plantilla!I15</f>
        <v>6.1</v>
      </c>
      <c r="K15" s="36">
        <f>Plantilla!X15</f>
        <v>0</v>
      </c>
      <c r="L15" s="36">
        <f>Plantilla!Y15</f>
        <v>13.5</v>
      </c>
      <c r="M15" s="36">
        <f>Plantilla!Z15</f>
        <v>9.7142857142857135</v>
      </c>
      <c r="N15" s="36">
        <f>Plantilla!AA15</f>
        <v>4.25</v>
      </c>
      <c r="O15" s="36">
        <f>Plantilla!AB15</f>
        <v>9</v>
      </c>
      <c r="P15" s="36">
        <f>Plantilla!AC15</f>
        <v>4</v>
      </c>
      <c r="Q15" s="36">
        <f>Plantilla!AD15</f>
        <v>20.5</v>
      </c>
      <c r="R15" s="36">
        <f t="shared" si="70"/>
        <v>4.3125</v>
      </c>
      <c r="S15" s="36">
        <f t="shared" si="71"/>
        <v>0.81499999999999984</v>
      </c>
      <c r="T15" s="36">
        <f t="shared" si="72"/>
        <v>1.155</v>
      </c>
      <c r="U15" s="36">
        <f t="shared" ca="1" si="73"/>
        <v>22.547106446681024</v>
      </c>
      <c r="V15" s="36">
        <f t="shared" ca="1" si="74"/>
        <v>22.547106446681024</v>
      </c>
      <c r="W15" s="27">
        <f t="shared" ca="1" si="75"/>
        <v>5.5131239279525328</v>
      </c>
      <c r="X15" s="27">
        <f t="shared" ca="1" si="76"/>
        <v>8.3803144226652009</v>
      </c>
      <c r="Y15" s="27">
        <f t="shared" ca="1" si="77"/>
        <v>5.5131239279525328</v>
      </c>
      <c r="Z15" s="27">
        <f t="shared" ca="1" si="78"/>
        <v>8.0223069264874081</v>
      </c>
      <c r="AA15" s="27">
        <f t="shared" ca="1" si="79"/>
        <v>15.547106446681022</v>
      </c>
      <c r="AB15" s="27">
        <f t="shared" ca="1" si="80"/>
        <v>4.011153463243704</v>
      </c>
      <c r="AC15" s="27">
        <f t="shared" ca="1" si="81"/>
        <v>2.7992113343100828</v>
      </c>
      <c r="AD15" s="27">
        <f t="shared" ca="1" si="82"/>
        <v>5.8768062368454261</v>
      </c>
      <c r="AE15" s="27">
        <f t="shared" ca="1" si="83"/>
        <v>11.240557960950378</v>
      </c>
      <c r="AF15" s="27">
        <f t="shared" ca="1" si="84"/>
        <v>2.9384031184227131</v>
      </c>
      <c r="AG15" s="27">
        <f t="shared" ca="1" si="85"/>
        <v>4.5281359819721931</v>
      </c>
      <c r="AH15" s="27">
        <f t="shared" ca="1" si="86"/>
        <v>14.30333793094654</v>
      </c>
      <c r="AI15" s="27">
        <f t="shared" ca="1" si="87"/>
        <v>6.4365020689259431</v>
      </c>
      <c r="AJ15" s="27">
        <f t="shared" ca="1" si="88"/>
        <v>1.9641524908814449</v>
      </c>
      <c r="AK15" s="27">
        <f t="shared" ca="1" si="89"/>
        <v>3.7026985906484411</v>
      </c>
      <c r="AL15" s="27">
        <f t="shared" ca="1" si="90"/>
        <v>11.722518260797491</v>
      </c>
      <c r="AM15" s="27">
        <f t="shared" ca="1" si="91"/>
        <v>11.007351364250162</v>
      </c>
      <c r="AN15" s="27">
        <f t="shared" ca="1" si="92"/>
        <v>3.765366776595731</v>
      </c>
      <c r="AO15" s="27">
        <f t="shared" ca="1" si="93"/>
        <v>1.8315666566441342</v>
      </c>
      <c r="AP15" s="27">
        <f t="shared" ca="1" si="94"/>
        <v>4.1977187406038761</v>
      </c>
      <c r="AQ15" s="27">
        <f t="shared" ca="1" si="95"/>
        <v>9.2349812293285272</v>
      </c>
      <c r="AR15" s="27">
        <f t="shared" ca="1" si="96"/>
        <v>2.098859370301938</v>
      </c>
      <c r="AS15" s="27">
        <f t="shared" ca="1" si="97"/>
        <v>11.102754199952598</v>
      </c>
      <c r="AT15" s="27">
        <f t="shared" ca="1" si="98"/>
        <v>1.4361238380685331</v>
      </c>
      <c r="AU15" s="27">
        <f t="shared" ca="1" si="99"/>
        <v>2.3718021888775391</v>
      </c>
      <c r="AV15" s="27">
        <f t="shared" ca="1" si="100"/>
        <v>0.71806191903426653</v>
      </c>
      <c r="AW15" s="27">
        <f t="shared" ca="1" si="101"/>
        <v>2.9384031184227131</v>
      </c>
      <c r="AX15" s="27">
        <f t="shared" ca="1" si="102"/>
        <v>6.2188425786724091</v>
      </c>
      <c r="AY15" s="27">
        <f t="shared" ca="1" si="103"/>
        <v>1.4692015592113565</v>
      </c>
      <c r="AZ15" s="27">
        <f t="shared" ca="1" si="104"/>
        <v>11.761392160966736</v>
      </c>
      <c r="BA15" s="27">
        <f t="shared" ca="1" si="105"/>
        <v>2.7949179310102985</v>
      </c>
      <c r="BB15" s="27">
        <f t="shared" ca="1" si="106"/>
        <v>5.036955652121244</v>
      </c>
      <c r="BC15" s="27">
        <f t="shared" ca="1" si="107"/>
        <v>1.3974589655051493</v>
      </c>
      <c r="BD15" s="27">
        <f t="shared" ca="1" si="108"/>
        <v>4.5242079759841776</v>
      </c>
      <c r="BE15" s="27">
        <f t="shared" ca="1" si="109"/>
        <v>5.4103930434449952</v>
      </c>
      <c r="BF15" s="27">
        <f t="shared" ca="1" si="110"/>
        <v>10.361786493811694</v>
      </c>
      <c r="BG15" s="27">
        <f t="shared" ca="1" si="111"/>
        <v>7.0943776310994284</v>
      </c>
      <c r="BH15" s="27">
        <f t="shared" ca="1" si="112"/>
        <v>2.6623526536501263</v>
      </c>
      <c r="BI15" s="27">
        <f t="shared" ca="1" si="113"/>
        <v>7.5403466266402956</v>
      </c>
      <c r="BJ15" s="27">
        <f t="shared" ca="1" si="114"/>
        <v>4.10443610192379</v>
      </c>
      <c r="BK15" s="27">
        <f t="shared" ca="1" si="115"/>
        <v>4.4810904133283262</v>
      </c>
      <c r="BL15" s="27">
        <f t="shared" ca="1" si="116"/>
        <v>6.4584210343992137</v>
      </c>
      <c r="BM15" s="27">
        <f t="shared" ca="1" si="117"/>
        <v>0.57444953522741315</v>
      </c>
      <c r="BN15" s="27">
        <f t="shared" ca="1" si="118"/>
        <v>2.798479160402584</v>
      </c>
      <c r="BO15" s="27">
        <f t="shared" ca="1" si="119"/>
        <v>1.0572032383743095</v>
      </c>
      <c r="BP15" s="27">
        <f t="shared" ca="1" si="120"/>
        <v>3.5872246090948545</v>
      </c>
      <c r="BQ15" s="27">
        <f t="shared" ca="1" si="121"/>
        <v>9.4565788904317944</v>
      </c>
      <c r="BR15" s="27">
        <f t="shared" ca="1" si="122"/>
        <v>1.4913593703019381</v>
      </c>
      <c r="BS15" s="27">
        <f t="shared" ca="1" si="123"/>
        <v>4.4153782308574101</v>
      </c>
      <c r="BT15" s="27">
        <f t="shared" ca="1" si="124"/>
        <v>3.7934939729901695</v>
      </c>
      <c r="BU15" s="27">
        <f t="shared" ca="1" si="125"/>
        <v>7.4214384535700102</v>
      </c>
      <c r="BV15" s="27">
        <f t="shared" ca="1" si="126"/>
        <v>6.5526602697795147</v>
      </c>
      <c r="BW15" s="27">
        <f t="shared" ca="1" si="127"/>
        <v>1.6349717541087911</v>
      </c>
      <c r="BX15" s="27">
        <f t="shared" ca="1" si="128"/>
        <v>4.7751252173524952</v>
      </c>
      <c r="BY15" s="27">
        <f t="shared" ca="1" si="129"/>
        <v>4.4365424587208127</v>
      </c>
      <c r="BZ15" s="27">
        <f t="shared" ca="1" si="130"/>
        <v>9.524041858962832</v>
      </c>
      <c r="CA15" s="27">
        <f t="shared" ca="1" si="131"/>
        <v>4.4365424587208127</v>
      </c>
      <c r="CB15" s="27">
        <f t="shared" ca="1" si="132"/>
        <v>4.5325973162822768</v>
      </c>
      <c r="CC15" s="27">
        <f t="shared" ca="1" si="133"/>
        <v>10.12348872550632</v>
      </c>
      <c r="CD15" s="27">
        <f t="shared" ca="1" si="134"/>
        <v>4.5325973162822768</v>
      </c>
      <c r="CE15" s="27">
        <f t="shared" ca="1" si="135"/>
        <v>2.9403480402416839</v>
      </c>
    </row>
    <row r="16" spans="1:83" x14ac:dyDescent="0.25">
      <c r="A16" t="str">
        <f>Plantilla!D16</f>
        <v>Lenadro Faias</v>
      </c>
      <c r="B16">
        <f>Plantilla!E16</f>
        <v>30</v>
      </c>
      <c r="C16" s="25">
        <f ca="1">Plantilla!F16</f>
        <v>105</v>
      </c>
      <c r="D16" s="42" t="str">
        <f>Plantilla!G16</f>
        <v>RAP</v>
      </c>
      <c r="E16" s="23">
        <f>Plantilla!M16</f>
        <v>44094</v>
      </c>
      <c r="F16" s="37">
        <f>Plantilla!Q16</f>
        <v>5</v>
      </c>
      <c r="G16" s="38">
        <f t="shared" si="68"/>
        <v>0.84515425472851657</v>
      </c>
      <c r="H16" s="38">
        <f t="shared" si="69"/>
        <v>0.92504826128926143</v>
      </c>
      <c r="I16" s="104">
        <f ca="1">Plantilla!N16</f>
        <v>0.64415495734524775</v>
      </c>
      <c r="J16" s="29">
        <f>Plantilla!I16</f>
        <v>7</v>
      </c>
      <c r="K16" s="36">
        <f>Plantilla!X16</f>
        <v>0</v>
      </c>
      <c r="L16" s="36">
        <f>Plantilla!Y16</f>
        <v>10</v>
      </c>
      <c r="M16" s="36">
        <f>Plantilla!Z16</f>
        <v>14</v>
      </c>
      <c r="N16" s="36">
        <f>Plantilla!AA16</f>
        <v>2</v>
      </c>
      <c r="O16" s="36">
        <f>Plantilla!AB16</f>
        <v>10</v>
      </c>
      <c r="P16" s="36">
        <f>Plantilla!AC16</f>
        <v>8</v>
      </c>
      <c r="Q16" s="36">
        <f>Plantilla!AD16</f>
        <v>15.333333333333334</v>
      </c>
      <c r="R16" s="36">
        <f t="shared" si="70"/>
        <v>4.125</v>
      </c>
      <c r="S16" s="36">
        <f t="shared" si="71"/>
        <v>0.86</v>
      </c>
      <c r="T16" s="36">
        <f t="shared" si="72"/>
        <v>0.86</v>
      </c>
      <c r="U16" s="36">
        <f t="shared" ca="1" si="73"/>
        <v>14.455759814316428</v>
      </c>
      <c r="V16" s="36">
        <f t="shared" ca="1" si="74"/>
        <v>15.822289726440623</v>
      </c>
      <c r="W16" s="27">
        <f t="shared" ca="1" si="75"/>
        <v>4.3060413963389959</v>
      </c>
      <c r="X16" s="27">
        <f t="shared" ca="1" si="76"/>
        <v>6.5362994761439213</v>
      </c>
      <c r="Y16" s="27">
        <f t="shared" ca="1" si="77"/>
        <v>4.3060413963389959</v>
      </c>
      <c r="Z16" s="27">
        <f t="shared" ca="1" si="78"/>
        <v>6.0738114095199558</v>
      </c>
      <c r="AA16" s="27">
        <f t="shared" ca="1" si="79"/>
        <v>11.770952344030922</v>
      </c>
      <c r="AB16" s="27">
        <f t="shared" ca="1" si="80"/>
        <v>3.0369057047599779</v>
      </c>
      <c r="AC16" s="27">
        <f t="shared" ca="1" si="81"/>
        <v>3.7534866578793595</v>
      </c>
      <c r="AD16" s="27">
        <f t="shared" ca="1" si="82"/>
        <v>4.4494199860436883</v>
      </c>
      <c r="AE16" s="27">
        <f t="shared" ca="1" si="83"/>
        <v>8.5103985447343558</v>
      </c>
      <c r="AF16" s="27">
        <f t="shared" ca="1" si="84"/>
        <v>2.2247099930218441</v>
      </c>
      <c r="AG16" s="27">
        <f t="shared" ca="1" si="85"/>
        <v>6.071816652451905</v>
      </c>
      <c r="AH16" s="27">
        <f t="shared" ca="1" si="86"/>
        <v>10.829276156508449</v>
      </c>
      <c r="AI16" s="27">
        <f t="shared" ca="1" si="87"/>
        <v>4.8731742704288017</v>
      </c>
      <c r="AJ16" s="27">
        <f t="shared" ca="1" si="88"/>
        <v>2.6337490414531644</v>
      </c>
      <c r="AK16" s="27">
        <f t="shared" ca="1" si="89"/>
        <v>2.2173199782901829</v>
      </c>
      <c r="AL16" s="27">
        <f t="shared" ca="1" si="90"/>
        <v>8.8752980673993154</v>
      </c>
      <c r="AM16" s="27">
        <f t="shared" ca="1" si="91"/>
        <v>8.3338342595738926</v>
      </c>
      <c r="AN16" s="27">
        <f t="shared" ca="1" si="92"/>
        <v>2.8564157081198309</v>
      </c>
      <c r="AO16" s="27">
        <f t="shared" ca="1" si="93"/>
        <v>1.6980342750809061</v>
      </c>
      <c r="AP16" s="27">
        <f t="shared" ca="1" si="94"/>
        <v>3.1781571328883493</v>
      </c>
      <c r="AQ16" s="27">
        <f t="shared" ca="1" si="95"/>
        <v>6.9919456923543679</v>
      </c>
      <c r="AR16" s="27">
        <f t="shared" ca="1" si="96"/>
        <v>1.5890785664441747</v>
      </c>
      <c r="AS16" s="27">
        <f t="shared" ca="1" si="97"/>
        <v>14.88777901276519</v>
      </c>
      <c r="AT16" s="27">
        <f t="shared" ca="1" si="98"/>
        <v>1.53022380472402</v>
      </c>
      <c r="AU16" s="27">
        <f t="shared" ca="1" si="99"/>
        <v>3.1028890368010602</v>
      </c>
      <c r="AV16" s="27">
        <f t="shared" ca="1" si="100"/>
        <v>0.76511190236200999</v>
      </c>
      <c r="AW16" s="27">
        <f t="shared" ca="1" si="101"/>
        <v>2.2247099930218441</v>
      </c>
      <c r="AX16" s="27">
        <f t="shared" ca="1" si="102"/>
        <v>4.7083809376123691</v>
      </c>
      <c r="AY16" s="27">
        <f t="shared" ca="1" si="103"/>
        <v>1.1123549965109221</v>
      </c>
      <c r="AZ16" s="27">
        <f t="shared" ca="1" si="104"/>
        <v>15.770952344030922</v>
      </c>
      <c r="BA16" s="27">
        <f t="shared" ca="1" si="105"/>
        <v>2.9780509430398232</v>
      </c>
      <c r="BB16" s="27">
        <f t="shared" ca="1" si="106"/>
        <v>6.0657947415610387</v>
      </c>
      <c r="BC16" s="27">
        <f t="shared" ca="1" si="107"/>
        <v>1.4890254715199116</v>
      </c>
      <c r="BD16" s="27">
        <f t="shared" ca="1" si="108"/>
        <v>3.4253471321129982</v>
      </c>
      <c r="BE16" s="27">
        <f t="shared" ca="1" si="109"/>
        <v>4.096291415722761</v>
      </c>
      <c r="BF16" s="27">
        <f t="shared" ca="1" si="110"/>
        <v>13.894209015091242</v>
      </c>
      <c r="BG16" s="27">
        <f t="shared" ca="1" si="111"/>
        <v>5.8723766338434906</v>
      </c>
      <c r="BH16" s="27">
        <f t="shared" ca="1" si="112"/>
        <v>2.8367995149114522</v>
      </c>
      <c r="BI16" s="27">
        <f t="shared" ca="1" si="113"/>
        <v>5.7089118868549971</v>
      </c>
      <c r="BJ16" s="27">
        <f t="shared" ca="1" si="114"/>
        <v>3.1075314188241636</v>
      </c>
      <c r="BK16" s="27">
        <f t="shared" ca="1" si="115"/>
        <v>6.0087328430757818</v>
      </c>
      <c r="BL16" s="27">
        <f t="shared" ca="1" si="116"/>
        <v>4.9038123486830276</v>
      </c>
      <c r="BM16" s="27">
        <f t="shared" ca="1" si="117"/>
        <v>0.61208952188960797</v>
      </c>
      <c r="BN16" s="27">
        <f t="shared" ca="1" si="118"/>
        <v>2.1187714219255658</v>
      </c>
      <c r="BO16" s="27">
        <f t="shared" ca="1" si="119"/>
        <v>0.80042475939410274</v>
      </c>
      <c r="BP16" s="27">
        <f t="shared" ca="1" si="120"/>
        <v>4.8101404649294315</v>
      </c>
      <c r="BQ16" s="27">
        <f t="shared" ca="1" si="121"/>
        <v>7.1374447144237667</v>
      </c>
      <c r="BR16" s="27">
        <f t="shared" ca="1" si="122"/>
        <v>1.5890785664441747</v>
      </c>
      <c r="BS16" s="27">
        <f t="shared" ca="1" si="123"/>
        <v>3.3429504657047815</v>
      </c>
      <c r="BT16" s="27">
        <f t="shared" ca="1" si="124"/>
        <v>2.8721123719435449</v>
      </c>
      <c r="BU16" s="27">
        <f t="shared" ca="1" si="125"/>
        <v>9.9514709290835128</v>
      </c>
      <c r="BV16" s="27">
        <f t="shared" ca="1" si="126"/>
        <v>4.9190023479076768</v>
      </c>
      <c r="BW16" s="27">
        <f t="shared" ca="1" si="127"/>
        <v>1.7421009469165765</v>
      </c>
      <c r="BX16" s="27">
        <f t="shared" ca="1" si="128"/>
        <v>6.4030066516765549</v>
      </c>
      <c r="BY16" s="27">
        <f t="shared" ca="1" si="129"/>
        <v>4.7266661712401108</v>
      </c>
      <c r="BZ16" s="27">
        <f t="shared" ca="1" si="130"/>
        <v>12.088092339378818</v>
      </c>
      <c r="CA16" s="27">
        <f t="shared" ca="1" si="131"/>
        <v>4.7266661712401108</v>
      </c>
      <c r="CB16" s="27">
        <f t="shared" ca="1" si="132"/>
        <v>5.0453033103312652</v>
      </c>
      <c r="CC16" s="27">
        <f t="shared" ca="1" si="133"/>
        <v>14.114433758978333</v>
      </c>
      <c r="CD16" s="27">
        <f t="shared" ca="1" si="134"/>
        <v>5.0453033103312652</v>
      </c>
      <c r="CE16" s="27">
        <f t="shared" ca="1" si="135"/>
        <v>3.9427380860077306</v>
      </c>
    </row>
    <row r="17" spans="1:83" x14ac:dyDescent="0.25">
      <c r="A17" t="str">
        <f>Plantilla!D18</f>
        <v>Nicolás Galaz</v>
      </c>
      <c r="B17">
        <f>Plantilla!E18</f>
        <v>28</v>
      </c>
      <c r="C17" s="25">
        <f ca="1">Plantilla!F18</f>
        <v>23</v>
      </c>
      <c r="D17" s="42">
        <f>Plantilla!G18</f>
        <v>0</v>
      </c>
      <c r="E17" s="23">
        <f>Plantilla!M18</f>
        <v>44262</v>
      </c>
      <c r="F17" s="37">
        <f>Plantilla!Q18</f>
        <v>5</v>
      </c>
      <c r="G17" s="38">
        <f t="shared" si="68"/>
        <v>0.84515425472851657</v>
      </c>
      <c r="H17" s="38">
        <f t="shared" si="69"/>
        <v>0.92504826128926143</v>
      </c>
      <c r="I17" s="104">
        <f ca="1">Plantilla!N18</f>
        <v>2.4162555382234736E-2</v>
      </c>
      <c r="J17" s="29">
        <f>Plantilla!I18</f>
        <v>6.9</v>
      </c>
      <c r="K17" s="36">
        <f>Plantilla!X18</f>
        <v>0</v>
      </c>
      <c r="L17" s="36">
        <f>Plantilla!Y18</f>
        <v>4</v>
      </c>
      <c r="M17" s="36">
        <f>Plantilla!Z18</f>
        <v>2</v>
      </c>
      <c r="N17" s="36">
        <f>Plantilla!AA18</f>
        <v>9</v>
      </c>
      <c r="O17" s="36">
        <f>Plantilla!AB18</f>
        <v>14</v>
      </c>
      <c r="P17" s="36">
        <f>Plantilla!AC18</f>
        <v>14</v>
      </c>
      <c r="Q17" s="36">
        <f>Plantilla!AD18</f>
        <v>1</v>
      </c>
      <c r="R17" s="36">
        <f t="shared" si="70"/>
        <v>4.375</v>
      </c>
      <c r="S17" s="36">
        <f t="shared" si="71"/>
        <v>0.73</v>
      </c>
      <c r="T17" s="36">
        <f t="shared" si="72"/>
        <v>0.19</v>
      </c>
      <c r="U17" s="36">
        <f t="shared" ca="1" si="73"/>
        <v>1.8108511786972439</v>
      </c>
      <c r="V17" s="36">
        <f t="shared" ca="1" si="74"/>
        <v>1.9820343149613375</v>
      </c>
      <c r="W17" s="27">
        <f t="shared" ca="1" si="75"/>
        <v>2.1015142524668562</v>
      </c>
      <c r="X17" s="27">
        <f t="shared" ca="1" si="76"/>
        <v>3.1751327605208606</v>
      </c>
      <c r="Y17" s="27">
        <f t="shared" ca="1" si="77"/>
        <v>2.1015142524668562</v>
      </c>
      <c r="Z17" s="27">
        <f t="shared" ca="1" si="78"/>
        <v>2.6535960530044651</v>
      </c>
      <c r="AA17" s="27">
        <f t="shared" ca="1" si="79"/>
        <v>5.1426280096985755</v>
      </c>
      <c r="AB17" s="27">
        <f t="shared" ca="1" si="80"/>
        <v>1.3267980265022326</v>
      </c>
      <c r="AC17" s="27">
        <f t="shared" ca="1" si="81"/>
        <v>0.74794546630826098</v>
      </c>
      <c r="AD17" s="27">
        <f t="shared" ca="1" si="82"/>
        <v>1.9439133876660615</v>
      </c>
      <c r="AE17" s="27">
        <f t="shared" ca="1" si="83"/>
        <v>3.71812005101207</v>
      </c>
      <c r="AF17" s="27">
        <f t="shared" ca="1" si="84"/>
        <v>0.97195669383303074</v>
      </c>
      <c r="AG17" s="27">
        <f t="shared" ca="1" si="85"/>
        <v>1.2099117837339517</v>
      </c>
      <c r="AH17" s="27">
        <f t="shared" ca="1" si="86"/>
        <v>4.73121776892269</v>
      </c>
      <c r="AI17" s="27">
        <f t="shared" ca="1" si="87"/>
        <v>2.1290479960152102</v>
      </c>
      <c r="AJ17" s="27">
        <f t="shared" ca="1" si="88"/>
        <v>0.52481887761966217</v>
      </c>
      <c r="AK17" s="27">
        <f t="shared" ca="1" si="89"/>
        <v>5.9638652697027617</v>
      </c>
      <c r="AL17" s="27">
        <f t="shared" ca="1" si="90"/>
        <v>3.8775415193127261</v>
      </c>
      <c r="AM17" s="27">
        <f t="shared" ca="1" si="91"/>
        <v>3.6409806308665913</v>
      </c>
      <c r="AN17" s="27">
        <f t="shared" ca="1" si="92"/>
        <v>0.35781887761966202</v>
      </c>
      <c r="AO17" s="27">
        <f t="shared" ca="1" si="93"/>
        <v>1.5890768667931896</v>
      </c>
      <c r="AP17" s="27">
        <f t="shared" ca="1" si="94"/>
        <v>1.3885095626186155</v>
      </c>
      <c r="AQ17" s="27">
        <f t="shared" ca="1" si="95"/>
        <v>3.0547210377609537</v>
      </c>
      <c r="AR17" s="27">
        <f t="shared" ca="1" si="96"/>
        <v>0.69425478130930773</v>
      </c>
      <c r="AS17" s="27">
        <f t="shared" ca="1" si="97"/>
        <v>2.966640841155455</v>
      </c>
      <c r="AT17" s="27">
        <f t="shared" ca="1" si="98"/>
        <v>1.9685416412608148</v>
      </c>
      <c r="AU17" s="27">
        <f t="shared" ca="1" si="99"/>
        <v>4.4367900068416821</v>
      </c>
      <c r="AV17" s="27">
        <f t="shared" ca="1" si="100"/>
        <v>0.98427082063040738</v>
      </c>
      <c r="AW17" s="27">
        <f t="shared" ca="1" si="101"/>
        <v>0.97195669383303074</v>
      </c>
      <c r="AX17" s="27">
        <f t="shared" ca="1" si="102"/>
        <v>2.0570512038794302</v>
      </c>
      <c r="AY17" s="27">
        <f t="shared" ca="1" si="103"/>
        <v>0.48597834691651537</v>
      </c>
      <c r="AZ17" s="27">
        <f t="shared" ca="1" si="104"/>
        <v>3.1426280096985755</v>
      </c>
      <c r="BA17" s="27">
        <f t="shared" ca="1" si="105"/>
        <v>3.8310848864537395</v>
      </c>
      <c r="BB17" s="27">
        <f t="shared" ca="1" si="106"/>
        <v>8.3435880333439147</v>
      </c>
      <c r="BC17" s="27">
        <f t="shared" ca="1" si="107"/>
        <v>1.9155424432268697</v>
      </c>
      <c r="BD17" s="27">
        <f t="shared" ca="1" si="108"/>
        <v>1.4965047508222853</v>
      </c>
      <c r="BE17" s="27">
        <f t="shared" ca="1" si="109"/>
        <v>1.7896345473751041</v>
      </c>
      <c r="BF17" s="27">
        <f t="shared" ca="1" si="110"/>
        <v>2.768655276544445</v>
      </c>
      <c r="BG17" s="27">
        <f t="shared" ca="1" si="111"/>
        <v>10.591796300622033</v>
      </c>
      <c r="BH17" s="27">
        <f t="shared" ca="1" si="112"/>
        <v>3.6493733503373562</v>
      </c>
      <c r="BI17" s="27">
        <f t="shared" ca="1" si="113"/>
        <v>2.494174584703809</v>
      </c>
      <c r="BJ17" s="27">
        <f t="shared" ca="1" si="114"/>
        <v>1.3576537945604239</v>
      </c>
      <c r="BK17" s="27">
        <f t="shared" ca="1" si="115"/>
        <v>1.1973412716951572</v>
      </c>
      <c r="BL17" s="27">
        <f t="shared" ca="1" si="116"/>
        <v>9.8696568804765548</v>
      </c>
      <c r="BM17" s="27">
        <f t="shared" ca="1" si="117"/>
        <v>0.7874166565043258</v>
      </c>
      <c r="BN17" s="27">
        <f t="shared" ca="1" si="118"/>
        <v>0.9256730417457435</v>
      </c>
      <c r="BO17" s="27">
        <f t="shared" ca="1" si="119"/>
        <v>0.34969870465950315</v>
      </c>
      <c r="BP17" s="27">
        <f t="shared" ca="1" si="120"/>
        <v>0.95850154295806544</v>
      </c>
      <c r="BQ17" s="27">
        <f t="shared" ca="1" si="121"/>
        <v>14.473419620472367</v>
      </c>
      <c r="BR17" s="27">
        <f t="shared" ca="1" si="122"/>
        <v>2.0442547813093075</v>
      </c>
      <c r="BS17" s="27">
        <f t="shared" ca="1" si="123"/>
        <v>1.4605063547543953</v>
      </c>
      <c r="BT17" s="27">
        <f t="shared" ca="1" si="124"/>
        <v>1.2548012343664523</v>
      </c>
      <c r="BU17" s="27">
        <f t="shared" ca="1" si="125"/>
        <v>1.9829982741198011</v>
      </c>
      <c r="BV17" s="27">
        <f t="shared" ca="1" si="126"/>
        <v>10.042652068680223</v>
      </c>
      <c r="BW17" s="27">
        <f t="shared" ca="1" si="127"/>
        <v>2.2411089454353887</v>
      </c>
      <c r="BX17" s="27">
        <f t="shared" ca="1" si="128"/>
        <v>1.2759069719376217</v>
      </c>
      <c r="BY17" s="27">
        <f t="shared" ca="1" si="129"/>
        <v>7.1693091930529578</v>
      </c>
      <c r="BZ17" s="27">
        <f t="shared" ca="1" si="130"/>
        <v>17.050599138920596</v>
      </c>
      <c r="CA17" s="27">
        <f t="shared" ca="1" si="131"/>
        <v>7.1693091930529578</v>
      </c>
      <c r="CB17" s="27">
        <f t="shared" ca="1" si="132"/>
        <v>8.328857250042212</v>
      </c>
      <c r="CC17" s="27">
        <f t="shared" ca="1" si="133"/>
        <v>20.730257745277349</v>
      </c>
      <c r="CD17" s="27">
        <f t="shared" ca="1" si="134"/>
        <v>8.328857250042212</v>
      </c>
      <c r="CE17" s="27">
        <f t="shared" ca="1" si="135"/>
        <v>0.78565700242464387</v>
      </c>
    </row>
    <row r="18" spans="1:83" x14ac:dyDescent="0.25">
      <c r="A18" t="str">
        <f>Plantilla!D19</f>
        <v>Meraj Siddiqui</v>
      </c>
      <c r="B18">
        <f>Plantilla!E19</f>
        <v>30</v>
      </c>
      <c r="C18" s="25">
        <f ca="1">Plantilla!F19</f>
        <v>30</v>
      </c>
      <c r="D18" s="42" t="str">
        <f>Plantilla!G19</f>
        <v>RAP</v>
      </c>
      <c r="E18" s="23">
        <f>Plantilla!M19</f>
        <v>44069</v>
      </c>
      <c r="F18" s="37">
        <f>Plantilla!Q19</f>
        <v>5</v>
      </c>
      <c r="G18" s="38">
        <f t="shared" si="68"/>
        <v>0.84515425472851657</v>
      </c>
      <c r="H18" s="38">
        <f t="shared" si="69"/>
        <v>0.92504826128926143</v>
      </c>
      <c r="I18" s="104">
        <f ca="1">Plantilla!N19</f>
        <v>0.70361642611566089</v>
      </c>
      <c r="J18" s="29">
        <f>Plantilla!I19</f>
        <v>14.6</v>
      </c>
      <c r="K18" s="36">
        <f>Plantilla!X19</f>
        <v>0</v>
      </c>
      <c r="L18" s="36">
        <f>Plantilla!Y19</f>
        <v>1</v>
      </c>
      <c r="M18" s="36">
        <f>Plantilla!Z19</f>
        <v>9</v>
      </c>
      <c r="N18" s="36">
        <f>Plantilla!AA19</f>
        <v>14</v>
      </c>
      <c r="O18" s="36">
        <f>Plantilla!AB19</f>
        <v>11</v>
      </c>
      <c r="P18" s="36">
        <f>Plantilla!AC19</f>
        <v>11</v>
      </c>
      <c r="Q18" s="36">
        <f>Plantilla!AD19</f>
        <v>10.5</v>
      </c>
      <c r="R18" s="36">
        <f t="shared" si="70"/>
        <v>3.25</v>
      </c>
      <c r="S18" s="36">
        <f t="shared" si="71"/>
        <v>0.86499999999999999</v>
      </c>
      <c r="T18" s="36">
        <f t="shared" si="72"/>
        <v>0.35499999999999998</v>
      </c>
      <c r="U18" s="36">
        <f t="shared" ca="1" si="73"/>
        <v>10.780861117639969</v>
      </c>
      <c r="V18" s="36">
        <f t="shared" ca="1" si="74"/>
        <v>11.799996008157541</v>
      </c>
      <c r="W18" s="27">
        <f t="shared" ca="1" si="75"/>
        <v>2.2455638641320568</v>
      </c>
      <c r="X18" s="27">
        <f t="shared" ca="1" si="76"/>
        <v>3.3376081885389293</v>
      </c>
      <c r="Y18" s="27">
        <f t="shared" ca="1" si="77"/>
        <v>2.2455638641320568</v>
      </c>
      <c r="Z18" s="27">
        <f t="shared" ca="1" si="78"/>
        <v>1.6801408406553739</v>
      </c>
      <c r="AA18" s="27">
        <f t="shared" ca="1" si="79"/>
        <v>3.2560869004949105</v>
      </c>
      <c r="AB18" s="27">
        <f t="shared" ca="1" si="80"/>
        <v>0.84007042032768697</v>
      </c>
      <c r="AC18" s="27">
        <f t="shared" ca="1" si="81"/>
        <v>2.6789486823177886</v>
      </c>
      <c r="AD18" s="27">
        <f t="shared" ca="1" si="82"/>
        <v>1.2308008483870763</v>
      </c>
      <c r="AE18" s="27">
        <f t="shared" ca="1" si="83"/>
        <v>2.3541508290578204</v>
      </c>
      <c r="AF18" s="27">
        <f t="shared" ca="1" si="84"/>
        <v>0.61540042419353813</v>
      </c>
      <c r="AG18" s="27">
        <f t="shared" ca="1" si="85"/>
        <v>4.333593456690541</v>
      </c>
      <c r="AH18" s="27">
        <f t="shared" ca="1" si="86"/>
        <v>2.9955999484553177</v>
      </c>
      <c r="AI18" s="27">
        <f t="shared" ca="1" si="87"/>
        <v>1.3480199768048928</v>
      </c>
      <c r="AJ18" s="27">
        <f t="shared" ca="1" si="88"/>
        <v>1.8797665123826501</v>
      </c>
      <c r="AK18" s="27">
        <f t="shared" ca="1" si="89"/>
        <v>9.5585790974910072</v>
      </c>
      <c r="AL18" s="27">
        <f t="shared" ca="1" si="90"/>
        <v>2.4550895229731626</v>
      </c>
      <c r="AM18" s="27">
        <f t="shared" ca="1" si="91"/>
        <v>2.3053095255503964</v>
      </c>
      <c r="AN18" s="27">
        <f t="shared" ca="1" si="92"/>
        <v>2.1302665123826503</v>
      </c>
      <c r="AO18" s="27">
        <f t="shared" ca="1" si="93"/>
        <v>1.585753027342534</v>
      </c>
      <c r="AP18" s="27">
        <f t="shared" ca="1" si="94"/>
        <v>0.8791434631336259</v>
      </c>
      <c r="AQ18" s="27">
        <f t="shared" ca="1" si="95"/>
        <v>1.9341156188939768</v>
      </c>
      <c r="AR18" s="27">
        <f t="shared" ca="1" si="96"/>
        <v>0.43957173156681295</v>
      </c>
      <c r="AS18" s="27">
        <f t="shared" ca="1" si="97"/>
        <v>10.625746034067195</v>
      </c>
      <c r="AT18" s="27">
        <f t="shared" ca="1" si="98"/>
        <v>1.7232912970643384</v>
      </c>
      <c r="AU18" s="27">
        <f t="shared" ca="1" si="99"/>
        <v>3.884033461845009</v>
      </c>
      <c r="AV18" s="27">
        <f t="shared" ca="1" si="100"/>
        <v>0.86164564853216918</v>
      </c>
      <c r="AW18" s="27">
        <f t="shared" ca="1" si="101"/>
        <v>0.61540042419353813</v>
      </c>
      <c r="AX18" s="27">
        <f t="shared" ca="1" si="102"/>
        <v>1.3024347601979642</v>
      </c>
      <c r="AY18" s="27">
        <f t="shared" ca="1" si="103"/>
        <v>0.30770021209676907</v>
      </c>
      <c r="AZ18" s="27">
        <f t="shared" ca="1" si="104"/>
        <v>11.25608690049491</v>
      </c>
      <c r="BA18" s="27">
        <f t="shared" ca="1" si="105"/>
        <v>3.3537899858252125</v>
      </c>
      <c r="BB18" s="27">
        <f t="shared" ca="1" si="106"/>
        <v>7.3041038821726962</v>
      </c>
      <c r="BC18" s="27">
        <f t="shared" ca="1" si="107"/>
        <v>1.6768949929126062</v>
      </c>
      <c r="BD18" s="27">
        <f t="shared" ca="1" si="108"/>
        <v>0.94752128804401892</v>
      </c>
      <c r="BE18" s="27">
        <f t="shared" ca="1" si="109"/>
        <v>1.1331182413722287</v>
      </c>
      <c r="BF18" s="27">
        <f t="shared" ca="1" si="110"/>
        <v>9.9166125593360164</v>
      </c>
      <c r="BG18" s="27">
        <f t="shared" ca="1" si="111"/>
        <v>13.506661254539974</v>
      </c>
      <c r="BH18" s="27">
        <f t="shared" ca="1" si="112"/>
        <v>3.1947169430192734</v>
      </c>
      <c r="BI18" s="27">
        <f t="shared" ca="1" si="113"/>
        <v>1.5792021467400315</v>
      </c>
      <c r="BJ18" s="27">
        <f t="shared" ca="1" si="114"/>
        <v>0.85960694173065644</v>
      </c>
      <c r="BK18" s="27">
        <f t="shared" ca="1" si="115"/>
        <v>4.2885691090885611</v>
      </c>
      <c r="BL18" s="27">
        <f t="shared" ca="1" si="116"/>
        <v>13.604819951032551</v>
      </c>
      <c r="BM18" s="27">
        <f t="shared" ca="1" si="117"/>
        <v>0.6893165188257353</v>
      </c>
      <c r="BN18" s="27">
        <f t="shared" ca="1" si="118"/>
        <v>0.58609564208908382</v>
      </c>
      <c r="BO18" s="27">
        <f t="shared" ca="1" si="119"/>
        <v>0.22141390923365392</v>
      </c>
      <c r="BP18" s="27">
        <f t="shared" ca="1" si="120"/>
        <v>3.4331065046509477</v>
      </c>
      <c r="BQ18" s="27">
        <f t="shared" ca="1" si="121"/>
        <v>20.047327754036456</v>
      </c>
      <c r="BR18" s="27">
        <f t="shared" ca="1" si="122"/>
        <v>1.7895717315668129</v>
      </c>
      <c r="BS18" s="27">
        <f t="shared" ca="1" si="123"/>
        <v>0.9247286797405545</v>
      </c>
      <c r="BT18" s="27">
        <f t="shared" ca="1" si="124"/>
        <v>0.79448520372075815</v>
      </c>
      <c r="BU18" s="27">
        <f t="shared" ca="1" si="125"/>
        <v>7.1025908342122888</v>
      </c>
      <c r="BV18" s="27">
        <f t="shared" ca="1" si="126"/>
        <v>13.970197775942943</v>
      </c>
      <c r="BW18" s="27">
        <f t="shared" ca="1" si="127"/>
        <v>1.9619008612732467</v>
      </c>
      <c r="BX18" s="27">
        <f t="shared" ca="1" si="128"/>
        <v>4.5699712816009344</v>
      </c>
      <c r="BY18" s="27">
        <f t="shared" ca="1" si="129"/>
        <v>7.3384212751578488</v>
      </c>
      <c r="BZ18" s="27">
        <f t="shared" ca="1" si="130"/>
        <v>14.92635384995727</v>
      </c>
      <c r="CA18" s="27">
        <f t="shared" ca="1" si="131"/>
        <v>7.3384212751578488</v>
      </c>
      <c r="CB18" s="27">
        <f t="shared" ca="1" si="132"/>
        <v>8.9215421390083289</v>
      </c>
      <c r="CC18" s="27">
        <f t="shared" ca="1" si="133"/>
        <v>18.147582966777534</v>
      </c>
      <c r="CD18" s="27">
        <f t="shared" ca="1" si="134"/>
        <v>8.9215421390083289</v>
      </c>
      <c r="CE18" s="27">
        <f t="shared" ca="1" si="135"/>
        <v>2.8140217251237276</v>
      </c>
    </row>
    <row r="19" spans="1:83" x14ac:dyDescent="0.25">
      <c r="A19" t="str">
        <f>Plantilla!D20</f>
        <v>Rodolfo Rinaldo Paso</v>
      </c>
      <c r="B19">
        <f>Plantilla!E20</f>
        <v>28</v>
      </c>
      <c r="C19" s="25">
        <f ca="1">Plantilla!F20</f>
        <v>14</v>
      </c>
      <c r="D19" s="42" t="str">
        <f>Plantilla!G20</f>
        <v>RAP</v>
      </c>
      <c r="E19" s="23">
        <f>Plantilla!M20</f>
        <v>43590</v>
      </c>
      <c r="F19" s="37">
        <f>Plantilla!Q20</f>
        <v>6</v>
      </c>
      <c r="G19" s="38">
        <f t="shared" si="68"/>
        <v>0.92582009977255142</v>
      </c>
      <c r="H19" s="38">
        <f t="shared" si="69"/>
        <v>0.99928545900129484</v>
      </c>
      <c r="I19" s="104">
        <f ca="1">Plantilla!N20</f>
        <v>1</v>
      </c>
      <c r="J19" s="29">
        <f>Plantilla!I20</f>
        <v>6.9</v>
      </c>
      <c r="K19" s="36">
        <f>Plantilla!X20</f>
        <v>0</v>
      </c>
      <c r="L19" s="36">
        <f>Plantilla!Y20</f>
        <v>3</v>
      </c>
      <c r="M19" s="36">
        <f>Plantilla!Z20</f>
        <v>8</v>
      </c>
      <c r="N19" s="36">
        <f>Plantilla!AA20</f>
        <v>11</v>
      </c>
      <c r="O19" s="36">
        <f>Plantilla!AB20</f>
        <v>12.444444444444445</v>
      </c>
      <c r="P19" s="36">
        <f>Plantilla!AC20</f>
        <v>14</v>
      </c>
      <c r="Q19" s="36">
        <f>Plantilla!AD20</f>
        <v>12.666666666666666</v>
      </c>
      <c r="R19" s="36">
        <f t="shared" si="70"/>
        <v>3.8611111111111112</v>
      </c>
      <c r="S19" s="36">
        <f t="shared" si="71"/>
        <v>1.08</v>
      </c>
      <c r="T19" s="36">
        <f t="shared" si="72"/>
        <v>0.5</v>
      </c>
      <c r="U19" s="36">
        <f t="shared" ca="1" si="73"/>
        <v>13.688372495398841</v>
      </c>
      <c r="V19" s="36">
        <f t="shared" ca="1" si="74"/>
        <v>14.77456753791129</v>
      </c>
      <c r="W19" s="27">
        <f t="shared" ca="1" si="75"/>
        <v>2.6774203416181654</v>
      </c>
      <c r="X19" s="27">
        <f t="shared" ca="1" si="76"/>
        <v>4.0099389015223954</v>
      </c>
      <c r="Y19" s="27">
        <f t="shared" ca="1" si="77"/>
        <v>2.6774203416181654</v>
      </c>
      <c r="Z19" s="27">
        <f t="shared" ca="1" si="78"/>
        <v>2.6411281744272319</v>
      </c>
      <c r="AA19" s="27">
        <f t="shared" ca="1" si="79"/>
        <v>5.1184654543163406</v>
      </c>
      <c r="AB19" s="27">
        <f t="shared" ca="1" si="80"/>
        <v>1.320564087213616</v>
      </c>
      <c r="AC19" s="27">
        <f t="shared" ca="1" si="81"/>
        <v>2.4081947781272888</v>
      </c>
      <c r="AD19" s="27">
        <f t="shared" ca="1" si="82"/>
        <v>1.9347799417315767</v>
      </c>
      <c r="AE19" s="27">
        <f t="shared" ca="1" si="83"/>
        <v>3.7006505234707143</v>
      </c>
      <c r="AF19" s="27">
        <f t="shared" ca="1" si="84"/>
        <v>0.96738997086578837</v>
      </c>
      <c r="AG19" s="27">
        <f t="shared" ca="1" si="85"/>
        <v>3.895609199911791</v>
      </c>
      <c r="AH19" s="27">
        <f t="shared" ca="1" si="86"/>
        <v>4.7089882179710338</v>
      </c>
      <c r="AI19" s="27">
        <f t="shared" ca="1" si="87"/>
        <v>2.1190446980869648</v>
      </c>
      <c r="AJ19" s="27">
        <f t="shared" ca="1" si="88"/>
        <v>1.6897837308708288</v>
      </c>
      <c r="AK19" s="27">
        <f t="shared" ca="1" si="89"/>
        <v>7.7136576871380074</v>
      </c>
      <c r="AL19" s="27">
        <f t="shared" ca="1" si="90"/>
        <v>3.8593229525545207</v>
      </c>
      <c r="AM19" s="27">
        <f t="shared" ca="1" si="91"/>
        <v>3.6238735416559691</v>
      </c>
      <c r="AN19" s="27">
        <f t="shared" ca="1" si="92"/>
        <v>2.4691170642041622</v>
      </c>
      <c r="AO19" s="27">
        <f t="shared" ca="1" si="93"/>
        <v>1.7221180508431058</v>
      </c>
      <c r="AP19" s="27">
        <f t="shared" ca="1" si="94"/>
        <v>1.3819856726654121</v>
      </c>
      <c r="AQ19" s="27">
        <f t="shared" ca="1" si="95"/>
        <v>3.0403684798639063</v>
      </c>
      <c r="AR19" s="27">
        <f t="shared" ca="1" si="96"/>
        <v>0.69099283633270603</v>
      </c>
      <c r="AS19" s="27">
        <f t="shared" ca="1" si="97"/>
        <v>9.5518313888746249</v>
      </c>
      <c r="AT19" s="27">
        <f t="shared" ca="1" si="98"/>
        <v>1.893178286838902</v>
      </c>
      <c r="AU19" s="27">
        <f t="shared" ca="1" si="99"/>
        <v>4.5360437114480208</v>
      </c>
      <c r="AV19" s="27">
        <f t="shared" ca="1" si="100"/>
        <v>0.946589143419451</v>
      </c>
      <c r="AW19" s="27">
        <f t="shared" ca="1" si="101"/>
        <v>0.96738997086578837</v>
      </c>
      <c r="AX19" s="27">
        <f t="shared" ca="1" si="102"/>
        <v>2.0473861817265364</v>
      </c>
      <c r="AY19" s="27">
        <f t="shared" ca="1" si="103"/>
        <v>0.48369498543289419</v>
      </c>
      <c r="AZ19" s="27">
        <f t="shared" ca="1" si="104"/>
        <v>10.11846545431634</v>
      </c>
      <c r="BA19" s="27">
        <f t="shared" ca="1" si="105"/>
        <v>3.6844162043864785</v>
      </c>
      <c r="BB19" s="27">
        <f t="shared" ca="1" si="106"/>
        <v>8.3508300208838584</v>
      </c>
      <c r="BC19" s="27">
        <f t="shared" ca="1" si="107"/>
        <v>1.8422081021932393</v>
      </c>
      <c r="BD19" s="27">
        <f t="shared" ca="1" si="108"/>
        <v>1.4894734472060551</v>
      </c>
      <c r="BE19" s="27">
        <f t="shared" ca="1" si="109"/>
        <v>1.7812259781020865</v>
      </c>
      <c r="BF19" s="27">
        <f t="shared" ca="1" si="110"/>
        <v>8.9143680652526953</v>
      </c>
      <c r="BG19" s="27">
        <f t="shared" ca="1" si="111"/>
        <v>12.117315788887225</v>
      </c>
      <c r="BH19" s="27">
        <f t="shared" ca="1" si="112"/>
        <v>3.5096612856013487</v>
      </c>
      <c r="BI19" s="27">
        <f t="shared" ca="1" si="113"/>
        <v>2.4824557453434251</v>
      </c>
      <c r="BJ19" s="27">
        <f t="shared" ca="1" si="114"/>
        <v>1.351274879939514</v>
      </c>
      <c r="BK19" s="27">
        <f t="shared" ca="1" si="115"/>
        <v>3.8551353380945255</v>
      </c>
      <c r="BL19" s="27">
        <f t="shared" ca="1" si="116"/>
        <v>11.755872140405815</v>
      </c>
      <c r="BM19" s="27">
        <f t="shared" ca="1" si="117"/>
        <v>0.75727131473556075</v>
      </c>
      <c r="BN19" s="27">
        <f t="shared" ca="1" si="118"/>
        <v>0.9213237817769413</v>
      </c>
      <c r="BO19" s="27">
        <f t="shared" ca="1" si="119"/>
        <v>0.3480556508935112</v>
      </c>
      <c r="BP19" s="27">
        <f t="shared" ca="1" si="120"/>
        <v>3.0861319635664834</v>
      </c>
      <c r="BQ19" s="27">
        <f t="shared" ca="1" si="121"/>
        <v>17.283457685361924</v>
      </c>
      <c r="BR19" s="27">
        <f t="shared" ca="1" si="122"/>
        <v>1.9659928363327059</v>
      </c>
      <c r="BS19" s="27">
        <f t="shared" ca="1" si="123"/>
        <v>1.4536441890258407</v>
      </c>
      <c r="BT19" s="27">
        <f t="shared" ca="1" si="124"/>
        <v>1.2489055708531871</v>
      </c>
      <c r="BU19" s="27">
        <f t="shared" ca="1" si="125"/>
        <v>6.3847517016736104</v>
      </c>
      <c r="BV19" s="27">
        <f t="shared" ca="1" si="126"/>
        <v>12.0198043593909</v>
      </c>
      <c r="BW19" s="27">
        <f t="shared" ca="1" si="127"/>
        <v>2.1553106650165961</v>
      </c>
      <c r="BX19" s="27">
        <f t="shared" ca="1" si="128"/>
        <v>4.108096974452434</v>
      </c>
      <c r="BY19" s="27">
        <f t="shared" ca="1" si="129"/>
        <v>7.576831612809924</v>
      </c>
      <c r="BZ19" s="27">
        <f t="shared" ca="1" si="130"/>
        <v>17.304725434893534</v>
      </c>
      <c r="CA19" s="27">
        <f t="shared" ca="1" si="131"/>
        <v>7.576831612809924</v>
      </c>
      <c r="CB19" s="27">
        <f t="shared" ca="1" si="132"/>
        <v>9.1579150891501904</v>
      </c>
      <c r="CC19" s="27">
        <f t="shared" ca="1" si="133"/>
        <v>21.492179206959069</v>
      </c>
      <c r="CD19" s="27">
        <f t="shared" ca="1" si="134"/>
        <v>9.1579150891501904</v>
      </c>
      <c r="CE19" s="27">
        <f t="shared" ca="1" si="135"/>
        <v>2.5296163635790849</v>
      </c>
    </row>
    <row r="20" spans="1:83" x14ac:dyDescent="0.25">
      <c r="M20" s="27"/>
      <c r="N20" s="27"/>
      <c r="AH20" s="27"/>
      <c r="AI20" s="27"/>
    </row>
    <row r="21" spans="1:83" ht="18.75" x14ac:dyDescent="0.3">
      <c r="A21" s="47" t="s">
        <v>857</v>
      </c>
      <c r="B21" s="47" t="s">
        <v>617</v>
      </c>
      <c r="C21" s="47"/>
      <c r="D21" s="48"/>
      <c r="Z21" s="27"/>
      <c r="AA21" s="27"/>
      <c r="BV21" s="27"/>
      <c r="BW21" s="27"/>
    </row>
    <row r="22" spans="1:83" x14ac:dyDescent="0.25">
      <c r="A22" s="49" t="s">
        <v>858</v>
      </c>
      <c r="B22" s="50">
        <v>1</v>
      </c>
      <c r="C22" s="52">
        <v>0.624</v>
      </c>
      <c r="D22" s="53">
        <v>0.24500000000000002</v>
      </c>
      <c r="AH22" s="27"/>
      <c r="AI22" s="27"/>
    </row>
    <row r="23" spans="1:83" x14ac:dyDescent="0.25">
      <c r="A23" s="49" t="s">
        <v>859</v>
      </c>
      <c r="B23" s="50">
        <v>1</v>
      </c>
      <c r="C23" s="52">
        <v>1.002</v>
      </c>
      <c r="D23" s="53">
        <v>0.34000000000000008</v>
      </c>
      <c r="AG23" s="2"/>
      <c r="AH23" s="58"/>
    </row>
    <row r="24" spans="1:83" x14ac:dyDescent="0.25">
      <c r="A24" s="49" t="s">
        <v>860</v>
      </c>
      <c r="B24" s="50">
        <v>1</v>
      </c>
      <c r="C24" s="52">
        <v>0.46800000000000008</v>
      </c>
      <c r="D24" s="53">
        <v>0.125</v>
      </c>
      <c r="Z24" s="27"/>
      <c r="AA24" s="27"/>
      <c r="AH24" s="59"/>
      <c r="AI24" s="59"/>
      <c r="BV24" s="27"/>
      <c r="BW24" s="27"/>
    </row>
    <row r="25" spans="1:83" x14ac:dyDescent="0.25">
      <c r="A25" s="49" t="s">
        <v>861</v>
      </c>
      <c r="B25" s="50">
        <v>1</v>
      </c>
      <c r="C25" s="52">
        <v>0.877</v>
      </c>
      <c r="D25" s="53">
        <v>0.25</v>
      </c>
      <c r="W25" s="58"/>
    </row>
    <row r="26" spans="1:83" x14ac:dyDescent="0.25">
      <c r="A26" s="49" t="s">
        <v>862</v>
      </c>
      <c r="B26" s="50">
        <v>1</v>
      </c>
      <c r="C26" s="52">
        <v>0.59299999999999997</v>
      </c>
      <c r="D26" s="53">
        <v>0.19</v>
      </c>
      <c r="W26" s="58"/>
    </row>
    <row r="28" spans="1:83" x14ac:dyDescent="0.25">
      <c r="Z28" s="58"/>
      <c r="AA28" s="58"/>
      <c r="BV28" s="58"/>
      <c r="BW28" s="58"/>
    </row>
  </sheetData>
  <conditionalFormatting sqref="J3:J19">
    <cfRule type="cellIs" dxfId="11" priority="1" operator="greaterThan">
      <formula>7</formula>
    </cfRule>
  </conditionalFormatting>
  <conditionalFormatting sqref="W3:AI19 AK3:AM19 AO3:BD19 BF3:CE19">
    <cfRule type="cellIs" dxfId="10" priority="2" operator="greaterThan">
      <formula>12.5</formula>
    </cfRule>
  </conditionalFormatting>
  <conditionalFormatting sqref="S3:T19">
    <cfRule type="cellIs" dxfId="9" priority="3" operator="greaterThan">
      <formula>0.6</formula>
    </cfRule>
  </conditionalFormatting>
  <conditionalFormatting sqref="R3:R19">
    <cfRule type="cellIs" dxfId="8" priority="4" operator="greaterThan">
      <formula>3.2</formula>
    </cfRule>
  </conditionalFormatting>
  <conditionalFormatting sqref="U3:V19">
    <cfRule type="cellIs" dxfId="7" priority="5" operator="greaterThan">
      <formula>15</formula>
    </cfRule>
  </conditionalFormatting>
  <conditionalFormatting sqref="K3:Q19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/>
  <legacyDrawing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E26B0A"/>
  </sheetPr>
  <dimension ref="A1:W35"/>
  <sheetViews>
    <sheetView zoomScale="120" workbookViewId="0">
      <selection activeCell="N19" sqref="N19"/>
    </sheetView>
  </sheetViews>
  <sheetFormatPr baseColWidth="10" defaultColWidth="11.42578125" defaultRowHeight="15" x14ac:dyDescent="0.25"/>
  <cols>
    <col min="1" max="1" width="4" customWidth="1"/>
    <col min="2" max="2" width="18.28515625" customWidth="1"/>
    <col min="3" max="3" width="5.5703125" customWidth="1"/>
    <col min="4" max="4" width="5" customWidth="1"/>
    <col min="5" max="11" width="5.5703125" customWidth="1"/>
    <col min="12" max="12" width="6.42578125" customWidth="1"/>
    <col min="13" max="13" width="5.5703125" customWidth="1"/>
    <col min="14" max="14" width="8.140625" customWidth="1"/>
    <col min="15" max="20" width="5.85546875" customWidth="1"/>
    <col min="21" max="21" width="6.85546875" customWidth="1"/>
    <col min="22" max="22" width="5" customWidth="1"/>
    <col min="23" max="23" width="5.5703125" customWidth="1"/>
  </cols>
  <sheetData>
    <row r="1" spans="1:23" x14ac:dyDescent="0.25">
      <c r="B1" t="s">
        <v>863</v>
      </c>
      <c r="L1" s="42"/>
      <c r="M1" s="42"/>
      <c r="N1" s="42"/>
      <c r="W1" s="42"/>
    </row>
    <row r="2" spans="1:23" x14ac:dyDescent="0.25">
      <c r="B2" s="23">
        <v>43636</v>
      </c>
      <c r="L2" s="42"/>
      <c r="M2" s="42"/>
      <c r="N2" s="42"/>
      <c r="U2" s="105"/>
      <c r="W2" s="42"/>
    </row>
    <row r="3" spans="1:23" x14ac:dyDescent="0.25">
      <c r="A3" s="13" t="s">
        <v>108</v>
      </c>
      <c r="B3" s="13" t="s">
        <v>183</v>
      </c>
      <c r="C3" s="13" t="s">
        <v>846</v>
      </c>
      <c r="D3" s="13" t="s">
        <v>113</v>
      </c>
      <c r="E3" s="13" t="str">
        <f>Plantilla!X3</f>
        <v>Po</v>
      </c>
      <c r="F3" s="13" t="str">
        <f>Plantilla!Y3</f>
        <v>De</v>
      </c>
      <c r="G3" s="13" t="str">
        <f>Plantilla!Z3</f>
        <v>Cr</v>
      </c>
      <c r="H3" s="13" t="str">
        <f>Plantilla!AA3</f>
        <v>Ex</v>
      </c>
      <c r="I3" s="13" t="str">
        <f>Plantilla!AB3</f>
        <v>Ps</v>
      </c>
      <c r="J3" s="13" t="str">
        <f>Plantilla!AC3</f>
        <v>An</v>
      </c>
      <c r="K3" s="13" t="str">
        <f>Plantilla!AD3</f>
        <v>PA</v>
      </c>
      <c r="L3" s="106">
        <v>1</v>
      </c>
      <c r="M3" s="106">
        <v>0.5</v>
      </c>
      <c r="N3" s="13" t="s">
        <v>864</v>
      </c>
      <c r="O3" s="108" t="s">
        <v>865</v>
      </c>
      <c r="P3" s="108" t="s">
        <v>866</v>
      </c>
      <c r="Q3" s="108" t="s">
        <v>841</v>
      </c>
      <c r="R3" s="108" t="s">
        <v>867</v>
      </c>
      <c r="S3" s="107" t="s">
        <v>845</v>
      </c>
      <c r="T3" s="112" t="s">
        <v>868</v>
      </c>
      <c r="U3" s="64" t="s">
        <v>581</v>
      </c>
      <c r="W3" s="42"/>
    </row>
    <row r="4" spans="1:23" x14ac:dyDescent="0.25">
      <c r="A4" s="18" t="str">
        <f>Plantilla!A4</f>
        <v>#1</v>
      </c>
      <c r="B4" s="109" t="str">
        <f>Plantilla!D4</f>
        <v>Cosme Fonteboa</v>
      </c>
      <c r="C4" s="18">
        <f>Plantilla!E4</f>
        <v>28</v>
      </c>
      <c r="D4" s="111">
        <f ca="1">Plantilla!F4</f>
        <v>2</v>
      </c>
      <c r="E4" s="36">
        <f>Plantilla!X4</f>
        <v>15</v>
      </c>
      <c r="F4" s="36">
        <f>Plantilla!Y4</f>
        <v>13.153846153846153</v>
      </c>
      <c r="G4" s="36">
        <f>Plantilla!Z4</f>
        <v>0</v>
      </c>
      <c r="H4" s="36">
        <f>Plantilla!AA4</f>
        <v>1</v>
      </c>
      <c r="I4" s="36">
        <f>Plantilla!AB4</f>
        <v>1</v>
      </c>
      <c r="J4" s="36">
        <f>Plantilla!AC4</f>
        <v>1</v>
      </c>
      <c r="K4" s="36">
        <f>Plantilla!AD4</f>
        <v>16.333333333333332</v>
      </c>
      <c r="L4" s="110"/>
      <c r="M4" s="110"/>
      <c r="N4" s="110"/>
      <c r="O4" s="60"/>
      <c r="P4" s="60"/>
      <c r="Q4" s="60"/>
      <c r="R4" s="60"/>
      <c r="S4" s="60"/>
      <c r="T4" s="60"/>
      <c r="U4" s="60"/>
      <c r="W4" s="42"/>
    </row>
    <row r="5" spans="1:23" x14ac:dyDescent="0.25">
      <c r="A5" s="18" t="str">
        <f>Plantilla!A5</f>
        <v>#17</v>
      </c>
      <c r="B5" s="109" t="str">
        <f>Plantilla!D5</f>
        <v>Nicolae Hornet</v>
      </c>
      <c r="C5" s="18">
        <f>Plantilla!E5</f>
        <v>28</v>
      </c>
      <c r="D5" s="111">
        <f ca="1">Plantilla!F5</f>
        <v>27</v>
      </c>
      <c r="E5" s="36">
        <f>Plantilla!X5</f>
        <v>6</v>
      </c>
      <c r="F5" s="36">
        <f>Plantilla!Y5</f>
        <v>5.8</v>
      </c>
      <c r="G5" s="36">
        <f>Plantilla!Z5</f>
        <v>0</v>
      </c>
      <c r="H5" s="36">
        <f>Plantilla!AA5</f>
        <v>3</v>
      </c>
      <c r="I5" s="36">
        <f>Plantilla!AB5</f>
        <v>1</v>
      </c>
      <c r="J5" s="36">
        <f>Plantilla!AC5</f>
        <v>1</v>
      </c>
      <c r="K5" s="36">
        <f>Plantilla!AD5</f>
        <v>4</v>
      </c>
      <c r="L5" s="110"/>
      <c r="M5" s="110"/>
      <c r="N5" s="110"/>
      <c r="O5" s="60"/>
      <c r="P5" s="60"/>
      <c r="Q5" s="60"/>
      <c r="R5" s="60"/>
      <c r="S5" s="60"/>
      <c r="T5" s="60"/>
      <c r="U5" s="60"/>
      <c r="W5" s="42"/>
    </row>
    <row r="6" spans="1:23" x14ac:dyDescent="0.25">
      <c r="A6" s="18" t="str">
        <f>Plantilla!A17</f>
        <v>#2</v>
      </c>
      <c r="B6" s="109" t="str">
        <f>Plantilla!D17</f>
        <v>Roxelio Reboredo</v>
      </c>
      <c r="C6" s="18">
        <f>Plantilla!E17</f>
        <v>32</v>
      </c>
      <c r="D6" s="111">
        <f ca="1">Plantilla!F17</f>
        <v>97</v>
      </c>
      <c r="E6" s="36">
        <f>Plantilla!X17</f>
        <v>0</v>
      </c>
      <c r="F6" s="36">
        <f>Plantilla!Y17</f>
        <v>6</v>
      </c>
      <c r="G6" s="36">
        <f>Plantilla!Z17</f>
        <v>13</v>
      </c>
      <c r="H6" s="36">
        <f>Plantilla!AA17</f>
        <v>7</v>
      </c>
      <c r="I6" s="36">
        <f>Plantilla!AB17</f>
        <v>12</v>
      </c>
      <c r="J6" s="36">
        <f>Plantilla!AC17</f>
        <v>4</v>
      </c>
      <c r="K6" s="36">
        <f>Plantilla!AD17</f>
        <v>16</v>
      </c>
      <c r="L6" s="110">
        <f>1/3</f>
        <v>0.33333333333333331</v>
      </c>
      <c r="M6" s="110">
        <f>L6/2</f>
        <v>0.16666666666666666</v>
      </c>
      <c r="N6" s="110">
        <f>L6/8</f>
        <v>4.1666666666666664E-2</v>
      </c>
      <c r="O6" s="60">
        <f>L6*0.286</f>
        <v>9.5333333333333325E-2</v>
      </c>
      <c r="P6" s="60"/>
      <c r="Q6" s="60"/>
      <c r="R6" s="60"/>
      <c r="S6" s="60"/>
      <c r="T6" s="60"/>
      <c r="U6" s="60">
        <f>MAX(O6:T6)</f>
        <v>9.5333333333333325E-2</v>
      </c>
      <c r="W6" s="42"/>
    </row>
    <row r="7" spans="1:23" x14ac:dyDescent="0.25">
      <c r="A7" s="18" t="str">
        <f>Plantilla!A6</f>
        <v>#13</v>
      </c>
      <c r="B7" s="109" t="str">
        <f>Plantilla!D6</f>
        <v>Iván Real Figueroa</v>
      </c>
      <c r="C7" s="18">
        <f>Plantilla!E6</f>
        <v>27</v>
      </c>
      <c r="D7" s="111">
        <f ca="1">Plantilla!F6</f>
        <v>92</v>
      </c>
      <c r="E7" s="36">
        <f>Plantilla!X6</f>
        <v>0</v>
      </c>
      <c r="F7" s="36">
        <f>Plantilla!Y6</f>
        <v>15.8125</v>
      </c>
      <c r="G7" s="36">
        <f>Plantilla!Z6</f>
        <v>5</v>
      </c>
      <c r="H7" s="36">
        <f>Plantilla!AA6</f>
        <v>8.75</v>
      </c>
      <c r="I7" s="36">
        <f>Plantilla!AB6</f>
        <v>9</v>
      </c>
      <c r="J7" s="36">
        <f>Plantilla!AC6</f>
        <v>1</v>
      </c>
      <c r="K7" s="36">
        <f>Plantilla!AD6</f>
        <v>14.666666666666666</v>
      </c>
      <c r="L7" s="110">
        <f>1/4</f>
        <v>0.25</v>
      </c>
      <c r="M7" s="110">
        <f>L7/2</f>
        <v>0.125</v>
      </c>
      <c r="N7" s="110">
        <f>L7/8</f>
        <v>3.125E-2</v>
      </c>
      <c r="O7" s="60">
        <f>L7*0.286</f>
        <v>7.1499999999999994E-2</v>
      </c>
      <c r="P7" s="60"/>
      <c r="Q7" s="60"/>
      <c r="R7" s="60"/>
      <c r="S7" s="60"/>
      <c r="T7" s="60"/>
      <c r="U7" s="60">
        <f>MAX(O7:T7)</f>
        <v>7.1499999999999994E-2</v>
      </c>
      <c r="W7" s="42"/>
    </row>
    <row r="8" spans="1:23" x14ac:dyDescent="0.25">
      <c r="A8" s="18" t="str">
        <f>Plantilla!A7</f>
        <v>#4</v>
      </c>
      <c r="B8" s="109" t="str">
        <f>Plantilla!D7</f>
        <v>Berto Abandero</v>
      </c>
      <c r="C8" s="18">
        <f>Plantilla!E7</f>
        <v>28</v>
      </c>
      <c r="D8" s="111">
        <f ca="1">Plantilla!F7</f>
        <v>30</v>
      </c>
      <c r="E8" s="36">
        <f>Plantilla!X7</f>
        <v>0</v>
      </c>
      <c r="F8" s="36">
        <f>Plantilla!Y7</f>
        <v>14.6875</v>
      </c>
      <c r="G8" s="36">
        <f>Plantilla!Z7</f>
        <v>3.25</v>
      </c>
      <c r="H8" s="36">
        <f>Plantilla!AA7</f>
        <v>9</v>
      </c>
      <c r="I8" s="36">
        <f>Plantilla!AB7</f>
        <v>12</v>
      </c>
      <c r="J8" s="36">
        <f>Plantilla!AC7</f>
        <v>4</v>
      </c>
      <c r="K8" s="36">
        <f>Plantilla!AD7</f>
        <v>15.333333333333334</v>
      </c>
      <c r="L8" s="110">
        <f>1/4</f>
        <v>0.25</v>
      </c>
      <c r="M8" s="110">
        <f>L8/2</f>
        <v>0.125</v>
      </c>
      <c r="N8" s="110">
        <f>L8/8</f>
        <v>3.125E-2</v>
      </c>
      <c r="O8" s="60">
        <f>L8*0.286</f>
        <v>7.1499999999999994E-2</v>
      </c>
      <c r="P8" s="60"/>
      <c r="Q8" s="60"/>
      <c r="R8" s="60"/>
      <c r="S8" s="60"/>
      <c r="T8" s="60"/>
      <c r="U8" s="60">
        <f>MAX(O8:T8)</f>
        <v>7.1499999999999994E-2</v>
      </c>
      <c r="W8" s="42"/>
    </row>
    <row r="9" spans="1:23" x14ac:dyDescent="0.25">
      <c r="A9" s="18" t="str">
        <f>Plantilla!A8</f>
        <v>#14</v>
      </c>
      <c r="B9" s="109" t="str">
        <f>Plantilla!D8</f>
        <v>Guillermo Pedrajas</v>
      </c>
      <c r="C9" s="18">
        <f>Plantilla!E8</f>
        <v>28</v>
      </c>
      <c r="D9" s="111">
        <f ca="1">Plantilla!F8</f>
        <v>15</v>
      </c>
      <c r="E9" s="36">
        <f>Plantilla!X8</f>
        <v>0</v>
      </c>
      <c r="F9" s="36">
        <f>Plantilla!Y8</f>
        <v>13</v>
      </c>
      <c r="G9" s="36">
        <f>Plantilla!Z8</f>
        <v>11.444444444444445</v>
      </c>
      <c r="H9" s="36">
        <f>Plantilla!AA8</f>
        <v>4.5999999999999996</v>
      </c>
      <c r="I9" s="36">
        <f>Plantilla!AB8</f>
        <v>11.142857142857142</v>
      </c>
      <c r="J9" s="36">
        <f>Plantilla!AC8</f>
        <v>4</v>
      </c>
      <c r="K9" s="36">
        <f>Plantilla!AD8</f>
        <v>15</v>
      </c>
      <c r="L9" s="110">
        <f>1/3</f>
        <v>0.33333333333333331</v>
      </c>
      <c r="M9" s="110">
        <f>L9/2</f>
        <v>0.16666666666666666</v>
      </c>
      <c r="N9" s="110">
        <f>L9/8</f>
        <v>4.1666666666666664E-2</v>
      </c>
      <c r="O9" s="60"/>
      <c r="P9" s="60"/>
      <c r="Q9" s="60"/>
      <c r="R9" s="60"/>
      <c r="S9" s="60"/>
      <c r="T9" s="60"/>
      <c r="U9" s="60">
        <f>MAX(O9:T9)</f>
        <v>0</v>
      </c>
      <c r="W9" s="42"/>
    </row>
    <row r="10" spans="1:23" x14ac:dyDescent="0.25">
      <c r="A10" s="18" t="str">
        <f>Plantilla!A9</f>
        <v>#7</v>
      </c>
      <c r="B10" s="109" t="str">
        <f>Plantilla!D9</f>
        <v>Venanci Oset</v>
      </c>
      <c r="C10" s="18">
        <f>Plantilla!E9</f>
        <v>28</v>
      </c>
      <c r="D10" s="111">
        <f ca="1">Plantilla!F9</f>
        <v>58</v>
      </c>
      <c r="E10" s="36">
        <f>Plantilla!X9</f>
        <v>0</v>
      </c>
      <c r="F10" s="36">
        <f>Plantilla!Y9</f>
        <v>14.6875</v>
      </c>
      <c r="G10" s="36">
        <f>Plantilla!Z9</f>
        <v>5.125</v>
      </c>
      <c r="H10" s="36">
        <f>Plantilla!AA9</f>
        <v>3</v>
      </c>
      <c r="I10" s="36">
        <f>Plantilla!AB9</f>
        <v>12.222222222222221</v>
      </c>
      <c r="J10" s="36">
        <f>Plantilla!AC9</f>
        <v>6</v>
      </c>
      <c r="K10" s="36">
        <f>Plantilla!AD9</f>
        <v>14</v>
      </c>
      <c r="L10" s="110"/>
      <c r="M10" s="110"/>
      <c r="N10" s="110"/>
      <c r="O10" s="60"/>
      <c r="P10" s="60"/>
      <c r="Q10" s="60"/>
      <c r="R10" s="60"/>
      <c r="S10" s="60"/>
      <c r="T10" s="60"/>
      <c r="U10" s="60"/>
      <c r="W10" s="42"/>
    </row>
    <row r="11" spans="1:23" x14ac:dyDescent="0.25">
      <c r="A11" s="18" t="str">
        <f>Plantilla!A10</f>
        <v>#9</v>
      </c>
      <c r="B11" s="109" t="str">
        <f>Plantilla!D10</f>
        <v>Francesc Añigas</v>
      </c>
      <c r="C11" s="18">
        <f>Plantilla!E10</f>
        <v>27</v>
      </c>
      <c r="D11" s="111">
        <f ca="1">Plantilla!F10</f>
        <v>107</v>
      </c>
      <c r="E11" s="36">
        <f>Plantilla!X10</f>
        <v>0</v>
      </c>
      <c r="F11" s="36">
        <f>Plantilla!Y10</f>
        <v>14.1875</v>
      </c>
      <c r="G11" s="36">
        <f>Plantilla!Z10</f>
        <v>4.25</v>
      </c>
      <c r="H11" s="36">
        <f>Plantilla!AA10</f>
        <v>13.733333333333333</v>
      </c>
      <c r="I11" s="36">
        <f>Plantilla!AB10</f>
        <v>8.1999999999999993</v>
      </c>
      <c r="J11" s="36">
        <f>Plantilla!AC10</f>
        <v>7</v>
      </c>
      <c r="K11" s="36">
        <f>Plantilla!AD10</f>
        <v>15.333333333333334</v>
      </c>
      <c r="L11" s="110">
        <f>1/7</f>
        <v>0.14285714285714285</v>
      </c>
      <c r="M11" s="110">
        <f>L11/2</f>
        <v>7.1428571428571425E-2</v>
      </c>
      <c r="N11" s="110">
        <f>L11/8</f>
        <v>1.7857142857142856E-2</v>
      </c>
      <c r="O11" s="60">
        <f>L11*0.286</f>
        <v>4.0857142857142849E-2</v>
      </c>
      <c r="P11" s="60">
        <f>L11*(0.588)</f>
        <v>8.3999999999999991E-2</v>
      </c>
      <c r="Q11" s="60">
        <f>L11*(0.574)</f>
        <v>8.199999999999999E-2</v>
      </c>
      <c r="R11" s="60">
        <f>L11*(0.864)</f>
        <v>0.12342857142857142</v>
      </c>
      <c r="S11" s="60">
        <f>L11*(0.144)</f>
        <v>2.057142857142857E-2</v>
      </c>
      <c r="T11" s="60">
        <f>L11*(0.607)</f>
        <v>8.6714285714285702E-2</v>
      </c>
      <c r="U11" s="60">
        <f>MAX(O11:T11)</f>
        <v>0.12342857142857142</v>
      </c>
      <c r="W11" s="42"/>
    </row>
    <row r="12" spans="1:23" x14ac:dyDescent="0.25">
      <c r="A12" s="18" t="str">
        <f>Plantilla!A11</f>
        <v>#3</v>
      </c>
      <c r="B12" s="109" t="str">
        <f>Plantilla!D11</f>
        <v>Will Duffill</v>
      </c>
      <c r="C12" s="18">
        <f>Plantilla!E11</f>
        <v>27</v>
      </c>
      <c r="D12" s="111">
        <f ca="1">Plantilla!F11</f>
        <v>68</v>
      </c>
      <c r="E12" s="36">
        <f>Plantilla!X11</f>
        <v>0</v>
      </c>
      <c r="F12" s="36">
        <f>Plantilla!Y11</f>
        <v>13.692307692307692</v>
      </c>
      <c r="G12" s="36">
        <f>Plantilla!Z11</f>
        <v>4.25</v>
      </c>
      <c r="H12" s="36">
        <f>Plantilla!AA11</f>
        <v>14.625</v>
      </c>
      <c r="I12" s="36">
        <f>Plantilla!AB11</f>
        <v>10</v>
      </c>
      <c r="J12" s="36">
        <f>Plantilla!AC11</f>
        <v>7</v>
      </c>
      <c r="K12" s="36">
        <f>Plantilla!AD11</f>
        <v>16</v>
      </c>
      <c r="L12" s="110">
        <f>1/8</f>
        <v>0.125</v>
      </c>
      <c r="M12" s="110">
        <f>L12/2</f>
        <v>6.25E-2</v>
      </c>
      <c r="N12" s="110">
        <f>L12/8</f>
        <v>1.5625E-2</v>
      </c>
      <c r="O12" s="60">
        <f>L12*0.286</f>
        <v>3.5749999999999997E-2</v>
      </c>
      <c r="P12" s="60">
        <f>L12*(0.588)</f>
        <v>7.3499999999999996E-2</v>
      </c>
      <c r="Q12" s="60">
        <f>L12*(0.574)</f>
        <v>7.1749999999999994E-2</v>
      </c>
      <c r="R12" s="60">
        <f>L12*(0.864)</f>
        <v>0.108</v>
      </c>
      <c r="S12" s="60">
        <f>L12*(0.144)</f>
        <v>1.7999999999999999E-2</v>
      </c>
      <c r="T12" s="60">
        <f>L12*(0.607)</f>
        <v>7.5874999999999998E-2</v>
      </c>
      <c r="U12" s="60">
        <f>MAX(O12:T12)</f>
        <v>0.108</v>
      </c>
      <c r="W12" s="42"/>
    </row>
    <row r="13" spans="1:23" x14ac:dyDescent="0.25">
      <c r="A13" s="18" t="str">
        <f>Plantilla!A12</f>
        <v>#5</v>
      </c>
      <c r="B13" s="109" t="str">
        <f>Plantilla!D12</f>
        <v>Valeri Gomis</v>
      </c>
      <c r="C13" s="18">
        <f>Plantilla!E12</f>
        <v>27</v>
      </c>
      <c r="D13" s="111">
        <f ca="1">Plantilla!F12</f>
        <v>107</v>
      </c>
      <c r="E13" s="36">
        <f>Plantilla!X12</f>
        <v>0</v>
      </c>
      <c r="F13" s="36">
        <f>Plantilla!Y12</f>
        <v>13.133333333333333</v>
      </c>
      <c r="G13" s="36">
        <f>Plantilla!Z12</f>
        <v>4.25</v>
      </c>
      <c r="H13" s="36">
        <f>Plantilla!AA12</f>
        <v>13</v>
      </c>
      <c r="I13" s="36">
        <f>Plantilla!AB12</f>
        <v>9.1666666666666661</v>
      </c>
      <c r="J13" s="36">
        <f>Plantilla!AC12</f>
        <v>7.25</v>
      </c>
      <c r="K13" s="36">
        <f>Plantilla!AD12</f>
        <v>16</v>
      </c>
      <c r="L13" s="110">
        <f>1/7</f>
        <v>0.14285714285714285</v>
      </c>
      <c r="M13" s="110">
        <f>L13/2</f>
        <v>7.1428571428571425E-2</v>
      </c>
      <c r="N13" s="110">
        <f>L13/8</f>
        <v>1.7857142857142856E-2</v>
      </c>
      <c r="O13" s="60">
        <f>L13*0.286</f>
        <v>4.0857142857142849E-2</v>
      </c>
      <c r="P13" s="60">
        <f>L13*(0.588)</f>
        <v>8.3999999999999991E-2</v>
      </c>
      <c r="Q13" s="60">
        <f>L13*(0.574)</f>
        <v>8.199999999999999E-2</v>
      </c>
      <c r="R13" s="60">
        <f>L13*(0.864)</f>
        <v>0.12342857142857142</v>
      </c>
      <c r="S13" s="60">
        <f>L13*(0.144)</f>
        <v>2.057142857142857E-2</v>
      </c>
      <c r="T13" s="60">
        <f>L13*(0.607)</f>
        <v>8.6714285714285702E-2</v>
      </c>
      <c r="U13" s="60">
        <f>MAX(O13:T13)</f>
        <v>0.12342857142857142</v>
      </c>
      <c r="W13" s="42"/>
    </row>
    <row r="14" spans="1:23" x14ac:dyDescent="0.25">
      <c r="A14" s="18" t="str">
        <f>Plantilla!A13</f>
        <v>#8</v>
      </c>
      <c r="B14" s="109" t="str">
        <f>Plantilla!D13</f>
        <v>Enrique Cubas</v>
      </c>
      <c r="C14" s="18">
        <f>Plantilla!E13</f>
        <v>27</v>
      </c>
      <c r="D14" s="111">
        <f ca="1">Plantilla!F13</f>
        <v>103</v>
      </c>
      <c r="E14" s="36">
        <f>Plantilla!X13</f>
        <v>0</v>
      </c>
      <c r="F14" s="36">
        <f>Plantilla!Y13</f>
        <v>12.333333333333334</v>
      </c>
      <c r="G14" s="36">
        <f>Plantilla!Z13</f>
        <v>6.2</v>
      </c>
      <c r="H14" s="36">
        <f>Plantilla!AA13</f>
        <v>15.555555555555555</v>
      </c>
      <c r="I14" s="36">
        <f>Plantilla!AB13</f>
        <v>9.5</v>
      </c>
      <c r="J14" s="36">
        <f>Plantilla!AC13</f>
        <v>7.8</v>
      </c>
      <c r="K14" s="36">
        <f>Plantilla!AD13</f>
        <v>16.666666666666668</v>
      </c>
      <c r="L14" s="110">
        <f>1/9</f>
        <v>0.1111111111111111</v>
      </c>
      <c r="M14" s="110">
        <f>L14/2</f>
        <v>5.5555555555555552E-2</v>
      </c>
      <c r="N14" s="110">
        <f>L14/8</f>
        <v>1.3888888888888888E-2</v>
      </c>
      <c r="O14" s="60">
        <f>L14*0.286</f>
        <v>3.1777777777777773E-2</v>
      </c>
      <c r="P14" s="60">
        <f>L14*(0.588)</f>
        <v>6.5333333333333327E-2</v>
      </c>
      <c r="Q14" s="60">
        <f>L14*(0.574)</f>
        <v>6.3777777777777767E-2</v>
      </c>
      <c r="R14" s="60">
        <f>L14*(0.864)</f>
        <v>9.5999999999999988E-2</v>
      </c>
      <c r="S14" s="60">
        <f>L14*(0.144)</f>
        <v>1.5999999999999997E-2</v>
      </c>
      <c r="T14" s="60">
        <f>L14*(0.607)</f>
        <v>6.7444444444444446E-2</v>
      </c>
      <c r="U14" s="60">
        <f>MAX(O14:T14)</f>
        <v>9.5999999999999988E-2</v>
      </c>
      <c r="W14" s="42"/>
    </row>
    <row r="15" spans="1:23" x14ac:dyDescent="0.25">
      <c r="A15" s="18" t="str">
        <f>Plantilla!A14</f>
        <v>#11</v>
      </c>
      <c r="B15" s="109" t="str">
        <f>Plantilla!D14</f>
        <v>J. G. Peñuela</v>
      </c>
      <c r="C15" s="18">
        <f>Plantilla!E14</f>
        <v>27</v>
      </c>
      <c r="D15" s="111">
        <f ca="1">Plantilla!F14</f>
        <v>103</v>
      </c>
      <c r="E15" s="36">
        <f>Plantilla!X14</f>
        <v>0</v>
      </c>
      <c r="F15" s="36">
        <f>Plantilla!Y14</f>
        <v>12.666666666666666</v>
      </c>
      <c r="G15" s="36">
        <f>Plantilla!Z14</f>
        <v>5.75</v>
      </c>
      <c r="H15" s="36">
        <f>Plantilla!AA14</f>
        <v>14.777777777777779</v>
      </c>
      <c r="I15" s="36">
        <f>Plantilla!AB14</f>
        <v>8.8571428571428577</v>
      </c>
      <c r="J15" s="36">
        <f>Plantilla!AC14</f>
        <v>8</v>
      </c>
      <c r="K15" s="36">
        <f>Plantilla!AD14</f>
        <v>15.666666666666666</v>
      </c>
      <c r="L15" s="110">
        <f>1/8</f>
        <v>0.125</v>
      </c>
      <c r="M15" s="110">
        <f>L15/2</f>
        <v>6.25E-2</v>
      </c>
      <c r="N15" s="110">
        <f>L15/8</f>
        <v>1.5625E-2</v>
      </c>
      <c r="O15" s="60">
        <f>L15*0.286</f>
        <v>3.5749999999999997E-2</v>
      </c>
      <c r="P15" s="60">
        <f>L15*(0.588)</f>
        <v>7.3499999999999996E-2</v>
      </c>
      <c r="Q15" s="60">
        <f>L15*(0.574)</f>
        <v>7.1749999999999994E-2</v>
      </c>
      <c r="R15" s="60">
        <f>L15*(0.864)</f>
        <v>0.108</v>
      </c>
      <c r="S15" s="60">
        <f>L15*(0.144)</f>
        <v>1.7999999999999999E-2</v>
      </c>
      <c r="T15" s="60">
        <f>L15*(0.607)</f>
        <v>7.5874999999999998E-2</v>
      </c>
      <c r="U15" s="60">
        <f>MAX(O15:T15)</f>
        <v>0.108</v>
      </c>
      <c r="W15" s="42"/>
    </row>
    <row r="16" spans="1:23" x14ac:dyDescent="0.25">
      <c r="A16" s="18" t="e">
        <f>#REF!</f>
        <v>#REF!</v>
      </c>
      <c r="B16" s="109" t="e">
        <f>#REF!</f>
        <v>#REF!</v>
      </c>
      <c r="C16" s="18" t="e">
        <f>#REF!</f>
        <v>#REF!</v>
      </c>
      <c r="D16" s="111" t="e">
        <f>#REF!</f>
        <v>#REF!</v>
      </c>
      <c r="E16" s="36" t="e">
        <f>#REF!</f>
        <v>#REF!</v>
      </c>
      <c r="F16" s="36" t="e">
        <f>#REF!</f>
        <v>#REF!</v>
      </c>
      <c r="G16" s="36" t="e">
        <f>#REF!</f>
        <v>#REF!</v>
      </c>
      <c r="H16" s="36" t="e">
        <f>#REF!</f>
        <v>#REF!</v>
      </c>
      <c r="I16" s="36" t="e">
        <f>#REF!</f>
        <v>#REF!</v>
      </c>
      <c r="J16" s="36" t="e">
        <f>#REF!</f>
        <v>#REF!</v>
      </c>
      <c r="K16" s="36" t="e">
        <f>#REF!</f>
        <v>#REF!</v>
      </c>
      <c r="L16" s="110"/>
      <c r="M16" s="110"/>
      <c r="N16" s="110"/>
      <c r="O16" s="60"/>
      <c r="P16" s="60"/>
      <c r="Q16" s="60"/>
      <c r="R16" s="60"/>
      <c r="S16" s="60"/>
      <c r="T16" s="60"/>
      <c r="U16" s="60"/>
      <c r="W16" s="42"/>
    </row>
    <row r="17" spans="1:23" x14ac:dyDescent="0.25">
      <c r="A17" s="18" t="str">
        <f>Plantilla!A16</f>
        <v>#16</v>
      </c>
      <c r="B17" s="109" t="str">
        <f>Plantilla!D16</f>
        <v>Lenadro Faias</v>
      </c>
      <c r="C17" s="18">
        <f>Plantilla!E16</f>
        <v>30</v>
      </c>
      <c r="D17" s="111">
        <f ca="1">Plantilla!F16</f>
        <v>105</v>
      </c>
      <c r="E17" s="36">
        <f>Plantilla!X16</f>
        <v>0</v>
      </c>
      <c r="F17" s="36">
        <f>Plantilla!Y16</f>
        <v>10</v>
      </c>
      <c r="G17" s="36">
        <f>Plantilla!Z16</f>
        <v>14</v>
      </c>
      <c r="H17" s="36">
        <f>Plantilla!AA16</f>
        <v>2</v>
      </c>
      <c r="I17" s="36">
        <f>Plantilla!AB16</f>
        <v>10</v>
      </c>
      <c r="J17" s="36">
        <f>Plantilla!AC16</f>
        <v>8</v>
      </c>
      <c r="K17" s="36">
        <f>Plantilla!AD16</f>
        <v>15.333333333333334</v>
      </c>
      <c r="L17" s="110"/>
      <c r="M17" s="110"/>
      <c r="N17" s="110"/>
      <c r="O17" s="60"/>
      <c r="P17" s="60"/>
      <c r="Q17" s="60"/>
      <c r="R17" s="60"/>
      <c r="S17" s="60"/>
      <c r="T17" s="60"/>
      <c r="U17" s="60"/>
      <c r="W17" s="42"/>
    </row>
    <row r="18" spans="1:23" x14ac:dyDescent="0.25">
      <c r="A18" s="18" t="e">
        <f>#REF!</f>
        <v>#REF!</v>
      </c>
      <c r="B18" s="109" t="e">
        <f>#REF!</f>
        <v>#REF!</v>
      </c>
      <c r="C18" s="18" t="e">
        <f>#REF!</f>
        <v>#REF!</v>
      </c>
      <c r="D18" s="111" t="e">
        <f>#REF!</f>
        <v>#REF!</v>
      </c>
      <c r="E18" s="36" t="e">
        <f>#REF!</f>
        <v>#REF!</v>
      </c>
      <c r="F18" s="36" t="e">
        <f>#REF!</f>
        <v>#REF!</v>
      </c>
      <c r="G18" s="36" t="e">
        <f>#REF!</f>
        <v>#REF!</v>
      </c>
      <c r="H18" s="36" t="e">
        <f>#REF!</f>
        <v>#REF!</v>
      </c>
      <c r="I18" s="36" t="e">
        <f>#REF!</f>
        <v>#REF!</v>
      </c>
      <c r="J18" s="36" t="e">
        <f>#REF!</f>
        <v>#REF!</v>
      </c>
      <c r="K18" s="36" t="e">
        <f>#REF!</f>
        <v>#REF!</v>
      </c>
      <c r="L18" s="110"/>
      <c r="M18" s="110"/>
      <c r="N18" s="110"/>
      <c r="O18" s="60"/>
      <c r="P18" s="60"/>
      <c r="Q18" s="60"/>
      <c r="R18" s="60"/>
      <c r="S18" s="60"/>
      <c r="T18" s="60"/>
      <c r="U18" s="60"/>
      <c r="W18" s="42"/>
    </row>
    <row r="19" spans="1:23" x14ac:dyDescent="0.25">
      <c r="A19" s="18" t="str">
        <f>Plantilla!A18</f>
        <v>#12</v>
      </c>
      <c r="B19" s="109" t="str">
        <f>Plantilla!D18</f>
        <v>Nicolás Galaz</v>
      </c>
      <c r="C19" s="18">
        <f>Plantilla!E18</f>
        <v>28</v>
      </c>
      <c r="D19" s="111">
        <f ca="1">Plantilla!F18</f>
        <v>23</v>
      </c>
      <c r="E19" s="36">
        <f>Plantilla!X18</f>
        <v>0</v>
      </c>
      <c r="F19" s="36">
        <f>Plantilla!Y18</f>
        <v>4</v>
      </c>
      <c r="G19" s="36">
        <f>Plantilla!Z18</f>
        <v>2</v>
      </c>
      <c r="H19" s="36">
        <f>Plantilla!AA18</f>
        <v>9</v>
      </c>
      <c r="I19" s="36">
        <f>Plantilla!AB18</f>
        <v>14</v>
      </c>
      <c r="J19" s="36">
        <f>Plantilla!AC18</f>
        <v>14</v>
      </c>
      <c r="K19" s="36">
        <f>Plantilla!AD18</f>
        <v>1</v>
      </c>
      <c r="L19" s="110"/>
      <c r="M19" s="110"/>
      <c r="N19" s="110"/>
      <c r="O19" s="60"/>
      <c r="P19" s="60"/>
      <c r="Q19" s="60"/>
      <c r="R19" s="60"/>
      <c r="S19" s="60"/>
      <c r="T19" s="60"/>
      <c r="U19" s="60"/>
      <c r="W19" s="42"/>
    </row>
    <row r="20" spans="1:23" x14ac:dyDescent="0.25">
      <c r="A20" s="18" t="str">
        <f>Plantilla!A19</f>
        <v>#15</v>
      </c>
      <c r="B20" s="109" t="str">
        <f>Plantilla!D19</f>
        <v>Meraj Siddiqui</v>
      </c>
      <c r="C20" s="18">
        <f>Plantilla!E19</f>
        <v>30</v>
      </c>
      <c r="D20" s="111">
        <f ca="1">Plantilla!F19</f>
        <v>30</v>
      </c>
      <c r="E20" s="36">
        <f>Plantilla!X19</f>
        <v>0</v>
      </c>
      <c r="F20" s="36">
        <f>Plantilla!Y19</f>
        <v>1</v>
      </c>
      <c r="G20" s="36">
        <f>Plantilla!Z19</f>
        <v>9</v>
      </c>
      <c r="H20" s="36">
        <f>Plantilla!AA19</f>
        <v>14</v>
      </c>
      <c r="I20" s="36">
        <f>Plantilla!AB19</f>
        <v>11</v>
      </c>
      <c r="J20" s="36">
        <f>Plantilla!AC19</f>
        <v>11</v>
      </c>
      <c r="K20" s="36">
        <f>Plantilla!AD19</f>
        <v>10.5</v>
      </c>
      <c r="L20" s="110"/>
      <c r="M20" s="110"/>
      <c r="N20" s="110"/>
      <c r="O20" s="60"/>
      <c r="P20" s="60"/>
      <c r="Q20" s="60"/>
      <c r="R20" s="60"/>
      <c r="S20" s="60"/>
      <c r="T20" s="60"/>
      <c r="U20" s="60"/>
      <c r="W20" s="42"/>
    </row>
    <row r="21" spans="1:23" x14ac:dyDescent="0.25">
      <c r="A21" s="18" t="str">
        <f>Plantilla!A20</f>
        <v>#19</v>
      </c>
      <c r="B21" s="109" t="str">
        <f>Plantilla!D20</f>
        <v>Rodolfo Rinaldo Paso</v>
      </c>
      <c r="C21" s="18">
        <f>Plantilla!E20</f>
        <v>28</v>
      </c>
      <c r="D21" s="111">
        <f ca="1">Plantilla!F20</f>
        <v>14</v>
      </c>
      <c r="E21" s="36">
        <f>Plantilla!X20</f>
        <v>0</v>
      </c>
      <c r="F21" s="36">
        <f>Plantilla!Y20</f>
        <v>3</v>
      </c>
      <c r="G21" s="36">
        <f>Plantilla!Z20</f>
        <v>8</v>
      </c>
      <c r="H21" s="36">
        <f>Plantilla!AA20</f>
        <v>11</v>
      </c>
      <c r="I21" s="36">
        <f>Plantilla!AB20</f>
        <v>12.444444444444445</v>
      </c>
      <c r="J21" s="36">
        <f>Plantilla!AC20</f>
        <v>14</v>
      </c>
      <c r="K21" s="36">
        <f>Plantilla!AD20</f>
        <v>12.666666666666666</v>
      </c>
      <c r="L21" s="110"/>
      <c r="M21" s="110"/>
      <c r="N21" s="110"/>
      <c r="O21" s="60"/>
      <c r="P21" s="60"/>
      <c r="Q21" s="60"/>
      <c r="R21" s="60"/>
      <c r="S21" s="60"/>
      <c r="T21" s="60"/>
      <c r="U21" s="60"/>
      <c r="W21" s="42"/>
    </row>
    <row r="22" spans="1:23" x14ac:dyDescent="0.25">
      <c r="C22" s="69"/>
      <c r="D22" s="54"/>
      <c r="G22" s="42"/>
      <c r="H22" s="41"/>
      <c r="J22" s="42"/>
      <c r="K22" s="42"/>
      <c r="M22" s="70"/>
      <c r="Q22" s="42"/>
      <c r="R22" s="42"/>
      <c r="S22" s="42"/>
      <c r="T22" s="42"/>
      <c r="U22" s="42"/>
      <c r="V22" s="42"/>
      <c r="W22" s="42"/>
    </row>
    <row r="23" spans="1:23" x14ac:dyDescent="0.25">
      <c r="C23" s="69"/>
      <c r="D23" s="54"/>
      <c r="G23" s="42"/>
      <c r="H23" s="41"/>
      <c r="J23" s="42"/>
      <c r="K23" s="42"/>
      <c r="M23" s="70"/>
      <c r="Q23" s="42"/>
      <c r="R23" s="42"/>
      <c r="S23" s="42"/>
      <c r="T23" s="42"/>
      <c r="U23" s="42"/>
      <c r="V23" s="42"/>
      <c r="W23" s="42"/>
    </row>
    <row r="24" spans="1:23" x14ac:dyDescent="0.25">
      <c r="C24" s="69"/>
      <c r="D24" s="54"/>
      <c r="G24" s="42"/>
      <c r="H24" s="41"/>
      <c r="J24" s="42"/>
      <c r="K24" s="42"/>
      <c r="M24" s="70"/>
      <c r="Q24" s="42"/>
      <c r="R24" s="42"/>
      <c r="S24" s="42"/>
      <c r="T24" s="42"/>
      <c r="U24" s="42"/>
      <c r="V24" s="42"/>
      <c r="W24" s="42"/>
    </row>
    <row r="25" spans="1:23" x14ac:dyDescent="0.25">
      <c r="C25" s="69"/>
      <c r="D25" s="54"/>
      <c r="G25" s="42"/>
      <c r="H25" s="41"/>
      <c r="J25" s="42"/>
      <c r="K25" s="42"/>
      <c r="M25" s="70"/>
      <c r="Q25" s="42"/>
      <c r="R25" s="42"/>
      <c r="S25" s="42"/>
      <c r="T25" s="42"/>
      <c r="U25" s="42"/>
      <c r="V25" s="42"/>
      <c r="W25" s="42"/>
    </row>
    <row r="26" spans="1:23" x14ac:dyDescent="0.25">
      <c r="C26" s="69"/>
      <c r="D26" s="54"/>
      <c r="G26" s="42"/>
      <c r="H26" s="41"/>
      <c r="J26" s="42"/>
      <c r="K26" s="42"/>
      <c r="M26" s="70"/>
      <c r="Q26" s="42"/>
      <c r="R26" s="42"/>
      <c r="S26" s="42"/>
      <c r="T26" s="42"/>
      <c r="U26" s="42"/>
      <c r="V26" s="42"/>
      <c r="W26" s="42"/>
    </row>
    <row r="27" spans="1:23" x14ac:dyDescent="0.25">
      <c r="C27" s="69"/>
      <c r="D27" s="54"/>
      <c r="G27" s="42"/>
      <c r="H27" s="41"/>
      <c r="J27" s="42"/>
      <c r="K27" s="42"/>
      <c r="M27" s="70"/>
      <c r="Q27" s="42"/>
      <c r="R27" s="42"/>
      <c r="S27" s="42"/>
      <c r="T27" s="42"/>
      <c r="U27" s="42"/>
      <c r="V27" s="42"/>
      <c r="W27" s="42"/>
    </row>
    <row r="28" spans="1:23" x14ac:dyDescent="0.25">
      <c r="C28" s="69"/>
      <c r="D28" s="54"/>
      <c r="G28" s="42"/>
      <c r="H28" s="41"/>
      <c r="J28" s="42"/>
      <c r="K28" s="42"/>
      <c r="M28" s="70"/>
      <c r="Q28" s="42"/>
      <c r="R28" s="42"/>
      <c r="S28" s="42"/>
      <c r="T28" s="42"/>
      <c r="U28" s="42"/>
      <c r="V28" s="42"/>
      <c r="W28" s="42"/>
    </row>
    <row r="29" spans="1:23" x14ac:dyDescent="0.25">
      <c r="C29" s="69"/>
      <c r="D29" s="54"/>
      <c r="G29" s="42"/>
      <c r="H29" s="41"/>
      <c r="J29" s="42"/>
      <c r="K29" s="42"/>
      <c r="M29" s="70"/>
      <c r="Q29" s="42"/>
      <c r="R29" s="42"/>
      <c r="S29" s="42"/>
      <c r="T29" s="42"/>
      <c r="U29" s="42"/>
      <c r="V29" s="42"/>
      <c r="W29" s="42"/>
    </row>
    <row r="30" spans="1:23" x14ac:dyDescent="0.25">
      <c r="C30" s="69"/>
      <c r="D30" s="54"/>
      <c r="G30" s="42"/>
      <c r="H30" s="41"/>
      <c r="J30" s="42"/>
      <c r="K30" s="42"/>
      <c r="M30" s="70"/>
      <c r="Q30" s="42"/>
      <c r="R30" s="42"/>
      <c r="S30" s="42"/>
      <c r="T30" s="42"/>
      <c r="U30" s="42"/>
      <c r="V30" s="42"/>
      <c r="W30" s="42"/>
    </row>
    <row r="31" spans="1:23" x14ac:dyDescent="0.25">
      <c r="C31" s="69"/>
      <c r="D31" s="54"/>
      <c r="G31" s="42"/>
      <c r="H31" s="41"/>
      <c r="J31" s="42"/>
      <c r="K31" s="42"/>
      <c r="M31" s="70"/>
      <c r="Q31" s="42"/>
      <c r="R31" s="42"/>
      <c r="S31" s="42"/>
      <c r="T31" s="42"/>
      <c r="U31" s="42"/>
      <c r="V31" s="42"/>
      <c r="W31" s="42"/>
    </row>
    <row r="32" spans="1:23" x14ac:dyDescent="0.25">
      <c r="C32" s="69"/>
      <c r="D32" s="54"/>
      <c r="G32" s="42"/>
      <c r="H32" s="41"/>
      <c r="J32" s="42"/>
      <c r="K32" s="42"/>
      <c r="M32" s="70"/>
      <c r="Q32" s="42"/>
      <c r="R32" s="42"/>
      <c r="S32" s="42"/>
      <c r="T32" s="42"/>
      <c r="U32" s="42"/>
      <c r="V32" s="42"/>
      <c r="W32" s="42"/>
    </row>
    <row r="33" spans="3:23" x14ac:dyDescent="0.25">
      <c r="C33" s="69"/>
      <c r="D33" s="54"/>
      <c r="G33" s="42"/>
      <c r="H33" s="41"/>
      <c r="J33" s="42"/>
      <c r="K33" s="42"/>
      <c r="M33" s="70"/>
      <c r="Q33" s="42"/>
      <c r="R33" s="42"/>
      <c r="S33" s="42"/>
      <c r="T33" s="42"/>
      <c r="U33" s="42"/>
      <c r="V33" s="42"/>
      <c r="W33" s="42"/>
    </row>
    <row r="34" spans="3:23" x14ac:dyDescent="0.25">
      <c r="C34" s="69"/>
      <c r="D34" s="54"/>
      <c r="G34" s="42"/>
      <c r="H34" s="41"/>
      <c r="J34" s="42"/>
      <c r="K34" s="42"/>
      <c r="M34" s="70"/>
      <c r="Q34" s="42"/>
      <c r="R34" s="42"/>
      <c r="S34" s="42"/>
      <c r="T34" s="42"/>
      <c r="U34" s="42"/>
      <c r="V34" s="42"/>
      <c r="W34" s="42"/>
    </row>
    <row r="35" spans="3:23" x14ac:dyDescent="0.25">
      <c r="C35" s="69"/>
      <c r="D35" s="54"/>
      <c r="G35" s="42"/>
      <c r="H35" s="41"/>
      <c r="J35" s="42"/>
      <c r="K35" s="42"/>
      <c r="M35" s="70"/>
      <c r="Q35" s="42"/>
      <c r="R35" s="42"/>
      <c r="S35" s="42"/>
      <c r="T35" s="42"/>
      <c r="U35" s="42"/>
      <c r="V35" s="42"/>
      <c r="W35" s="42"/>
    </row>
  </sheetData>
  <conditionalFormatting sqref="O4:T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{29C75A39-4D94-AD3B-0F85-C47EB476140F}</x14:id>
        </ext>
      </extLst>
    </cfRule>
  </conditionalFormatting>
  <conditionalFormatting sqref="U4:U21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{71B8B231-3B58-4DD3-B754-152AEF054064}</x14:id>
        </ext>
      </extLst>
    </cfRule>
  </conditionalFormatting>
  <conditionalFormatting sqref="E4:K21">
    <cfRule type="colorScale" priority="3">
      <colorScale>
        <cfvo type="min"/>
        <cfvo type="max"/>
        <color rgb="FFFCFCFF"/>
        <color rgb="FFF8696B"/>
      </colorScale>
    </cfRule>
  </conditionalFormatting>
  <conditionalFormatting sqref="L4:N21">
    <cfRule type="colorScale" priority="4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fitToWidth="0" pageOrder="overThenDown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C75A39-4D94-AD3B-0F85-C47EB47614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O4:T21</xm:sqref>
        </x14:conditionalFormatting>
        <x14:conditionalFormatting xmlns:xm="http://schemas.microsoft.com/office/excel/2006/main">
          <x14:cfRule type="dataBar" id="{71B8B231-3B58-4DD3-B754-152AEF05406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U4:U21</xm:sqref>
        </x14:conditionalFormatting>
      </x14:conditionalFormattings>
    </ex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51930-5309-49E5-A706-E55A1526C801}">
  <sheetPr>
    <tabColor rgb="FF60497A"/>
  </sheetPr>
  <dimension ref="A1:AR25"/>
  <sheetViews>
    <sheetView workbookViewId="0">
      <pane ySplit="2" topLeftCell="A3" activePane="bottomLeft" state="frozen"/>
      <selection pane="bottomLeft" activeCell="A9" sqref="A9"/>
    </sheetView>
  </sheetViews>
  <sheetFormatPr baseColWidth="10" defaultColWidth="10.7109375" defaultRowHeight="15" x14ac:dyDescent="0.25"/>
  <cols>
    <col min="1" max="1" width="26" customWidth="1"/>
    <col min="2" max="2" width="5.42578125" customWidth="1"/>
    <col min="3" max="3" width="4.7109375" customWidth="1"/>
    <col min="4" max="4" width="6" style="42" customWidth="1"/>
    <col min="5" max="5" width="4.140625" customWidth="1"/>
    <col min="6" max="6" width="7.42578125" customWidth="1"/>
    <col min="7" max="7" width="4.5703125" customWidth="1"/>
    <col min="8" max="14" width="5.5703125" customWidth="1"/>
    <col min="15" max="15" width="7.42578125" customWidth="1"/>
    <col min="16" max="16" width="7.85546875" customWidth="1"/>
    <col min="17" max="17" width="7.42578125" customWidth="1"/>
    <col min="18" max="18" width="5.5703125" customWidth="1"/>
    <col min="19" max="19" width="6.42578125" customWidth="1"/>
    <col min="20" max="20" width="6.85546875" customWidth="1"/>
    <col min="21" max="21" width="6.42578125" customWidth="1"/>
    <col min="22" max="22" width="7.42578125" customWidth="1"/>
    <col min="23" max="23" width="7.85546875" customWidth="1"/>
    <col min="24" max="24" width="7.42578125" customWidth="1"/>
    <col min="25" max="25" width="5.5703125" customWidth="1"/>
    <col min="26" max="26" width="6.42578125" customWidth="1"/>
    <col min="27" max="27" width="6.85546875" customWidth="1"/>
    <col min="28" max="28" width="6.42578125" customWidth="1"/>
    <col min="29" max="29" width="6.5703125" style="461" customWidth="1"/>
    <col min="30" max="30" width="7.140625" style="461" customWidth="1"/>
    <col min="31" max="33" width="7.140625" style="462" customWidth="1"/>
    <col min="34" max="36" width="9" style="461" customWidth="1"/>
    <col min="37" max="39" width="8.42578125" style="461" customWidth="1"/>
    <col min="40" max="44" width="10.7109375" style="461"/>
  </cols>
  <sheetData>
    <row r="1" spans="1:44" s="41" customFormat="1" x14ac:dyDescent="0.25">
      <c r="D1" s="43"/>
      <c r="O1" s="41" t="s">
        <v>839</v>
      </c>
      <c r="P1"/>
      <c r="Q1"/>
      <c r="R1"/>
      <c r="S1"/>
      <c r="T1"/>
      <c r="U1"/>
      <c r="V1" s="41" t="s">
        <v>840</v>
      </c>
      <c r="W1"/>
      <c r="X1"/>
      <c r="Y1"/>
      <c r="Z1"/>
      <c r="AA1"/>
      <c r="AB1"/>
      <c r="AC1" s="462"/>
      <c r="AD1" s="462"/>
      <c r="AE1" s="462"/>
      <c r="AF1" s="462"/>
      <c r="AG1" s="462"/>
      <c r="AH1" s="462"/>
      <c r="AI1" s="462"/>
      <c r="AJ1" s="462"/>
      <c r="AK1" s="462"/>
      <c r="AL1" s="462"/>
      <c r="AM1" s="462"/>
      <c r="AN1" s="462"/>
      <c r="AO1" s="462"/>
      <c r="AP1" s="462"/>
      <c r="AQ1" s="462"/>
      <c r="AR1" s="462"/>
    </row>
    <row r="2" spans="1:44" x14ac:dyDescent="0.25">
      <c r="A2" s="430" t="s">
        <v>183</v>
      </c>
      <c r="B2" s="430" t="s">
        <v>846</v>
      </c>
      <c r="C2" s="431" t="s">
        <v>113</v>
      </c>
      <c r="D2" s="432" t="s">
        <v>465</v>
      </c>
      <c r="E2" s="433" t="s">
        <v>870</v>
      </c>
      <c r="F2" s="434" t="s">
        <v>121</v>
      </c>
      <c r="G2" s="435" t="s">
        <v>735</v>
      </c>
      <c r="H2" s="436" t="s">
        <v>153</v>
      </c>
      <c r="I2" s="436" t="s">
        <v>191</v>
      </c>
      <c r="J2" s="436" t="s">
        <v>192</v>
      </c>
      <c r="K2" s="436" t="s">
        <v>489</v>
      </c>
      <c r="L2" s="436" t="s">
        <v>194</v>
      </c>
      <c r="M2" s="436" t="s">
        <v>195</v>
      </c>
      <c r="N2" s="437" t="s">
        <v>196</v>
      </c>
      <c r="O2" s="34" t="s">
        <v>853</v>
      </c>
      <c r="P2" s="34" t="s">
        <v>854</v>
      </c>
      <c r="Q2" s="34" t="s">
        <v>853</v>
      </c>
      <c r="R2" s="34" t="s">
        <v>172</v>
      </c>
      <c r="S2" s="34" t="s">
        <v>855</v>
      </c>
      <c r="T2" s="34" t="s">
        <v>856</v>
      </c>
      <c r="U2" s="34" t="s">
        <v>855</v>
      </c>
      <c r="V2" s="34" t="s">
        <v>853</v>
      </c>
      <c r="W2" s="34" t="s">
        <v>854</v>
      </c>
      <c r="X2" s="34" t="s">
        <v>853</v>
      </c>
      <c r="Y2" s="34" t="s">
        <v>172</v>
      </c>
      <c r="Z2" s="34" t="s">
        <v>855</v>
      </c>
      <c r="AA2" s="34" t="s">
        <v>856</v>
      </c>
      <c r="AB2" s="34" t="s">
        <v>855</v>
      </c>
      <c r="AC2" s="570" t="s">
        <v>871</v>
      </c>
      <c r="AD2" s="571" t="s">
        <v>468</v>
      </c>
      <c r="AE2" s="558" t="s">
        <v>874</v>
      </c>
      <c r="AF2" s="559" t="s">
        <v>873</v>
      </c>
      <c r="AG2" s="560" t="s">
        <v>872</v>
      </c>
      <c r="AH2" s="566" t="s">
        <v>877</v>
      </c>
      <c r="AI2" s="559" t="s">
        <v>876</v>
      </c>
      <c r="AJ2" s="560" t="s">
        <v>875</v>
      </c>
      <c r="AK2" s="556" t="s">
        <v>880</v>
      </c>
      <c r="AL2" s="555" t="s">
        <v>879</v>
      </c>
      <c r="AM2" s="555" t="s">
        <v>878</v>
      </c>
    </row>
    <row r="3" spans="1:44" x14ac:dyDescent="0.25">
      <c r="A3" s="423" t="s">
        <v>995</v>
      </c>
      <c r="B3" s="448">
        <v>33</v>
      </c>
      <c r="C3" s="25">
        <v>86</v>
      </c>
      <c r="D3" s="42" t="s">
        <v>166</v>
      </c>
      <c r="E3" s="449">
        <v>1</v>
      </c>
      <c r="F3" s="450">
        <v>1</v>
      </c>
      <c r="G3" s="451">
        <v>9</v>
      </c>
      <c r="H3" s="36">
        <v>0</v>
      </c>
      <c r="I3" s="36">
        <v>9</v>
      </c>
      <c r="J3" s="36">
        <v>14</v>
      </c>
      <c r="K3" s="36">
        <v>3</v>
      </c>
      <c r="L3" s="36">
        <v>11</v>
      </c>
      <c r="M3" s="36">
        <v>0</v>
      </c>
      <c r="N3" s="452">
        <v>4</v>
      </c>
      <c r="O3" s="27">
        <f t="shared" ref="O3:O25" si="0">((I3+F3+(LOG(G3)*4/3))*0.27)</f>
        <v>3.0435273033981569</v>
      </c>
      <c r="P3" s="27">
        <f t="shared" ref="P3:P25" si="1">((I3+F3+(LOG(G3)*4/3))*0.594)</f>
        <v>6.6957600674759448</v>
      </c>
      <c r="Q3" s="27">
        <f t="shared" ref="Q3:Q25" si="2">O3/2</f>
        <v>1.5217636516990785</v>
      </c>
      <c r="R3" s="27">
        <f t="shared" ref="R3:R25" si="3">((J3+F3+(LOG(G3)*4/3))*0.944)</f>
        <v>15.361073238547631</v>
      </c>
      <c r="S3" s="27">
        <f t="shared" ref="S3:S25" si="4">((L3+F3+(LOG(G3)*4/3))*0.13)</f>
        <v>1.725402034969483</v>
      </c>
      <c r="T3" s="27">
        <f t="shared" ref="T3:T25" si="5">((M3+F3+(LOG(G3)*4/3))*0.173)+((L3+F3+(LOG(G3)*4/3))*0.12)</f>
        <v>1.9857907403542963</v>
      </c>
      <c r="U3" s="27">
        <f t="shared" ref="U3:U25" si="6">S3/2</f>
        <v>0.86270101748474148</v>
      </c>
      <c r="V3" s="27">
        <f t="shared" ref="V3:V25" si="7">((I3+F3+(LOG(G3)*4/3))*0.189)</f>
        <v>2.1304691123787101</v>
      </c>
      <c r="W3" s="27">
        <f t="shared" ref="W3:W25" si="8">((I3+F3+(LOG(G3)*4/3))*0.4)</f>
        <v>4.5089293383676399</v>
      </c>
      <c r="X3" s="27">
        <f t="shared" ref="X3:X25" si="9">V3/2</f>
        <v>1.065234556189355</v>
      </c>
      <c r="Y3" s="27">
        <f t="shared" ref="Y3:Y25" si="10">((J3+F3+(LOG(G3)*4/3))*1)</f>
        <v>16.272323345919101</v>
      </c>
      <c r="Z3" s="27">
        <f t="shared" ref="Z3:Z25" si="11">((L3+F3+(LOG(G3)*4/3))*0.253)</f>
        <v>3.3578978065175322</v>
      </c>
      <c r="AA3" s="27">
        <f t="shared" ref="AA3:AA25" si="12">((M3+F3+(LOG(G3)*4/3))*0.21)+((L3+F3+(LOG(G3)*4/3))*0.341)</f>
        <v>5.003050163601424</v>
      </c>
      <c r="AB3" s="27">
        <f t="shared" ref="AB3:AB25" si="13">Z3/2</f>
        <v>1.6789489032587661</v>
      </c>
      <c r="AC3" s="488">
        <v>1350</v>
      </c>
      <c r="AD3" s="491">
        <v>19.5</v>
      </c>
      <c r="AE3" s="561"/>
      <c r="AF3" s="462">
        <v>1100</v>
      </c>
      <c r="AG3" s="562">
        <v>870</v>
      </c>
      <c r="AH3" s="554"/>
      <c r="AI3" s="554">
        <f t="shared" ref="AI3:AI25" si="14">AC3+(AD3*16*(34-B3-((112-C3)/112)))-AF3</f>
        <v>489.57142857142844</v>
      </c>
      <c r="AJ3" s="567">
        <f t="shared" ref="AJ3:AJ25" si="15">AC3+(AD3*16*(36-B3-((112-C3)/112)))-AG3</f>
        <v>1343.5714285714284</v>
      </c>
      <c r="AK3" s="554"/>
      <c r="AL3" s="554">
        <f t="shared" ref="AL3:AL25" si="16">(AI3)/(34-B3+((112-C3)/112))</f>
        <v>397.3333333333332</v>
      </c>
      <c r="AM3" s="554">
        <f t="shared" ref="AM3:AM25" si="17">(AJ3)/(36-B3+((112-C3)/112))</f>
        <v>415.69060773480658</v>
      </c>
    </row>
    <row r="4" spans="1:44" x14ac:dyDescent="0.25">
      <c r="A4" s="423" t="s">
        <v>996</v>
      </c>
      <c r="B4" s="448">
        <v>33</v>
      </c>
      <c r="C4" s="25">
        <v>21</v>
      </c>
      <c r="E4" s="449">
        <v>3</v>
      </c>
      <c r="F4" s="450">
        <v>1</v>
      </c>
      <c r="G4" s="451">
        <v>9</v>
      </c>
      <c r="H4" s="36">
        <v>0</v>
      </c>
      <c r="I4" s="36">
        <v>10</v>
      </c>
      <c r="J4" s="36">
        <v>13</v>
      </c>
      <c r="K4" s="36">
        <v>5</v>
      </c>
      <c r="L4" s="36">
        <v>12</v>
      </c>
      <c r="M4" s="36">
        <v>4</v>
      </c>
      <c r="N4" s="452">
        <v>14</v>
      </c>
      <c r="O4" s="27">
        <f t="shared" si="0"/>
        <v>3.3135273033981569</v>
      </c>
      <c r="P4" s="27">
        <f t="shared" si="1"/>
        <v>7.2897600674759451</v>
      </c>
      <c r="Q4" s="27">
        <f t="shared" si="2"/>
        <v>1.6567636516990785</v>
      </c>
      <c r="R4" s="27">
        <f t="shared" si="3"/>
        <v>14.41707323854763</v>
      </c>
      <c r="S4" s="27">
        <f t="shared" si="4"/>
        <v>1.8554020349694831</v>
      </c>
      <c r="T4" s="27">
        <f t="shared" si="5"/>
        <v>2.7977907403542961</v>
      </c>
      <c r="U4" s="27">
        <f t="shared" si="6"/>
        <v>0.92770101748474154</v>
      </c>
      <c r="V4" s="27">
        <f t="shared" si="7"/>
        <v>2.3194691123787097</v>
      </c>
      <c r="W4" s="27">
        <f t="shared" si="8"/>
        <v>4.9089293383676402</v>
      </c>
      <c r="X4" s="27">
        <f t="shared" si="9"/>
        <v>1.1597345561893548</v>
      </c>
      <c r="Y4" s="27">
        <f t="shared" si="10"/>
        <v>15.2723233459191</v>
      </c>
      <c r="Z4" s="27">
        <f t="shared" si="11"/>
        <v>3.6108978065175323</v>
      </c>
      <c r="AA4" s="27">
        <f t="shared" si="12"/>
        <v>6.184050163601424</v>
      </c>
      <c r="AB4" s="27">
        <f t="shared" si="13"/>
        <v>1.8054489032587662</v>
      </c>
      <c r="AC4" s="488">
        <v>1150</v>
      </c>
      <c r="AD4" s="491">
        <v>12.9</v>
      </c>
      <c r="AE4" s="561"/>
      <c r="AF4" s="462">
        <v>1375</v>
      </c>
      <c r="AG4" s="562">
        <v>900</v>
      </c>
      <c r="AH4" s="554"/>
      <c r="AI4" s="554">
        <f t="shared" si="14"/>
        <v>-186.29999999999995</v>
      </c>
      <c r="AJ4" s="567">
        <f t="shared" si="15"/>
        <v>701.5</v>
      </c>
      <c r="AK4" s="554"/>
      <c r="AL4" s="554">
        <f t="shared" si="16"/>
        <v>-102.7862068965517</v>
      </c>
      <c r="AM4" s="554">
        <f t="shared" si="17"/>
        <v>184</v>
      </c>
    </row>
    <row r="5" spans="1:44" x14ac:dyDescent="0.25">
      <c r="A5" s="423" t="s">
        <v>997</v>
      </c>
      <c r="B5" s="448">
        <v>32</v>
      </c>
      <c r="C5" s="25">
        <v>92</v>
      </c>
      <c r="D5" s="42" t="s">
        <v>166</v>
      </c>
      <c r="E5" s="449">
        <v>3</v>
      </c>
      <c r="F5" s="450">
        <v>1</v>
      </c>
      <c r="G5" s="451">
        <v>8</v>
      </c>
      <c r="H5" s="36">
        <v>0</v>
      </c>
      <c r="I5" s="36">
        <v>7</v>
      </c>
      <c r="J5" s="36">
        <v>13</v>
      </c>
      <c r="K5" s="36">
        <v>1</v>
      </c>
      <c r="L5" s="36">
        <v>8</v>
      </c>
      <c r="M5" s="36">
        <v>7</v>
      </c>
      <c r="N5" s="452">
        <v>5</v>
      </c>
      <c r="O5" s="27">
        <f t="shared" si="0"/>
        <v>2.4851123953170999</v>
      </c>
      <c r="P5" s="27">
        <f t="shared" si="1"/>
        <v>5.4672472696976193</v>
      </c>
      <c r="Q5" s="27">
        <f t="shared" si="2"/>
        <v>1.24255619765855</v>
      </c>
      <c r="R5" s="27">
        <f t="shared" si="3"/>
        <v>14.352689263627193</v>
      </c>
      <c r="S5" s="27">
        <f t="shared" si="4"/>
        <v>1.3265355977452702</v>
      </c>
      <c r="T5" s="27">
        <f t="shared" si="5"/>
        <v>2.8168071549181857</v>
      </c>
      <c r="U5" s="27">
        <f t="shared" si="6"/>
        <v>0.66326779887263509</v>
      </c>
      <c r="V5" s="27">
        <f t="shared" si="7"/>
        <v>1.7395786767219699</v>
      </c>
      <c r="W5" s="27">
        <f t="shared" si="8"/>
        <v>3.68164799306237</v>
      </c>
      <c r="X5" s="27">
        <f t="shared" si="9"/>
        <v>0.86978933836098493</v>
      </c>
      <c r="Y5" s="27">
        <f t="shared" si="10"/>
        <v>15.204119982655925</v>
      </c>
      <c r="Z5" s="27">
        <f t="shared" si="11"/>
        <v>2.5816423556119492</v>
      </c>
      <c r="AA5" s="27">
        <f t="shared" si="12"/>
        <v>5.4124701104434152</v>
      </c>
      <c r="AB5" s="27">
        <f t="shared" si="13"/>
        <v>1.2908211778059746</v>
      </c>
      <c r="AC5" s="488">
        <v>850</v>
      </c>
      <c r="AD5" s="491">
        <v>16.7</v>
      </c>
      <c r="AE5" s="561"/>
      <c r="AF5" s="462">
        <v>450</v>
      </c>
      <c r="AG5" s="562">
        <v>310</v>
      </c>
      <c r="AH5" s="554"/>
      <c r="AI5" s="554">
        <f t="shared" si="14"/>
        <v>886.68571428571431</v>
      </c>
      <c r="AJ5" s="567">
        <f t="shared" si="15"/>
        <v>1561.0857142857144</v>
      </c>
      <c r="AK5" s="554"/>
      <c r="AL5" s="554">
        <f t="shared" si="16"/>
        <v>407.00327868852463</v>
      </c>
      <c r="AM5" s="554">
        <f t="shared" si="17"/>
        <v>373.5931623931624</v>
      </c>
    </row>
    <row r="6" spans="1:44" x14ac:dyDescent="0.25">
      <c r="A6" s="423" t="s">
        <v>998</v>
      </c>
      <c r="B6" s="448">
        <v>32</v>
      </c>
      <c r="C6" s="25">
        <v>40</v>
      </c>
      <c r="D6" s="42" t="s">
        <v>166</v>
      </c>
      <c r="E6" s="449">
        <v>4</v>
      </c>
      <c r="F6" s="450">
        <v>1</v>
      </c>
      <c r="G6" s="451">
        <v>9</v>
      </c>
      <c r="H6" s="36">
        <v>0</v>
      </c>
      <c r="I6" s="36">
        <v>3</v>
      </c>
      <c r="J6" s="36">
        <v>15</v>
      </c>
      <c r="K6" s="36">
        <v>6</v>
      </c>
      <c r="L6" s="36">
        <v>14</v>
      </c>
      <c r="M6" s="36">
        <v>2</v>
      </c>
      <c r="N6" s="452">
        <v>3</v>
      </c>
      <c r="O6" s="27">
        <f t="shared" si="0"/>
        <v>1.423527303398157</v>
      </c>
      <c r="P6" s="27">
        <f t="shared" si="1"/>
        <v>3.1317600674759452</v>
      </c>
      <c r="Q6" s="27">
        <f t="shared" si="2"/>
        <v>0.71176365169907851</v>
      </c>
      <c r="R6" s="27">
        <f t="shared" si="3"/>
        <v>16.305073238547632</v>
      </c>
      <c r="S6" s="27">
        <f t="shared" si="4"/>
        <v>2.1154020349694833</v>
      </c>
      <c r="T6" s="27">
        <f t="shared" si="5"/>
        <v>2.6917907403542962</v>
      </c>
      <c r="U6" s="27">
        <f t="shared" si="6"/>
        <v>1.0577010174847417</v>
      </c>
      <c r="V6" s="27">
        <f t="shared" si="7"/>
        <v>0.99646911237870983</v>
      </c>
      <c r="W6" s="27">
        <f t="shared" si="8"/>
        <v>2.10892933836764</v>
      </c>
      <c r="X6" s="27">
        <f t="shared" si="9"/>
        <v>0.49823455618935492</v>
      </c>
      <c r="Y6" s="27">
        <f t="shared" si="10"/>
        <v>17.272323345919101</v>
      </c>
      <c r="Z6" s="27">
        <f t="shared" si="11"/>
        <v>4.1168978065175326</v>
      </c>
      <c r="AA6" s="27">
        <f t="shared" si="12"/>
        <v>6.4460501636014245</v>
      </c>
      <c r="AB6" s="27">
        <f t="shared" si="13"/>
        <v>2.0584489032587663</v>
      </c>
      <c r="AC6" s="488">
        <v>1500</v>
      </c>
      <c r="AD6" s="491">
        <f>26.5*0.9</f>
        <v>23.85</v>
      </c>
      <c r="AE6" s="561"/>
      <c r="AF6" s="462">
        <v>1000</v>
      </c>
      <c r="AG6" s="562">
        <v>500</v>
      </c>
      <c r="AH6" s="554"/>
      <c r="AI6" s="554">
        <f t="shared" si="14"/>
        <v>1017.8857142857144</v>
      </c>
      <c r="AJ6" s="567">
        <f t="shared" si="15"/>
        <v>2281.0857142857144</v>
      </c>
      <c r="AK6" s="554"/>
      <c r="AL6" s="554">
        <f t="shared" si="16"/>
        <v>385.14594594594598</v>
      </c>
      <c r="AM6" s="554">
        <f t="shared" si="17"/>
        <v>491.31076923076921</v>
      </c>
    </row>
    <row r="7" spans="1:44" x14ac:dyDescent="0.25">
      <c r="A7" s="423" t="s">
        <v>999</v>
      </c>
      <c r="B7" s="448">
        <v>32</v>
      </c>
      <c r="C7" s="25">
        <v>85</v>
      </c>
      <c r="E7" s="449">
        <v>3</v>
      </c>
      <c r="F7" s="450">
        <v>1</v>
      </c>
      <c r="G7" s="451">
        <v>9</v>
      </c>
      <c r="H7" s="36">
        <v>0</v>
      </c>
      <c r="I7" s="36">
        <v>6</v>
      </c>
      <c r="J7" s="36">
        <v>13</v>
      </c>
      <c r="K7" s="36">
        <v>7</v>
      </c>
      <c r="L7" s="36">
        <v>12</v>
      </c>
      <c r="M7" s="36">
        <v>5</v>
      </c>
      <c r="N7" s="452">
        <v>16</v>
      </c>
      <c r="O7" s="27">
        <f t="shared" si="0"/>
        <v>2.2335273033981569</v>
      </c>
      <c r="P7" s="27">
        <f t="shared" si="1"/>
        <v>4.9137600674759447</v>
      </c>
      <c r="Q7" s="27">
        <f t="shared" si="2"/>
        <v>1.1167636516990784</v>
      </c>
      <c r="R7" s="27">
        <f t="shared" si="3"/>
        <v>14.41707323854763</v>
      </c>
      <c r="S7" s="27">
        <f t="shared" si="4"/>
        <v>1.8554020349694831</v>
      </c>
      <c r="T7" s="27">
        <f t="shared" si="5"/>
        <v>2.9707907403542961</v>
      </c>
      <c r="U7" s="27">
        <f t="shared" si="6"/>
        <v>0.92770101748474154</v>
      </c>
      <c r="V7" s="27">
        <f t="shared" si="7"/>
        <v>1.5634691123787099</v>
      </c>
      <c r="W7" s="27">
        <f t="shared" si="8"/>
        <v>3.3089293383676401</v>
      </c>
      <c r="X7" s="27">
        <f t="shared" si="9"/>
        <v>0.78173455618935495</v>
      </c>
      <c r="Y7" s="27">
        <f t="shared" si="10"/>
        <v>15.2723233459191</v>
      </c>
      <c r="Z7" s="27">
        <f t="shared" si="11"/>
        <v>3.6108978065175323</v>
      </c>
      <c r="AA7" s="27">
        <f t="shared" si="12"/>
        <v>6.394050163601424</v>
      </c>
      <c r="AB7" s="27">
        <f t="shared" si="13"/>
        <v>1.8054489032587662</v>
      </c>
      <c r="AC7" s="488">
        <v>1475</v>
      </c>
      <c r="AD7" s="491">
        <v>14.1</v>
      </c>
      <c r="AE7" s="561"/>
      <c r="AF7" s="462">
        <v>850</v>
      </c>
      <c r="AG7" s="562">
        <v>700</v>
      </c>
      <c r="AH7" s="554"/>
      <c r="AI7" s="554">
        <f t="shared" si="14"/>
        <v>1021.8142857142857</v>
      </c>
      <c r="AJ7" s="567">
        <f t="shared" si="15"/>
        <v>1623.0142857142855</v>
      </c>
      <c r="AK7" s="554"/>
      <c r="AL7" s="554">
        <f t="shared" si="16"/>
        <v>455.94900398406378</v>
      </c>
      <c r="AM7" s="554">
        <f t="shared" si="17"/>
        <v>382.68968421052625</v>
      </c>
    </row>
    <row r="8" spans="1:44" x14ac:dyDescent="0.25">
      <c r="A8" s="423" t="s">
        <v>1000</v>
      </c>
      <c r="B8" s="278">
        <v>30</v>
      </c>
      <c r="C8" s="25">
        <v>96</v>
      </c>
      <c r="D8" s="42" t="s">
        <v>198</v>
      </c>
      <c r="E8" s="422">
        <v>4</v>
      </c>
      <c r="F8" s="424">
        <v>1</v>
      </c>
      <c r="G8" s="425">
        <v>7</v>
      </c>
      <c r="H8" s="36">
        <v>0</v>
      </c>
      <c r="I8" s="36">
        <v>5</v>
      </c>
      <c r="J8" s="36">
        <v>13</v>
      </c>
      <c r="K8" s="36">
        <v>5</v>
      </c>
      <c r="L8" s="36">
        <v>6</v>
      </c>
      <c r="M8" s="36">
        <v>3</v>
      </c>
      <c r="N8" s="426">
        <v>11</v>
      </c>
      <c r="O8" s="27">
        <f t="shared" si="0"/>
        <v>1.9242352944051324</v>
      </c>
      <c r="P8" s="27">
        <f t="shared" si="1"/>
        <v>4.2333176476912913</v>
      </c>
      <c r="Q8" s="27">
        <f t="shared" si="2"/>
        <v>0.96211764720256621</v>
      </c>
      <c r="R8" s="27">
        <f t="shared" si="3"/>
        <v>14.279696733031276</v>
      </c>
      <c r="S8" s="27">
        <f t="shared" si="4"/>
        <v>1.0564836602691379</v>
      </c>
      <c r="T8" s="27">
        <f t="shared" si="5"/>
        <v>1.8621516342989026</v>
      </c>
      <c r="U8" s="27">
        <f t="shared" si="6"/>
        <v>0.52824183013456893</v>
      </c>
      <c r="V8" s="27">
        <f t="shared" si="7"/>
        <v>1.3469647060835925</v>
      </c>
      <c r="W8" s="27">
        <f t="shared" si="8"/>
        <v>2.8507189546742704</v>
      </c>
      <c r="X8" s="27">
        <f t="shared" si="9"/>
        <v>0.67348235304179627</v>
      </c>
      <c r="Y8" s="27">
        <f t="shared" si="10"/>
        <v>15.126797386685675</v>
      </c>
      <c r="Z8" s="27">
        <f t="shared" si="11"/>
        <v>2.056079738831476</v>
      </c>
      <c r="AA8" s="27">
        <f t="shared" si="12"/>
        <v>3.8478653600638073</v>
      </c>
      <c r="AB8" s="27">
        <f t="shared" si="13"/>
        <v>1.028039869415738</v>
      </c>
      <c r="AC8" s="488">
        <v>800</v>
      </c>
      <c r="AD8" s="491">
        <v>15.4</v>
      </c>
      <c r="AE8" s="482">
        <v>480</v>
      </c>
      <c r="AF8" s="462">
        <v>270</v>
      </c>
      <c r="AG8" s="562">
        <v>100</v>
      </c>
      <c r="AH8" s="554">
        <f t="shared" ref="AH8:AH25" si="18">AC8+(AD8*16*(32-B8-((112-C8)/112)))-AE8</f>
        <v>777.59999999999991</v>
      </c>
      <c r="AI8" s="554">
        <f t="shared" si="14"/>
        <v>1480.4</v>
      </c>
      <c r="AJ8" s="567">
        <f t="shared" si="15"/>
        <v>2143.1999999999998</v>
      </c>
      <c r="AK8" s="554">
        <f t="shared" ref="AK8:AK25" si="19">(AH8)/(32-B8+((112-C8)/112))</f>
        <v>362.88</v>
      </c>
      <c r="AL8" s="554">
        <f t="shared" si="16"/>
        <v>357.33793103448272</v>
      </c>
      <c r="AM8" s="554">
        <f t="shared" si="17"/>
        <v>348.89302325581389</v>
      </c>
    </row>
    <row r="9" spans="1:44" x14ac:dyDescent="0.25">
      <c r="A9" s="423" t="s">
        <v>1001</v>
      </c>
      <c r="B9" s="448">
        <v>32</v>
      </c>
      <c r="C9" s="25">
        <v>77</v>
      </c>
      <c r="E9" s="449">
        <v>4</v>
      </c>
      <c r="F9" s="450">
        <v>1</v>
      </c>
      <c r="G9" s="451">
        <v>10</v>
      </c>
      <c r="H9" s="36">
        <v>0</v>
      </c>
      <c r="I9" s="36">
        <v>9</v>
      </c>
      <c r="J9" s="36">
        <v>13</v>
      </c>
      <c r="K9" s="36">
        <v>6</v>
      </c>
      <c r="L9" s="36">
        <v>9</v>
      </c>
      <c r="M9" s="36">
        <v>5</v>
      </c>
      <c r="N9" s="452">
        <v>11</v>
      </c>
      <c r="O9" s="27">
        <f t="shared" si="0"/>
        <v>3.0600000000000005</v>
      </c>
      <c r="P9" s="27">
        <f t="shared" si="1"/>
        <v>6.7320000000000002</v>
      </c>
      <c r="Q9" s="27">
        <f t="shared" si="2"/>
        <v>1.5300000000000002</v>
      </c>
      <c r="R9" s="27">
        <f t="shared" si="3"/>
        <v>14.474666666666666</v>
      </c>
      <c r="S9" s="27">
        <f t="shared" si="4"/>
        <v>1.4733333333333334</v>
      </c>
      <c r="T9" s="27">
        <f t="shared" si="5"/>
        <v>2.6286666666666667</v>
      </c>
      <c r="U9" s="27">
        <f t="shared" si="6"/>
        <v>0.73666666666666669</v>
      </c>
      <c r="V9" s="27">
        <f t="shared" si="7"/>
        <v>2.1420000000000003</v>
      </c>
      <c r="W9" s="27">
        <f t="shared" si="8"/>
        <v>4.5333333333333341</v>
      </c>
      <c r="X9" s="27">
        <f t="shared" si="9"/>
        <v>1.0710000000000002</v>
      </c>
      <c r="Y9" s="27">
        <f t="shared" si="10"/>
        <v>15.333333333333334</v>
      </c>
      <c r="Z9" s="27">
        <f t="shared" si="11"/>
        <v>2.8673333333333337</v>
      </c>
      <c r="AA9" s="27">
        <f t="shared" si="12"/>
        <v>5.4046666666666674</v>
      </c>
      <c r="AB9" s="27">
        <f t="shared" si="13"/>
        <v>1.4336666666666669</v>
      </c>
      <c r="AC9" s="488">
        <v>1200</v>
      </c>
      <c r="AD9" s="491">
        <v>10.7</v>
      </c>
      <c r="AE9" s="561"/>
      <c r="AF9" s="462">
        <v>850</v>
      </c>
      <c r="AG9" s="562">
        <v>610</v>
      </c>
      <c r="AH9" s="554"/>
      <c r="AI9" s="554">
        <f t="shared" si="14"/>
        <v>638.90000000000009</v>
      </c>
      <c r="AJ9" s="567">
        <f t="shared" si="15"/>
        <v>1221.3</v>
      </c>
      <c r="AK9" s="554"/>
      <c r="AL9" s="554">
        <f t="shared" si="16"/>
        <v>276.28108108108114</v>
      </c>
      <c r="AM9" s="554">
        <f t="shared" si="17"/>
        <v>283.2</v>
      </c>
    </row>
    <row r="10" spans="1:44" x14ac:dyDescent="0.25">
      <c r="A10" s="423"/>
      <c r="B10" s="448"/>
      <c r="C10" s="25"/>
      <c r="E10" s="449"/>
      <c r="F10" s="450"/>
      <c r="G10" s="451"/>
      <c r="H10" s="36"/>
      <c r="I10" s="36"/>
      <c r="J10" s="36"/>
      <c r="K10" s="36"/>
      <c r="L10" s="36"/>
      <c r="M10" s="36"/>
      <c r="N10" s="452"/>
      <c r="O10" s="27" t="e">
        <f t="shared" si="0"/>
        <v>#NUM!</v>
      </c>
      <c r="P10" s="27" t="e">
        <f t="shared" si="1"/>
        <v>#NUM!</v>
      </c>
      <c r="Q10" s="27" t="e">
        <f t="shared" si="2"/>
        <v>#NUM!</v>
      </c>
      <c r="R10" s="27" t="e">
        <f t="shared" si="3"/>
        <v>#NUM!</v>
      </c>
      <c r="S10" s="27" t="e">
        <f t="shared" si="4"/>
        <v>#NUM!</v>
      </c>
      <c r="T10" s="27" t="e">
        <f t="shared" si="5"/>
        <v>#NUM!</v>
      </c>
      <c r="U10" s="27" t="e">
        <f t="shared" si="6"/>
        <v>#NUM!</v>
      </c>
      <c r="V10" s="27" t="e">
        <f t="shared" si="7"/>
        <v>#NUM!</v>
      </c>
      <c r="W10" s="27" t="e">
        <f t="shared" si="8"/>
        <v>#NUM!</v>
      </c>
      <c r="X10" s="27" t="e">
        <f t="shared" si="9"/>
        <v>#NUM!</v>
      </c>
      <c r="Y10" s="27" t="e">
        <f t="shared" si="10"/>
        <v>#NUM!</v>
      </c>
      <c r="Z10" s="27" t="e">
        <f t="shared" si="11"/>
        <v>#NUM!</v>
      </c>
      <c r="AA10" s="27" t="e">
        <f t="shared" si="12"/>
        <v>#NUM!</v>
      </c>
      <c r="AB10" s="27" t="e">
        <f t="shared" si="13"/>
        <v>#NUM!</v>
      </c>
      <c r="AC10" s="488"/>
      <c r="AD10" s="491"/>
      <c r="AE10" s="482"/>
      <c r="AG10" s="562"/>
      <c r="AH10" s="554">
        <f t="shared" si="18"/>
        <v>0</v>
      </c>
      <c r="AI10" s="554">
        <f t="shared" si="14"/>
        <v>0</v>
      </c>
      <c r="AJ10" s="567">
        <f t="shared" si="15"/>
        <v>0</v>
      </c>
      <c r="AK10" s="554">
        <f t="shared" si="19"/>
        <v>0</v>
      </c>
      <c r="AL10" s="554">
        <f t="shared" si="16"/>
        <v>0</v>
      </c>
      <c r="AM10" s="554">
        <f t="shared" si="17"/>
        <v>0</v>
      </c>
    </row>
    <row r="11" spans="1:44" x14ac:dyDescent="0.25">
      <c r="A11" s="423"/>
      <c r="B11" s="278"/>
      <c r="C11" s="25"/>
      <c r="E11" s="422"/>
      <c r="F11" s="424"/>
      <c r="G11" s="425"/>
      <c r="H11" s="36"/>
      <c r="I11" s="36"/>
      <c r="J11" s="36"/>
      <c r="K11" s="36"/>
      <c r="L11" s="36"/>
      <c r="M11" s="36"/>
      <c r="N11" s="426"/>
      <c r="O11" s="27" t="e">
        <f t="shared" si="0"/>
        <v>#NUM!</v>
      </c>
      <c r="P11" s="27" t="e">
        <f t="shared" si="1"/>
        <v>#NUM!</v>
      </c>
      <c r="Q11" s="27" t="e">
        <f t="shared" si="2"/>
        <v>#NUM!</v>
      </c>
      <c r="R11" s="27" t="e">
        <f t="shared" si="3"/>
        <v>#NUM!</v>
      </c>
      <c r="S11" s="27" t="e">
        <f t="shared" si="4"/>
        <v>#NUM!</v>
      </c>
      <c r="T11" s="27" t="e">
        <f t="shared" si="5"/>
        <v>#NUM!</v>
      </c>
      <c r="U11" s="27" t="e">
        <f t="shared" si="6"/>
        <v>#NUM!</v>
      </c>
      <c r="V11" s="27" t="e">
        <f t="shared" si="7"/>
        <v>#NUM!</v>
      </c>
      <c r="W11" s="27" t="e">
        <f t="shared" si="8"/>
        <v>#NUM!</v>
      </c>
      <c r="X11" s="27" t="e">
        <f t="shared" si="9"/>
        <v>#NUM!</v>
      </c>
      <c r="Y11" s="27" t="e">
        <f t="shared" si="10"/>
        <v>#NUM!</v>
      </c>
      <c r="Z11" s="27" t="e">
        <f t="shared" si="11"/>
        <v>#NUM!</v>
      </c>
      <c r="AA11" s="27" t="e">
        <f t="shared" si="12"/>
        <v>#NUM!</v>
      </c>
      <c r="AB11" s="27" t="e">
        <f t="shared" si="13"/>
        <v>#NUM!</v>
      </c>
      <c r="AC11" s="488"/>
      <c r="AD11" s="491"/>
      <c r="AE11" s="482"/>
      <c r="AG11" s="562"/>
      <c r="AH11" s="554">
        <f t="shared" si="18"/>
        <v>0</v>
      </c>
      <c r="AI11" s="554">
        <f t="shared" si="14"/>
        <v>0</v>
      </c>
      <c r="AJ11" s="567">
        <f t="shared" si="15"/>
        <v>0</v>
      </c>
      <c r="AK11" s="554">
        <f t="shared" si="19"/>
        <v>0</v>
      </c>
      <c r="AL11" s="554">
        <f t="shared" si="16"/>
        <v>0</v>
      </c>
      <c r="AM11" s="554">
        <f t="shared" si="17"/>
        <v>0</v>
      </c>
    </row>
    <row r="12" spans="1:44" x14ac:dyDescent="0.25">
      <c r="A12" s="423"/>
      <c r="B12" s="278"/>
      <c r="C12" s="25"/>
      <c r="E12" s="422"/>
      <c r="F12" s="424"/>
      <c r="G12" s="425"/>
      <c r="H12" s="36"/>
      <c r="I12" s="36"/>
      <c r="J12" s="36"/>
      <c r="K12" s="36"/>
      <c r="L12" s="36"/>
      <c r="M12" s="36"/>
      <c r="N12" s="426"/>
      <c r="O12" s="27" t="e">
        <f t="shared" si="0"/>
        <v>#NUM!</v>
      </c>
      <c r="P12" s="27" t="e">
        <f t="shared" si="1"/>
        <v>#NUM!</v>
      </c>
      <c r="Q12" s="27" t="e">
        <f t="shared" si="2"/>
        <v>#NUM!</v>
      </c>
      <c r="R12" s="27" t="e">
        <f t="shared" si="3"/>
        <v>#NUM!</v>
      </c>
      <c r="S12" s="27" t="e">
        <f t="shared" si="4"/>
        <v>#NUM!</v>
      </c>
      <c r="T12" s="27" t="e">
        <f t="shared" si="5"/>
        <v>#NUM!</v>
      </c>
      <c r="U12" s="27" t="e">
        <f t="shared" si="6"/>
        <v>#NUM!</v>
      </c>
      <c r="V12" s="27" t="e">
        <f t="shared" si="7"/>
        <v>#NUM!</v>
      </c>
      <c r="W12" s="27" t="e">
        <f t="shared" si="8"/>
        <v>#NUM!</v>
      </c>
      <c r="X12" s="27" t="e">
        <f t="shared" si="9"/>
        <v>#NUM!</v>
      </c>
      <c r="Y12" s="27" t="e">
        <f t="shared" si="10"/>
        <v>#NUM!</v>
      </c>
      <c r="Z12" s="27" t="e">
        <f t="shared" si="11"/>
        <v>#NUM!</v>
      </c>
      <c r="AA12" s="27" t="e">
        <f t="shared" si="12"/>
        <v>#NUM!</v>
      </c>
      <c r="AB12" s="27" t="e">
        <f t="shared" si="13"/>
        <v>#NUM!</v>
      </c>
      <c r="AC12" s="488"/>
      <c r="AD12" s="491"/>
      <c r="AE12" s="482"/>
      <c r="AG12" s="562"/>
      <c r="AH12" s="554">
        <f t="shared" si="18"/>
        <v>0</v>
      </c>
      <c r="AI12" s="554">
        <f t="shared" si="14"/>
        <v>0</v>
      </c>
      <c r="AJ12" s="567">
        <f t="shared" si="15"/>
        <v>0</v>
      </c>
      <c r="AK12" s="554">
        <f t="shared" si="19"/>
        <v>0</v>
      </c>
      <c r="AL12" s="554">
        <f t="shared" si="16"/>
        <v>0</v>
      </c>
      <c r="AM12" s="554">
        <f t="shared" si="17"/>
        <v>0</v>
      </c>
    </row>
    <row r="13" spans="1:44" x14ac:dyDescent="0.25">
      <c r="A13" s="423"/>
      <c r="B13" s="278"/>
      <c r="C13" s="25"/>
      <c r="E13" s="422"/>
      <c r="F13" s="424"/>
      <c r="G13" s="425"/>
      <c r="H13" s="36"/>
      <c r="I13" s="36"/>
      <c r="J13" s="36"/>
      <c r="K13" s="36"/>
      <c r="L13" s="36"/>
      <c r="M13" s="36"/>
      <c r="N13" s="426"/>
      <c r="O13" s="27" t="e">
        <f t="shared" si="0"/>
        <v>#NUM!</v>
      </c>
      <c r="P13" s="27" t="e">
        <f t="shared" si="1"/>
        <v>#NUM!</v>
      </c>
      <c r="Q13" s="27" t="e">
        <f t="shared" si="2"/>
        <v>#NUM!</v>
      </c>
      <c r="R13" s="27" t="e">
        <f t="shared" si="3"/>
        <v>#NUM!</v>
      </c>
      <c r="S13" s="27" t="e">
        <f t="shared" si="4"/>
        <v>#NUM!</v>
      </c>
      <c r="T13" s="27" t="e">
        <f t="shared" si="5"/>
        <v>#NUM!</v>
      </c>
      <c r="U13" s="27" t="e">
        <f t="shared" si="6"/>
        <v>#NUM!</v>
      </c>
      <c r="V13" s="27" t="e">
        <f t="shared" si="7"/>
        <v>#NUM!</v>
      </c>
      <c r="W13" s="27" t="e">
        <f t="shared" si="8"/>
        <v>#NUM!</v>
      </c>
      <c r="X13" s="27" t="e">
        <f t="shared" si="9"/>
        <v>#NUM!</v>
      </c>
      <c r="Y13" s="27" t="e">
        <f t="shared" si="10"/>
        <v>#NUM!</v>
      </c>
      <c r="Z13" s="27" t="e">
        <f t="shared" si="11"/>
        <v>#NUM!</v>
      </c>
      <c r="AA13" s="27" t="e">
        <f t="shared" si="12"/>
        <v>#NUM!</v>
      </c>
      <c r="AB13" s="27" t="e">
        <f t="shared" si="13"/>
        <v>#NUM!</v>
      </c>
      <c r="AC13" s="488"/>
      <c r="AD13" s="491"/>
      <c r="AE13" s="482"/>
      <c r="AG13" s="562"/>
      <c r="AH13" s="554">
        <f t="shared" si="18"/>
        <v>0</v>
      </c>
      <c r="AI13" s="554">
        <f t="shared" si="14"/>
        <v>0</v>
      </c>
      <c r="AJ13" s="567">
        <f t="shared" si="15"/>
        <v>0</v>
      </c>
      <c r="AK13" s="554">
        <f t="shared" si="19"/>
        <v>0</v>
      </c>
      <c r="AL13" s="554">
        <f t="shared" si="16"/>
        <v>0</v>
      </c>
      <c r="AM13" s="554">
        <f t="shared" si="17"/>
        <v>0</v>
      </c>
    </row>
    <row r="14" spans="1:44" x14ac:dyDescent="0.25">
      <c r="A14" s="423"/>
      <c r="B14" s="278"/>
      <c r="C14" s="25"/>
      <c r="E14" s="422"/>
      <c r="F14" s="424"/>
      <c r="G14" s="425"/>
      <c r="H14" s="36"/>
      <c r="I14" s="36"/>
      <c r="J14" s="36"/>
      <c r="K14" s="36"/>
      <c r="L14" s="36"/>
      <c r="M14" s="36"/>
      <c r="N14" s="426"/>
      <c r="O14" s="27" t="e">
        <f t="shared" si="0"/>
        <v>#NUM!</v>
      </c>
      <c r="P14" s="27" t="e">
        <f t="shared" si="1"/>
        <v>#NUM!</v>
      </c>
      <c r="Q14" s="27" t="e">
        <f t="shared" si="2"/>
        <v>#NUM!</v>
      </c>
      <c r="R14" s="27" t="e">
        <f t="shared" si="3"/>
        <v>#NUM!</v>
      </c>
      <c r="S14" s="27" t="e">
        <f t="shared" si="4"/>
        <v>#NUM!</v>
      </c>
      <c r="T14" s="27" t="e">
        <f t="shared" si="5"/>
        <v>#NUM!</v>
      </c>
      <c r="U14" s="27" t="e">
        <f t="shared" si="6"/>
        <v>#NUM!</v>
      </c>
      <c r="V14" s="27" t="e">
        <f t="shared" si="7"/>
        <v>#NUM!</v>
      </c>
      <c r="W14" s="27" t="e">
        <f t="shared" si="8"/>
        <v>#NUM!</v>
      </c>
      <c r="X14" s="27" t="e">
        <f t="shared" si="9"/>
        <v>#NUM!</v>
      </c>
      <c r="Y14" s="27" t="e">
        <f t="shared" si="10"/>
        <v>#NUM!</v>
      </c>
      <c r="Z14" s="27" t="e">
        <f t="shared" si="11"/>
        <v>#NUM!</v>
      </c>
      <c r="AA14" s="27" t="e">
        <f t="shared" si="12"/>
        <v>#NUM!</v>
      </c>
      <c r="AB14" s="27" t="e">
        <f t="shared" si="13"/>
        <v>#NUM!</v>
      </c>
      <c r="AC14" s="488"/>
      <c r="AD14" s="491"/>
      <c r="AE14" s="482"/>
      <c r="AG14" s="562"/>
      <c r="AH14" s="554">
        <f t="shared" si="18"/>
        <v>0</v>
      </c>
      <c r="AI14" s="554">
        <f t="shared" si="14"/>
        <v>0</v>
      </c>
      <c r="AJ14" s="567">
        <f t="shared" si="15"/>
        <v>0</v>
      </c>
      <c r="AK14" s="554">
        <f t="shared" si="19"/>
        <v>0</v>
      </c>
      <c r="AL14" s="554">
        <f t="shared" si="16"/>
        <v>0</v>
      </c>
      <c r="AM14" s="554">
        <f t="shared" si="17"/>
        <v>0</v>
      </c>
    </row>
    <row r="15" spans="1:44" x14ac:dyDescent="0.25">
      <c r="A15" s="423"/>
      <c r="B15" s="278"/>
      <c r="C15" s="25"/>
      <c r="E15" s="422"/>
      <c r="F15" s="424"/>
      <c r="G15" s="425"/>
      <c r="H15" s="36"/>
      <c r="I15" s="36"/>
      <c r="J15" s="36"/>
      <c r="K15" s="36"/>
      <c r="L15" s="36"/>
      <c r="M15" s="36"/>
      <c r="N15" s="426"/>
      <c r="O15" s="27" t="e">
        <f t="shared" si="0"/>
        <v>#NUM!</v>
      </c>
      <c r="P15" s="27" t="e">
        <f t="shared" si="1"/>
        <v>#NUM!</v>
      </c>
      <c r="Q15" s="27" t="e">
        <f t="shared" si="2"/>
        <v>#NUM!</v>
      </c>
      <c r="R15" s="27" t="e">
        <f t="shared" si="3"/>
        <v>#NUM!</v>
      </c>
      <c r="S15" s="27" t="e">
        <f t="shared" si="4"/>
        <v>#NUM!</v>
      </c>
      <c r="T15" s="27" t="e">
        <f t="shared" si="5"/>
        <v>#NUM!</v>
      </c>
      <c r="U15" s="27" t="e">
        <f t="shared" si="6"/>
        <v>#NUM!</v>
      </c>
      <c r="V15" s="27" t="e">
        <f t="shared" si="7"/>
        <v>#NUM!</v>
      </c>
      <c r="W15" s="27" t="e">
        <f t="shared" si="8"/>
        <v>#NUM!</v>
      </c>
      <c r="X15" s="27" t="e">
        <f t="shared" si="9"/>
        <v>#NUM!</v>
      </c>
      <c r="Y15" s="27" t="e">
        <f t="shared" si="10"/>
        <v>#NUM!</v>
      </c>
      <c r="Z15" s="27" t="e">
        <f t="shared" si="11"/>
        <v>#NUM!</v>
      </c>
      <c r="AA15" s="27" t="e">
        <f t="shared" si="12"/>
        <v>#NUM!</v>
      </c>
      <c r="AB15" s="27" t="e">
        <f t="shared" si="13"/>
        <v>#NUM!</v>
      </c>
      <c r="AC15" s="488"/>
      <c r="AD15" s="491"/>
      <c r="AE15" s="482"/>
      <c r="AG15" s="562"/>
      <c r="AH15" s="554">
        <f t="shared" si="18"/>
        <v>0</v>
      </c>
      <c r="AI15" s="554">
        <f t="shared" si="14"/>
        <v>0</v>
      </c>
      <c r="AJ15" s="567">
        <f t="shared" si="15"/>
        <v>0</v>
      </c>
      <c r="AK15" s="554">
        <f t="shared" si="19"/>
        <v>0</v>
      </c>
      <c r="AL15" s="554">
        <f t="shared" si="16"/>
        <v>0</v>
      </c>
      <c r="AM15" s="554">
        <f t="shared" si="17"/>
        <v>0</v>
      </c>
    </row>
    <row r="16" spans="1:44" x14ac:dyDescent="0.25">
      <c r="A16" s="423"/>
      <c r="B16" s="278"/>
      <c r="C16" s="25"/>
      <c r="E16" s="422"/>
      <c r="F16" s="424"/>
      <c r="G16" s="425"/>
      <c r="H16" s="36"/>
      <c r="I16" s="36"/>
      <c r="J16" s="36"/>
      <c r="K16" s="36"/>
      <c r="L16" s="36"/>
      <c r="M16" s="36"/>
      <c r="N16" s="426"/>
      <c r="O16" s="27" t="e">
        <f t="shared" si="0"/>
        <v>#NUM!</v>
      </c>
      <c r="P16" s="27" t="e">
        <f t="shared" si="1"/>
        <v>#NUM!</v>
      </c>
      <c r="Q16" s="27" t="e">
        <f t="shared" si="2"/>
        <v>#NUM!</v>
      </c>
      <c r="R16" s="27" t="e">
        <f t="shared" si="3"/>
        <v>#NUM!</v>
      </c>
      <c r="S16" s="27" t="e">
        <f t="shared" si="4"/>
        <v>#NUM!</v>
      </c>
      <c r="T16" s="27" t="e">
        <f t="shared" si="5"/>
        <v>#NUM!</v>
      </c>
      <c r="U16" s="27" t="e">
        <f t="shared" si="6"/>
        <v>#NUM!</v>
      </c>
      <c r="V16" s="27" t="e">
        <f t="shared" si="7"/>
        <v>#NUM!</v>
      </c>
      <c r="W16" s="27" t="e">
        <f t="shared" si="8"/>
        <v>#NUM!</v>
      </c>
      <c r="X16" s="27" t="e">
        <f t="shared" si="9"/>
        <v>#NUM!</v>
      </c>
      <c r="Y16" s="27" t="e">
        <f t="shared" si="10"/>
        <v>#NUM!</v>
      </c>
      <c r="Z16" s="27" t="e">
        <f t="shared" si="11"/>
        <v>#NUM!</v>
      </c>
      <c r="AA16" s="27" t="e">
        <f t="shared" si="12"/>
        <v>#NUM!</v>
      </c>
      <c r="AB16" s="27" t="e">
        <f t="shared" si="13"/>
        <v>#NUM!</v>
      </c>
      <c r="AC16" s="488"/>
      <c r="AD16" s="491"/>
      <c r="AE16" s="482"/>
      <c r="AG16" s="562"/>
      <c r="AH16" s="554">
        <f t="shared" si="18"/>
        <v>0</v>
      </c>
      <c r="AI16" s="554">
        <f t="shared" si="14"/>
        <v>0</v>
      </c>
      <c r="AJ16" s="567">
        <f t="shared" si="15"/>
        <v>0</v>
      </c>
      <c r="AK16" s="554">
        <f t="shared" si="19"/>
        <v>0</v>
      </c>
      <c r="AL16" s="554">
        <f t="shared" si="16"/>
        <v>0</v>
      </c>
      <c r="AM16" s="554">
        <f t="shared" si="17"/>
        <v>0</v>
      </c>
    </row>
    <row r="17" spans="1:41" x14ac:dyDescent="0.25">
      <c r="A17" s="423"/>
      <c r="B17" s="278"/>
      <c r="C17" s="25"/>
      <c r="E17" s="422"/>
      <c r="F17" s="424"/>
      <c r="G17" s="425"/>
      <c r="H17" s="36"/>
      <c r="I17" s="36"/>
      <c r="J17" s="36"/>
      <c r="K17" s="36"/>
      <c r="L17" s="36"/>
      <c r="M17" s="36"/>
      <c r="N17" s="426"/>
      <c r="O17" s="27" t="e">
        <f t="shared" si="0"/>
        <v>#NUM!</v>
      </c>
      <c r="P17" s="27" t="e">
        <f t="shared" si="1"/>
        <v>#NUM!</v>
      </c>
      <c r="Q17" s="27" t="e">
        <f t="shared" si="2"/>
        <v>#NUM!</v>
      </c>
      <c r="R17" s="27" t="e">
        <f t="shared" si="3"/>
        <v>#NUM!</v>
      </c>
      <c r="S17" s="27" t="e">
        <f t="shared" si="4"/>
        <v>#NUM!</v>
      </c>
      <c r="T17" s="27" t="e">
        <f t="shared" si="5"/>
        <v>#NUM!</v>
      </c>
      <c r="U17" s="27" t="e">
        <f t="shared" si="6"/>
        <v>#NUM!</v>
      </c>
      <c r="V17" s="27" t="e">
        <f t="shared" si="7"/>
        <v>#NUM!</v>
      </c>
      <c r="W17" s="27" t="e">
        <f t="shared" si="8"/>
        <v>#NUM!</v>
      </c>
      <c r="X17" s="27" t="e">
        <f t="shared" si="9"/>
        <v>#NUM!</v>
      </c>
      <c r="Y17" s="27" t="e">
        <f t="shared" si="10"/>
        <v>#NUM!</v>
      </c>
      <c r="Z17" s="27" t="e">
        <f t="shared" si="11"/>
        <v>#NUM!</v>
      </c>
      <c r="AA17" s="27" t="e">
        <f t="shared" si="12"/>
        <v>#NUM!</v>
      </c>
      <c r="AB17" s="27" t="e">
        <f t="shared" si="13"/>
        <v>#NUM!</v>
      </c>
      <c r="AC17" s="488"/>
      <c r="AD17" s="491"/>
      <c r="AE17" s="482"/>
      <c r="AG17" s="562"/>
      <c r="AH17" s="554">
        <f t="shared" si="18"/>
        <v>0</v>
      </c>
      <c r="AI17" s="554">
        <f t="shared" si="14"/>
        <v>0</v>
      </c>
      <c r="AJ17" s="567">
        <f t="shared" si="15"/>
        <v>0</v>
      </c>
      <c r="AK17" s="554">
        <f t="shared" si="19"/>
        <v>0</v>
      </c>
      <c r="AL17" s="554">
        <f t="shared" si="16"/>
        <v>0</v>
      </c>
      <c r="AM17" s="554">
        <f t="shared" si="17"/>
        <v>0</v>
      </c>
    </row>
    <row r="18" spans="1:41" x14ac:dyDescent="0.25">
      <c r="A18" s="423"/>
      <c r="B18" s="278"/>
      <c r="C18" s="25"/>
      <c r="E18" s="422"/>
      <c r="F18" s="424"/>
      <c r="G18" s="425"/>
      <c r="H18" s="36"/>
      <c r="I18" s="36"/>
      <c r="J18" s="36"/>
      <c r="K18" s="36"/>
      <c r="L18" s="36"/>
      <c r="M18" s="36"/>
      <c r="N18" s="426"/>
      <c r="O18" s="27" t="e">
        <f t="shared" si="0"/>
        <v>#NUM!</v>
      </c>
      <c r="P18" s="27" t="e">
        <f t="shared" si="1"/>
        <v>#NUM!</v>
      </c>
      <c r="Q18" s="27" t="e">
        <f t="shared" si="2"/>
        <v>#NUM!</v>
      </c>
      <c r="R18" s="27" t="e">
        <f t="shared" si="3"/>
        <v>#NUM!</v>
      </c>
      <c r="S18" s="27" t="e">
        <f t="shared" si="4"/>
        <v>#NUM!</v>
      </c>
      <c r="T18" s="27" t="e">
        <f t="shared" si="5"/>
        <v>#NUM!</v>
      </c>
      <c r="U18" s="27" t="e">
        <f t="shared" si="6"/>
        <v>#NUM!</v>
      </c>
      <c r="V18" s="27" t="e">
        <f t="shared" si="7"/>
        <v>#NUM!</v>
      </c>
      <c r="W18" s="27" t="e">
        <f t="shared" si="8"/>
        <v>#NUM!</v>
      </c>
      <c r="X18" s="27" t="e">
        <f t="shared" si="9"/>
        <v>#NUM!</v>
      </c>
      <c r="Y18" s="27" t="e">
        <f t="shared" si="10"/>
        <v>#NUM!</v>
      </c>
      <c r="Z18" s="27" t="e">
        <f t="shared" si="11"/>
        <v>#NUM!</v>
      </c>
      <c r="AA18" s="27" t="e">
        <f t="shared" si="12"/>
        <v>#NUM!</v>
      </c>
      <c r="AB18" s="27" t="e">
        <f t="shared" si="13"/>
        <v>#NUM!</v>
      </c>
      <c r="AC18" s="488"/>
      <c r="AD18" s="491"/>
      <c r="AE18" s="482"/>
      <c r="AG18" s="562"/>
      <c r="AH18" s="554">
        <f t="shared" si="18"/>
        <v>0</v>
      </c>
      <c r="AI18" s="554">
        <f t="shared" si="14"/>
        <v>0</v>
      </c>
      <c r="AJ18" s="567">
        <f t="shared" si="15"/>
        <v>0</v>
      </c>
      <c r="AK18" s="554">
        <f t="shared" si="19"/>
        <v>0</v>
      </c>
      <c r="AL18" s="554">
        <f t="shared" si="16"/>
        <v>0</v>
      </c>
      <c r="AM18" s="554">
        <f t="shared" si="17"/>
        <v>0</v>
      </c>
    </row>
    <row r="19" spans="1:41" x14ac:dyDescent="0.25">
      <c r="A19" s="423"/>
      <c r="B19" s="278"/>
      <c r="C19" s="25"/>
      <c r="E19" s="422"/>
      <c r="F19" s="424"/>
      <c r="G19" s="425"/>
      <c r="H19" s="36"/>
      <c r="I19" s="36"/>
      <c r="J19" s="36"/>
      <c r="K19" s="36"/>
      <c r="L19" s="36"/>
      <c r="M19" s="36"/>
      <c r="N19" s="426"/>
      <c r="O19" s="27" t="e">
        <f t="shared" si="0"/>
        <v>#NUM!</v>
      </c>
      <c r="P19" s="27" t="e">
        <f t="shared" si="1"/>
        <v>#NUM!</v>
      </c>
      <c r="Q19" s="27" t="e">
        <f t="shared" si="2"/>
        <v>#NUM!</v>
      </c>
      <c r="R19" s="27" t="e">
        <f t="shared" si="3"/>
        <v>#NUM!</v>
      </c>
      <c r="S19" s="27" t="e">
        <f t="shared" si="4"/>
        <v>#NUM!</v>
      </c>
      <c r="T19" s="27" t="e">
        <f t="shared" si="5"/>
        <v>#NUM!</v>
      </c>
      <c r="U19" s="27" t="e">
        <f t="shared" si="6"/>
        <v>#NUM!</v>
      </c>
      <c r="V19" s="27" t="e">
        <f t="shared" si="7"/>
        <v>#NUM!</v>
      </c>
      <c r="W19" s="27" t="e">
        <f t="shared" si="8"/>
        <v>#NUM!</v>
      </c>
      <c r="X19" s="27" t="e">
        <f t="shared" si="9"/>
        <v>#NUM!</v>
      </c>
      <c r="Y19" s="27" t="e">
        <f t="shared" si="10"/>
        <v>#NUM!</v>
      </c>
      <c r="Z19" s="27" t="e">
        <f t="shared" si="11"/>
        <v>#NUM!</v>
      </c>
      <c r="AA19" s="27" t="e">
        <f t="shared" si="12"/>
        <v>#NUM!</v>
      </c>
      <c r="AB19" s="27" t="e">
        <f t="shared" si="13"/>
        <v>#NUM!</v>
      </c>
      <c r="AC19" s="572"/>
      <c r="AD19" s="491"/>
      <c r="AE19" s="482"/>
      <c r="AG19" s="562"/>
      <c r="AH19" s="554">
        <f t="shared" si="18"/>
        <v>0</v>
      </c>
      <c r="AI19" s="554">
        <f t="shared" si="14"/>
        <v>0</v>
      </c>
      <c r="AJ19" s="567">
        <f t="shared" si="15"/>
        <v>0</v>
      </c>
      <c r="AK19" s="554">
        <f t="shared" si="19"/>
        <v>0</v>
      </c>
      <c r="AL19" s="554">
        <f t="shared" si="16"/>
        <v>0</v>
      </c>
      <c r="AM19" s="554">
        <f t="shared" si="17"/>
        <v>0</v>
      </c>
      <c r="AN19" s="557"/>
      <c r="AO19" s="557"/>
    </row>
    <row r="20" spans="1:41" x14ac:dyDescent="0.25">
      <c r="A20" s="423"/>
      <c r="B20" s="278"/>
      <c r="C20" s="25"/>
      <c r="E20" s="422"/>
      <c r="F20" s="424"/>
      <c r="G20" s="425"/>
      <c r="H20" s="36"/>
      <c r="I20" s="36"/>
      <c r="J20" s="36"/>
      <c r="K20" s="36"/>
      <c r="L20" s="36"/>
      <c r="M20" s="36"/>
      <c r="N20" s="426"/>
      <c r="O20" s="27" t="e">
        <f t="shared" si="0"/>
        <v>#NUM!</v>
      </c>
      <c r="P20" s="27" t="e">
        <f t="shared" si="1"/>
        <v>#NUM!</v>
      </c>
      <c r="Q20" s="27" t="e">
        <f t="shared" si="2"/>
        <v>#NUM!</v>
      </c>
      <c r="R20" s="27" t="e">
        <f t="shared" si="3"/>
        <v>#NUM!</v>
      </c>
      <c r="S20" s="27" t="e">
        <f t="shared" si="4"/>
        <v>#NUM!</v>
      </c>
      <c r="T20" s="27" t="e">
        <f t="shared" si="5"/>
        <v>#NUM!</v>
      </c>
      <c r="U20" s="27" t="e">
        <f t="shared" si="6"/>
        <v>#NUM!</v>
      </c>
      <c r="V20" s="27" t="e">
        <f t="shared" si="7"/>
        <v>#NUM!</v>
      </c>
      <c r="W20" s="27" t="e">
        <f t="shared" si="8"/>
        <v>#NUM!</v>
      </c>
      <c r="X20" s="27" t="e">
        <f t="shared" si="9"/>
        <v>#NUM!</v>
      </c>
      <c r="Y20" s="27" t="e">
        <f t="shared" si="10"/>
        <v>#NUM!</v>
      </c>
      <c r="Z20" s="27" t="e">
        <f t="shared" si="11"/>
        <v>#NUM!</v>
      </c>
      <c r="AA20" s="27" t="e">
        <f t="shared" si="12"/>
        <v>#NUM!</v>
      </c>
      <c r="AB20" s="27" t="e">
        <f t="shared" si="13"/>
        <v>#NUM!</v>
      </c>
      <c r="AC20" s="488"/>
      <c r="AD20" s="491"/>
      <c r="AE20" s="482"/>
      <c r="AG20" s="562"/>
      <c r="AH20" s="554">
        <f t="shared" si="18"/>
        <v>0</v>
      </c>
      <c r="AI20" s="554">
        <f t="shared" si="14"/>
        <v>0</v>
      </c>
      <c r="AJ20" s="567">
        <f t="shared" si="15"/>
        <v>0</v>
      </c>
      <c r="AK20" s="554">
        <f t="shared" si="19"/>
        <v>0</v>
      </c>
      <c r="AL20" s="554">
        <f t="shared" si="16"/>
        <v>0</v>
      </c>
      <c r="AM20" s="554">
        <f t="shared" si="17"/>
        <v>0</v>
      </c>
    </row>
    <row r="21" spans="1:41" x14ac:dyDescent="0.25">
      <c r="A21" s="423"/>
      <c r="B21" s="278"/>
      <c r="C21" s="25"/>
      <c r="E21" s="422"/>
      <c r="F21" s="424"/>
      <c r="G21" s="425"/>
      <c r="H21" s="36"/>
      <c r="I21" s="36"/>
      <c r="J21" s="36"/>
      <c r="K21" s="36"/>
      <c r="L21" s="36"/>
      <c r="M21" s="36"/>
      <c r="N21" s="426"/>
      <c r="O21" s="27" t="e">
        <f t="shared" si="0"/>
        <v>#NUM!</v>
      </c>
      <c r="P21" s="27" t="e">
        <f t="shared" si="1"/>
        <v>#NUM!</v>
      </c>
      <c r="Q21" s="27" t="e">
        <f t="shared" si="2"/>
        <v>#NUM!</v>
      </c>
      <c r="R21" s="27" t="e">
        <f t="shared" si="3"/>
        <v>#NUM!</v>
      </c>
      <c r="S21" s="27" t="e">
        <f t="shared" si="4"/>
        <v>#NUM!</v>
      </c>
      <c r="T21" s="27" t="e">
        <f t="shared" si="5"/>
        <v>#NUM!</v>
      </c>
      <c r="U21" s="27" t="e">
        <f t="shared" si="6"/>
        <v>#NUM!</v>
      </c>
      <c r="V21" s="27" t="e">
        <f t="shared" si="7"/>
        <v>#NUM!</v>
      </c>
      <c r="W21" s="27" t="e">
        <f t="shared" si="8"/>
        <v>#NUM!</v>
      </c>
      <c r="X21" s="27" t="e">
        <f t="shared" si="9"/>
        <v>#NUM!</v>
      </c>
      <c r="Y21" s="27" t="e">
        <f t="shared" si="10"/>
        <v>#NUM!</v>
      </c>
      <c r="Z21" s="27" t="e">
        <f t="shared" si="11"/>
        <v>#NUM!</v>
      </c>
      <c r="AA21" s="27" t="e">
        <f t="shared" si="12"/>
        <v>#NUM!</v>
      </c>
      <c r="AB21" s="27" t="e">
        <f t="shared" si="13"/>
        <v>#NUM!</v>
      </c>
      <c r="AC21" s="572"/>
      <c r="AD21" s="491"/>
      <c r="AE21" s="482"/>
      <c r="AG21" s="562"/>
      <c r="AH21" s="554">
        <f t="shared" si="18"/>
        <v>0</v>
      </c>
      <c r="AI21" s="554">
        <f t="shared" si="14"/>
        <v>0</v>
      </c>
      <c r="AJ21" s="567">
        <f t="shared" si="15"/>
        <v>0</v>
      </c>
      <c r="AK21" s="554">
        <f t="shared" si="19"/>
        <v>0</v>
      </c>
      <c r="AL21" s="554">
        <f t="shared" si="16"/>
        <v>0</v>
      </c>
      <c r="AM21" s="554">
        <f t="shared" si="17"/>
        <v>0</v>
      </c>
    </row>
    <row r="22" spans="1:41" x14ac:dyDescent="0.25">
      <c r="A22" s="423"/>
      <c r="B22" s="278"/>
      <c r="C22" s="25"/>
      <c r="E22" s="422"/>
      <c r="F22" s="424"/>
      <c r="G22" s="425"/>
      <c r="H22" s="36"/>
      <c r="I22" s="36"/>
      <c r="J22" s="36"/>
      <c r="K22" s="36"/>
      <c r="L22" s="36"/>
      <c r="M22" s="36"/>
      <c r="N22" s="426"/>
      <c r="O22" s="27" t="e">
        <f t="shared" si="0"/>
        <v>#NUM!</v>
      </c>
      <c r="P22" s="27" t="e">
        <f t="shared" si="1"/>
        <v>#NUM!</v>
      </c>
      <c r="Q22" s="27" t="e">
        <f t="shared" si="2"/>
        <v>#NUM!</v>
      </c>
      <c r="R22" s="27" t="e">
        <f t="shared" si="3"/>
        <v>#NUM!</v>
      </c>
      <c r="S22" s="27" t="e">
        <f t="shared" si="4"/>
        <v>#NUM!</v>
      </c>
      <c r="T22" s="27" t="e">
        <f t="shared" si="5"/>
        <v>#NUM!</v>
      </c>
      <c r="U22" s="27" t="e">
        <f t="shared" si="6"/>
        <v>#NUM!</v>
      </c>
      <c r="V22" s="27" t="e">
        <f t="shared" si="7"/>
        <v>#NUM!</v>
      </c>
      <c r="W22" s="27" t="e">
        <f t="shared" si="8"/>
        <v>#NUM!</v>
      </c>
      <c r="X22" s="27" t="e">
        <f t="shared" si="9"/>
        <v>#NUM!</v>
      </c>
      <c r="Y22" s="27" t="e">
        <f t="shared" si="10"/>
        <v>#NUM!</v>
      </c>
      <c r="Z22" s="27" t="e">
        <f t="shared" si="11"/>
        <v>#NUM!</v>
      </c>
      <c r="AA22" s="27" t="e">
        <f t="shared" si="12"/>
        <v>#NUM!</v>
      </c>
      <c r="AB22" s="27" t="e">
        <f t="shared" si="13"/>
        <v>#NUM!</v>
      </c>
      <c r="AC22" s="488"/>
      <c r="AD22" s="491"/>
      <c r="AE22" s="482"/>
      <c r="AG22" s="562"/>
      <c r="AH22" s="554">
        <f t="shared" si="18"/>
        <v>0</v>
      </c>
      <c r="AI22" s="554">
        <f t="shared" si="14"/>
        <v>0</v>
      </c>
      <c r="AJ22" s="567">
        <f t="shared" si="15"/>
        <v>0</v>
      </c>
      <c r="AK22" s="554">
        <f t="shared" si="19"/>
        <v>0</v>
      </c>
      <c r="AL22" s="554">
        <f t="shared" si="16"/>
        <v>0</v>
      </c>
      <c r="AM22" s="554">
        <f t="shared" si="17"/>
        <v>0</v>
      </c>
    </row>
    <row r="23" spans="1:41" x14ac:dyDescent="0.25">
      <c r="A23" s="423"/>
      <c r="B23" s="278"/>
      <c r="C23" s="25"/>
      <c r="E23" s="422"/>
      <c r="F23" s="424"/>
      <c r="G23" s="425"/>
      <c r="H23" s="36"/>
      <c r="I23" s="36"/>
      <c r="J23" s="36"/>
      <c r="K23" s="36"/>
      <c r="L23" s="36"/>
      <c r="M23" s="36"/>
      <c r="N23" s="426"/>
      <c r="O23" s="27" t="e">
        <f t="shared" si="0"/>
        <v>#NUM!</v>
      </c>
      <c r="P23" s="27" t="e">
        <f t="shared" si="1"/>
        <v>#NUM!</v>
      </c>
      <c r="Q23" s="27" t="e">
        <f t="shared" si="2"/>
        <v>#NUM!</v>
      </c>
      <c r="R23" s="27" t="e">
        <f t="shared" si="3"/>
        <v>#NUM!</v>
      </c>
      <c r="S23" s="27" t="e">
        <f t="shared" si="4"/>
        <v>#NUM!</v>
      </c>
      <c r="T23" s="27" t="e">
        <f t="shared" si="5"/>
        <v>#NUM!</v>
      </c>
      <c r="U23" s="27" t="e">
        <f t="shared" si="6"/>
        <v>#NUM!</v>
      </c>
      <c r="V23" s="27" t="e">
        <f t="shared" si="7"/>
        <v>#NUM!</v>
      </c>
      <c r="W23" s="27" t="e">
        <f t="shared" si="8"/>
        <v>#NUM!</v>
      </c>
      <c r="X23" s="27" t="e">
        <f t="shared" si="9"/>
        <v>#NUM!</v>
      </c>
      <c r="Y23" s="27" t="e">
        <f t="shared" si="10"/>
        <v>#NUM!</v>
      </c>
      <c r="Z23" s="27" t="e">
        <f t="shared" si="11"/>
        <v>#NUM!</v>
      </c>
      <c r="AA23" s="27" t="e">
        <f t="shared" si="12"/>
        <v>#NUM!</v>
      </c>
      <c r="AB23" s="27" t="e">
        <f t="shared" si="13"/>
        <v>#NUM!</v>
      </c>
      <c r="AC23" s="488"/>
      <c r="AD23" s="491"/>
      <c r="AE23" s="482"/>
      <c r="AG23" s="562"/>
      <c r="AH23" s="554">
        <f t="shared" si="18"/>
        <v>0</v>
      </c>
      <c r="AI23" s="554">
        <f t="shared" si="14"/>
        <v>0</v>
      </c>
      <c r="AJ23" s="567">
        <f t="shared" si="15"/>
        <v>0</v>
      </c>
      <c r="AK23" s="554">
        <f t="shared" si="19"/>
        <v>0</v>
      </c>
      <c r="AL23" s="554">
        <f t="shared" si="16"/>
        <v>0</v>
      </c>
      <c r="AM23" s="554">
        <f t="shared" si="17"/>
        <v>0</v>
      </c>
    </row>
    <row r="24" spans="1:41" x14ac:dyDescent="0.25">
      <c r="A24" s="423"/>
      <c r="B24" s="278"/>
      <c r="C24" s="25"/>
      <c r="E24" s="422"/>
      <c r="F24" s="424"/>
      <c r="G24" s="425"/>
      <c r="H24" s="36"/>
      <c r="I24" s="36"/>
      <c r="J24" s="36"/>
      <c r="K24" s="36"/>
      <c r="L24" s="36"/>
      <c r="M24" s="36"/>
      <c r="N24" s="426"/>
      <c r="O24" s="27" t="e">
        <f t="shared" si="0"/>
        <v>#NUM!</v>
      </c>
      <c r="P24" s="27" t="e">
        <f t="shared" si="1"/>
        <v>#NUM!</v>
      </c>
      <c r="Q24" s="27" t="e">
        <f t="shared" si="2"/>
        <v>#NUM!</v>
      </c>
      <c r="R24" s="27" t="e">
        <f t="shared" si="3"/>
        <v>#NUM!</v>
      </c>
      <c r="S24" s="27" t="e">
        <f t="shared" si="4"/>
        <v>#NUM!</v>
      </c>
      <c r="T24" s="27" t="e">
        <f t="shared" si="5"/>
        <v>#NUM!</v>
      </c>
      <c r="U24" s="27" t="e">
        <f t="shared" si="6"/>
        <v>#NUM!</v>
      </c>
      <c r="V24" s="27" t="e">
        <f t="shared" si="7"/>
        <v>#NUM!</v>
      </c>
      <c r="W24" s="27" t="e">
        <f t="shared" si="8"/>
        <v>#NUM!</v>
      </c>
      <c r="X24" s="27" t="e">
        <f t="shared" si="9"/>
        <v>#NUM!</v>
      </c>
      <c r="Y24" s="27" t="e">
        <f t="shared" si="10"/>
        <v>#NUM!</v>
      </c>
      <c r="Z24" s="27" t="e">
        <f t="shared" si="11"/>
        <v>#NUM!</v>
      </c>
      <c r="AA24" s="27" t="e">
        <f t="shared" si="12"/>
        <v>#NUM!</v>
      </c>
      <c r="AB24" s="27" t="e">
        <f t="shared" si="13"/>
        <v>#NUM!</v>
      </c>
      <c r="AC24" s="488"/>
      <c r="AD24" s="491"/>
      <c r="AE24" s="482"/>
      <c r="AG24" s="562"/>
      <c r="AH24" s="554">
        <f t="shared" si="18"/>
        <v>0</v>
      </c>
      <c r="AI24" s="554">
        <f t="shared" si="14"/>
        <v>0</v>
      </c>
      <c r="AJ24" s="567">
        <f t="shared" si="15"/>
        <v>0</v>
      </c>
      <c r="AK24" s="554">
        <f t="shared" si="19"/>
        <v>0</v>
      </c>
      <c r="AL24" s="554">
        <f t="shared" si="16"/>
        <v>0</v>
      </c>
      <c r="AM24" s="554">
        <f t="shared" si="17"/>
        <v>0</v>
      </c>
    </row>
    <row r="25" spans="1:41" x14ac:dyDescent="0.25">
      <c r="A25" s="423"/>
      <c r="B25" s="278"/>
      <c r="C25" s="25"/>
      <c r="E25" s="422"/>
      <c r="F25" s="424"/>
      <c r="G25" s="425"/>
      <c r="H25" s="36"/>
      <c r="I25" s="36"/>
      <c r="J25" s="36"/>
      <c r="K25" s="36"/>
      <c r="L25" s="36"/>
      <c r="M25" s="36"/>
      <c r="N25" s="426"/>
      <c r="O25" s="27" t="e">
        <f t="shared" si="0"/>
        <v>#NUM!</v>
      </c>
      <c r="P25" s="27" t="e">
        <f t="shared" si="1"/>
        <v>#NUM!</v>
      </c>
      <c r="Q25" s="27" t="e">
        <f t="shared" si="2"/>
        <v>#NUM!</v>
      </c>
      <c r="R25" s="27" t="e">
        <f t="shared" si="3"/>
        <v>#NUM!</v>
      </c>
      <c r="S25" s="27" t="e">
        <f t="shared" si="4"/>
        <v>#NUM!</v>
      </c>
      <c r="T25" s="27" t="e">
        <f t="shared" si="5"/>
        <v>#NUM!</v>
      </c>
      <c r="U25" s="27" t="e">
        <f t="shared" si="6"/>
        <v>#NUM!</v>
      </c>
      <c r="V25" s="27" t="e">
        <f t="shared" si="7"/>
        <v>#NUM!</v>
      </c>
      <c r="W25" s="27" t="e">
        <f t="shared" si="8"/>
        <v>#NUM!</v>
      </c>
      <c r="X25" s="27" t="e">
        <f t="shared" si="9"/>
        <v>#NUM!</v>
      </c>
      <c r="Y25" s="27" t="e">
        <f t="shared" si="10"/>
        <v>#NUM!</v>
      </c>
      <c r="Z25" s="27" t="e">
        <f t="shared" si="11"/>
        <v>#NUM!</v>
      </c>
      <c r="AA25" s="27" t="e">
        <f t="shared" si="12"/>
        <v>#NUM!</v>
      </c>
      <c r="AB25" s="27" t="e">
        <f t="shared" si="13"/>
        <v>#NUM!</v>
      </c>
      <c r="AC25" s="573"/>
      <c r="AD25" s="574"/>
      <c r="AE25" s="563"/>
      <c r="AF25" s="564"/>
      <c r="AG25" s="565"/>
      <c r="AH25" s="568">
        <f t="shared" si="18"/>
        <v>0</v>
      </c>
      <c r="AI25" s="568">
        <f t="shared" si="14"/>
        <v>0</v>
      </c>
      <c r="AJ25" s="569">
        <f t="shared" si="15"/>
        <v>0</v>
      </c>
      <c r="AK25" s="554">
        <f t="shared" si="19"/>
        <v>0</v>
      </c>
      <c r="AL25" s="554">
        <f t="shared" si="16"/>
        <v>0</v>
      </c>
      <c r="AM25" s="554">
        <f t="shared" si="17"/>
        <v>0</v>
      </c>
    </row>
  </sheetData>
  <conditionalFormatting sqref="G3:G25">
    <cfRule type="cellIs" dxfId="6" priority="5" operator="greaterThan">
      <formula>7</formula>
    </cfRule>
  </conditionalFormatting>
  <conditionalFormatting sqref="O3:AB25">
    <cfRule type="cellIs" dxfId="5" priority="4" operator="greaterThan">
      <formula>12.5</formula>
    </cfRule>
  </conditionalFormatting>
  <conditionalFormatting sqref="H3:N25">
    <cfRule type="colorScale" priority="117">
      <colorScale>
        <cfvo type="min"/>
        <cfvo type="max"/>
        <color rgb="FFFCFCFF"/>
        <color rgb="FFF8696B"/>
      </colorScale>
    </cfRule>
  </conditionalFormatting>
  <conditionalFormatting sqref="S3:U25 Z3:AB25">
    <cfRule type="colorScale" priority="118">
      <colorScale>
        <cfvo type="min"/>
        <cfvo type="max"/>
        <color rgb="FFFCFCFF"/>
        <color rgb="FF63BE7B"/>
      </colorScale>
    </cfRule>
  </conditionalFormatting>
  <conditionalFormatting sqref="O3:Q25 V3:X25">
    <cfRule type="colorScale" priority="120">
      <colorScale>
        <cfvo type="min"/>
        <cfvo type="max"/>
        <color rgb="FFFCFCFF"/>
        <color rgb="FFF8696B"/>
      </colorScale>
    </cfRule>
  </conditionalFormatting>
  <conditionalFormatting sqref="R3:R25 Y3:Y25">
    <cfRule type="colorScale" priority="1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3:AJ25">
    <cfRule type="dataBar" priority="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{6B1DA2F3-496B-49E1-A19A-EAED362318BD}</x14:id>
        </ext>
      </extLst>
    </cfRule>
  </conditionalFormatting>
  <conditionalFormatting sqref="AK3:AM25">
    <cfRule type="dataBar" priority="1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{1B909588-D67C-40E7-BE9F-48276713F4F4}</x14:id>
        </ext>
      </extLst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B1DA2F3-496B-49E1-A19A-EAED362318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AH3:AJ25</xm:sqref>
        </x14:conditionalFormatting>
        <x14:conditionalFormatting xmlns:xm="http://schemas.microsoft.com/office/excel/2006/main">
          <x14:cfRule type="dataBar" id="{1B909588-D67C-40E7-BE9F-48276713F4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AK3:AM25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60497A"/>
  </sheetPr>
  <dimension ref="A1:AM24"/>
  <sheetViews>
    <sheetView workbookViewId="0">
      <pane ySplit="2" topLeftCell="A3" activePane="bottomLeft" state="frozen"/>
      <selection pane="bottomLeft" activeCell="Y5" sqref="Y5"/>
    </sheetView>
  </sheetViews>
  <sheetFormatPr baseColWidth="10" defaultColWidth="10.7109375" defaultRowHeight="15" x14ac:dyDescent="0.25"/>
  <cols>
    <col min="1" max="1" width="26" customWidth="1"/>
    <col min="2" max="2" width="5.42578125" customWidth="1"/>
    <col min="3" max="3" width="4.7109375" customWidth="1"/>
    <col min="4" max="4" width="6" style="42" customWidth="1"/>
    <col min="5" max="5" width="4.140625" customWidth="1"/>
    <col min="6" max="6" width="7.42578125" customWidth="1"/>
    <col min="7" max="7" width="4.5703125" customWidth="1"/>
    <col min="8" max="14" width="5.5703125" customWidth="1"/>
    <col min="15" max="15" width="5.140625" customWidth="1"/>
    <col min="16" max="16" width="6.42578125" customWidth="1"/>
    <col min="17" max="17" width="6.85546875" customWidth="1"/>
    <col min="18" max="18" width="6.42578125" customWidth="1"/>
    <col min="19" max="19" width="5.140625" customWidth="1"/>
    <col min="20" max="20" width="6.42578125" customWidth="1"/>
    <col min="21" max="21" width="6.85546875" customWidth="1"/>
    <col min="22" max="22" width="6.42578125" customWidth="1"/>
    <col min="23" max="23" width="5.140625" customWidth="1"/>
    <col min="24" max="24" width="6.42578125" customWidth="1"/>
    <col min="25" max="25" width="6.85546875" customWidth="1"/>
    <col min="26" max="26" width="6.42578125" customWidth="1"/>
    <col min="27" max="27" width="6.5703125" customWidth="1"/>
    <col min="28" max="28" width="7.140625" customWidth="1"/>
    <col min="29" max="31" width="7.140625" style="41" customWidth="1"/>
    <col min="32" max="34" width="9" customWidth="1"/>
    <col min="35" max="37" width="8.42578125" customWidth="1"/>
  </cols>
  <sheetData>
    <row r="1" spans="1:37" s="41" customFormat="1" x14ac:dyDescent="0.25">
      <c r="D1" s="43"/>
      <c r="O1" s="41" t="s">
        <v>869</v>
      </c>
      <c r="S1" s="41" t="s">
        <v>845</v>
      </c>
      <c r="W1" s="41" t="s">
        <v>177</v>
      </c>
    </row>
    <row r="2" spans="1:37" x14ac:dyDescent="0.25">
      <c r="A2" s="430" t="s">
        <v>183</v>
      </c>
      <c r="B2" s="430" t="s">
        <v>846</v>
      </c>
      <c r="C2" s="431" t="s">
        <v>113</v>
      </c>
      <c r="D2" s="432" t="s">
        <v>465</v>
      </c>
      <c r="E2" s="433" t="s">
        <v>870</v>
      </c>
      <c r="F2" s="434" t="s">
        <v>121</v>
      </c>
      <c r="G2" s="435" t="s">
        <v>735</v>
      </c>
      <c r="H2" s="436" t="s">
        <v>153</v>
      </c>
      <c r="I2" s="436" t="s">
        <v>191</v>
      </c>
      <c r="J2" s="436" t="s">
        <v>192</v>
      </c>
      <c r="K2" s="436" t="s">
        <v>489</v>
      </c>
      <c r="L2" s="436" t="s">
        <v>194</v>
      </c>
      <c r="M2" s="436" t="s">
        <v>195</v>
      </c>
      <c r="N2" s="437" t="s">
        <v>196</v>
      </c>
      <c r="O2" s="438" t="s">
        <v>172</v>
      </c>
      <c r="P2" s="438" t="s">
        <v>855</v>
      </c>
      <c r="Q2" s="438" t="s">
        <v>856</v>
      </c>
      <c r="R2" s="439" t="s">
        <v>855</v>
      </c>
      <c r="S2" s="438" t="s">
        <v>172</v>
      </c>
      <c r="T2" s="438" t="s">
        <v>855</v>
      </c>
      <c r="U2" s="438" t="s">
        <v>856</v>
      </c>
      <c r="V2" s="439" t="s">
        <v>855</v>
      </c>
      <c r="W2" s="440" t="s">
        <v>172</v>
      </c>
      <c r="X2" s="440" t="s">
        <v>855</v>
      </c>
      <c r="Y2" s="440" t="s">
        <v>856</v>
      </c>
      <c r="Z2" s="441" t="s">
        <v>855</v>
      </c>
      <c r="AA2" s="440" t="s">
        <v>871</v>
      </c>
      <c r="AB2" s="441" t="s">
        <v>468</v>
      </c>
      <c r="AC2" s="440" t="s">
        <v>872</v>
      </c>
      <c r="AD2" s="440" t="s">
        <v>873</v>
      </c>
      <c r="AE2" s="441" t="s">
        <v>874</v>
      </c>
      <c r="AF2" s="440" t="s">
        <v>875</v>
      </c>
      <c r="AG2" s="440" t="s">
        <v>876</v>
      </c>
      <c r="AH2" s="441" t="s">
        <v>877</v>
      </c>
      <c r="AI2" s="440" t="s">
        <v>878</v>
      </c>
      <c r="AJ2" s="440" t="s">
        <v>879</v>
      </c>
      <c r="AK2" s="441" t="s">
        <v>880</v>
      </c>
    </row>
    <row r="3" spans="1:37" x14ac:dyDescent="0.25">
      <c r="A3" s="459" t="s">
        <v>951</v>
      </c>
      <c r="B3" s="448">
        <v>28</v>
      </c>
      <c r="C3" s="25">
        <v>58</v>
      </c>
      <c r="D3" s="42" t="s">
        <v>166</v>
      </c>
      <c r="E3" s="449">
        <v>2</v>
      </c>
      <c r="F3" s="450">
        <v>1</v>
      </c>
      <c r="G3" s="451">
        <v>13</v>
      </c>
      <c r="H3" s="36">
        <v>0</v>
      </c>
      <c r="I3" s="36">
        <v>1</v>
      </c>
      <c r="J3" s="36">
        <v>9</v>
      </c>
      <c r="K3" s="36">
        <v>14</v>
      </c>
      <c r="L3" s="36">
        <v>11</v>
      </c>
      <c r="M3" s="36">
        <v>11</v>
      </c>
      <c r="N3" s="452">
        <v>8</v>
      </c>
      <c r="O3" s="27">
        <f t="shared" ref="O3:O24" si="0">((J3+F3+(LOG(G3)*4/3))*0.15)</f>
        <v>1.7227886704613673</v>
      </c>
      <c r="P3" s="27">
        <f t="shared" ref="P3:P24" si="1">((M3+F3+(LOG(G3)*4/3))*0.552)+((K3+F3+(LOG(G3)*4/3))*0.576)+((L3+F3+(LOG(G3)*4/3))*0.195)</f>
        <v>19.568996073469261</v>
      </c>
      <c r="Q3" s="27">
        <f t="shared" ref="Q3:Q24" si="2">((M3+F3+(LOG(G3)*4/3))*0.607)+((L3+F3+(LOG(G3)*4/3))*0.248)</f>
        <v>11.529895421629794</v>
      </c>
      <c r="R3" s="453">
        <f t="shared" ref="R3:R24" si="3">((M3+F3+(LOG(G3)*4/3))*0.223)+((K3+F3+(LOG(G3)*4/3))*0)+((L3+F3+(LOG(G3)*4/3))*0)</f>
        <v>3.0072124900858994</v>
      </c>
      <c r="S3" s="27">
        <f t="shared" ref="S3:S24" si="4">((J3+F3+(LOG(G3)*4/3))*0.406)</f>
        <v>4.6630146680487679</v>
      </c>
      <c r="T3" s="27">
        <f t="shared" ref="T3:T24" si="5">IF(D3="TEC",((K3+F3+(LOG(G3)*4/3))*0.15)+((L3+F3+(LOG(G3)*4/3))*0.324)+((M3+F3+(LOG(G3)*4/3))*0.127),((K3+F3+(LOG(G3)*4/3))*0.144)+((L3+F3+(LOG(G3)*4/3))*0.25)+((M3+F3+(LOG(G3)*4/3))*0.127))</f>
        <v>7.4578193154024834</v>
      </c>
      <c r="U3" s="27">
        <f t="shared" ref="U3:U24" si="6">IF(D3="TEC",((L3+F3+(LOG(G3)*4/3))*0.543)+((M3+F3+(LOG(G3)*4/3))*0.583),((L3+F3+(LOG(G3)*4/3))*0.543)+((M3+F3+(LOG(G3)*4/3))*0.583))</f>
        <v>15.184400286263331</v>
      </c>
      <c r="V3" s="453">
        <f t="shared" ref="V3:V24" si="7">T3</f>
        <v>7.4578193154024834</v>
      </c>
      <c r="W3" s="27">
        <f t="shared" ref="W3:W24" si="8">((J3+F3+(LOG(G3)*4/3))*0.25)</f>
        <v>2.8713144507689456</v>
      </c>
      <c r="X3" s="27">
        <f t="shared" ref="X3:X24" si="9">((M3+F3+(LOG(G3)*4/3))*0.26)+((K3+F3+(LOG(G3)*4/3))*0.221)+((L3+F3+(LOG(G3)*4/3))*0.142)</f>
        <v>9.0643156113162124</v>
      </c>
      <c r="Y3" s="27">
        <f t="shared" ref="Y3:Y24" si="10">((M3+F3+(LOG(G3)*4/3))*1)+((L3+F3+(LOG(G3)*4/3))*0.369)</f>
        <v>18.461317932410747</v>
      </c>
      <c r="Z3" s="453">
        <f t="shared" ref="Z3:Z24" si="11">X3</f>
        <v>9.0643156113162124</v>
      </c>
      <c r="AA3">
        <v>6325</v>
      </c>
      <c r="AB3" s="454">
        <v>20.8</v>
      </c>
      <c r="AC3" s="41">
        <v>3000</v>
      </c>
      <c r="AD3" s="41">
        <v>4000</v>
      </c>
      <c r="AE3" s="428">
        <v>4900</v>
      </c>
      <c r="AF3" s="25">
        <f t="shared" ref="AF3:AF24" si="12">AA3+(AB3*16*(36-B3-((112-C3)/112)))-AC3</f>
        <v>5826.942857142858</v>
      </c>
      <c r="AG3" s="25">
        <f t="shared" ref="AG3:AG24" si="13">AA3+(AB3*16*(34-B3-((112-C3)/112)))-AD3</f>
        <v>4161.3428571428576</v>
      </c>
      <c r="AH3" s="429">
        <f t="shared" ref="AH3:AH24" si="14">AA3+(AB3*16*(32-B3-((112-C3)/112)))-AE3</f>
        <v>2595.7428571428572</v>
      </c>
      <c r="AI3" s="25">
        <f t="shared" ref="AI3:AI24" si="15">(AF3)/(36-B3+((112-C3)/112))</f>
        <v>686.96589473684219</v>
      </c>
      <c r="AJ3" s="25">
        <f t="shared" ref="AJ3:AJ24" si="16">(AG3)/(34-B3+((112-C3)/112))</f>
        <v>641.97024793388437</v>
      </c>
      <c r="AK3" s="429">
        <f t="shared" ref="AK3:AK24" si="17">(AH3)/(32-B3+((112-C3)/112))</f>
        <v>579.12988047808767</v>
      </c>
    </row>
    <row r="4" spans="1:37" x14ac:dyDescent="0.25">
      <c r="A4" s="459" t="s">
        <v>1005</v>
      </c>
      <c r="B4" s="278">
        <v>28</v>
      </c>
      <c r="C4" s="25">
        <v>23</v>
      </c>
      <c r="E4" s="422">
        <v>1</v>
      </c>
      <c r="F4" s="424">
        <v>1</v>
      </c>
      <c r="G4" s="425">
        <v>6</v>
      </c>
      <c r="H4" s="36">
        <v>0</v>
      </c>
      <c r="I4" s="36">
        <v>4</v>
      </c>
      <c r="J4" s="36">
        <v>2</v>
      </c>
      <c r="K4" s="36">
        <v>9</v>
      </c>
      <c r="L4" s="36">
        <v>14</v>
      </c>
      <c r="M4" s="36">
        <v>14</v>
      </c>
      <c r="N4" s="426">
        <v>1</v>
      </c>
      <c r="O4" s="27">
        <f>((J4+F4+(LOG(G4)*4/3))*0.15)</f>
        <v>0.60563025007672877</v>
      </c>
      <c r="P4" s="27">
        <f>((M4+F4+(LOG(G4)*4/3))*0.552)+((K4+F4+(LOG(G4)*4/3))*0.576)+((L4+F4+(LOG(G4)*4/3))*0.195)</f>
        <v>18.33765880567675</v>
      </c>
      <c r="Q4" s="27">
        <f>((M4+F4+(LOG(G4)*4/3))*0.607)+((L4+F4+(LOG(G4)*4/3))*0.248)</f>
        <v>13.712092425437355</v>
      </c>
      <c r="R4" s="427">
        <f>((M4+F4+(LOG(G4)*4/3))*0.223)+((K4+F4+(LOG(G4)*4/3))*0)+((L4+F4+(LOG(G4)*4/3))*0)</f>
        <v>3.5763703051140703</v>
      </c>
      <c r="S4" s="27">
        <f>((J4+F4+(LOG(G4)*4/3))*0.406)</f>
        <v>1.6392392102076794</v>
      </c>
      <c r="T4" s="27">
        <f>IF(D4="TEC",((K4+F4+(LOG(G4)*4/3))*0.15)+((L4+F4+(LOG(G4)*4/3))*0.324)+((M4+F4+(LOG(G4)*4/3))*0.127),((K4+F4+(LOG(G4)*4/3))*0.144)+((L4+F4+(LOG(G4)*4/3))*0.25)+((M4+F4+(LOG(G4)*4/3))*0.127))</f>
        <v>7.6355557352665038</v>
      </c>
      <c r="U4" s="27">
        <f>IF(D4="TEC",((L4+F4+(LOG(G4)*4/3))*0.543)+((M4+F4+(LOG(G4)*4/3))*0.583),((L4+F4+(LOG(G4)*4/3))*0.543)+((M4+F4+(LOG(G4)*4/3))*0.583))</f>
        <v>18.058264410575976</v>
      </c>
      <c r="V4" s="427">
        <f>T4</f>
        <v>7.6355557352665038</v>
      </c>
      <c r="W4" s="27">
        <f>((J4+F4+(LOG(G4)*4/3))*0.25)</f>
        <v>1.0093837501278813</v>
      </c>
      <c r="X4" s="27">
        <f>((M4+F4+(LOG(G4)*4/3))*0.26)+((K4+F4+(LOG(G4)*4/3))*0.221)+((L4+F4+(LOG(G4)*4/3))*0.142)</f>
        <v>8.886384305318682</v>
      </c>
      <c r="Y4" s="27">
        <f>((M4+F4+(LOG(G4)*4/3))*1)+((L4+F4+(LOG(G4)*4/3))*0.369)</f>
        <v>21.955385415700277</v>
      </c>
      <c r="Z4" s="427">
        <f>X4</f>
        <v>8.886384305318682</v>
      </c>
      <c r="AA4">
        <v>7500</v>
      </c>
      <c r="AB4" s="286">
        <v>26.3</v>
      </c>
      <c r="AE4" s="428"/>
      <c r="AF4" s="25">
        <f>AA4+(AB4*16*(36-B4-((112-C4)/112)))-AC4</f>
        <v>10532.014285714286</v>
      </c>
      <c r="AG4" s="25">
        <f>AA4+(AB4*16*(34-B4-((112-C4)/112)))-AD4</f>
        <v>9690.414285714287</v>
      </c>
      <c r="AH4" s="429">
        <f>AA4+(AB4*16*(32-B4-((112-C4)/112)))-AE4</f>
        <v>8848.8142857142848</v>
      </c>
      <c r="AI4" s="25">
        <f>(AF4)/(36-B4+((112-C4)/112))</f>
        <v>1197.5488324873095</v>
      </c>
      <c r="AJ4" s="25">
        <f>(AG4)/(34-B4+((112-C4)/112))</f>
        <v>1426.1844940867284</v>
      </c>
      <c r="AK4" s="429">
        <f>(AH4)/(32-B4+((112-C4)/112))</f>
        <v>1845.5627560521414</v>
      </c>
    </row>
    <row r="5" spans="1:37" x14ac:dyDescent="0.25">
      <c r="A5" s="459" t="s">
        <v>896</v>
      </c>
      <c r="B5" s="448">
        <v>28</v>
      </c>
      <c r="C5" s="25">
        <v>14</v>
      </c>
      <c r="D5" s="42" t="s">
        <v>166</v>
      </c>
      <c r="E5" s="449">
        <v>1</v>
      </c>
      <c r="F5" s="450">
        <v>1</v>
      </c>
      <c r="G5" s="451">
        <v>6</v>
      </c>
      <c r="H5" s="36">
        <v>0</v>
      </c>
      <c r="I5" s="36">
        <v>4</v>
      </c>
      <c r="J5" s="36">
        <v>8</v>
      </c>
      <c r="K5" s="36">
        <v>11</v>
      </c>
      <c r="L5" s="36">
        <v>12</v>
      </c>
      <c r="M5" s="36">
        <v>14</v>
      </c>
      <c r="N5" s="452">
        <v>12</v>
      </c>
      <c r="O5" s="27">
        <f>((J5+F5+(LOG(G5)*4/3))*0.15)</f>
        <v>1.5056302500767287</v>
      </c>
      <c r="P5" s="27">
        <f>((M5+F5+(LOG(G5)*4/3))*0.552)+((K5+F5+(LOG(G5)*4/3))*0.576)+((L5+F5+(LOG(G5)*4/3))*0.195)</f>
        <v>19.099658805676746</v>
      </c>
      <c r="Q5" s="27">
        <f>((M5+F5+(LOG(G5)*4/3))*0.607)+((L5+F5+(LOG(G5)*4/3))*0.248)</f>
        <v>13.216092425437354</v>
      </c>
      <c r="R5" s="453">
        <f>((M5+F5+(LOG(G5)*4/3))*0.223)+((K5+F5+(LOG(G5)*4/3))*0)+((L5+F5+(LOG(G5)*4/3))*0)</f>
        <v>3.5763703051140703</v>
      </c>
      <c r="S5" s="27">
        <f>((J5+F5+(LOG(G5)*4/3))*0.406)</f>
        <v>4.0752392102076795</v>
      </c>
      <c r="T5" s="27">
        <f>IF(D5="TEC",((K5+F5+(LOG(G5)*4/3))*0.15)+((L5+F5+(LOG(G5)*4/3))*0.324)+((M5+F5+(LOG(G5)*4/3))*0.127),((K5+F5+(LOG(G5)*4/3))*0.144)+((L5+F5+(LOG(G5)*4/3))*0.25)+((M5+F5+(LOG(G5)*4/3))*0.127))</f>
        <v>7.423555735266504</v>
      </c>
      <c r="U5" s="27">
        <f>IF(D5="TEC",((L5+F5+(LOG(G5)*4/3))*0.543)+((M5+F5+(LOG(G5)*4/3))*0.583),((L5+F5+(LOG(G5)*4/3))*0.543)+((M5+F5+(LOG(G5)*4/3))*0.583))</f>
        <v>16.972264410575978</v>
      </c>
      <c r="V5" s="453">
        <f>T5</f>
        <v>7.423555735266504</v>
      </c>
      <c r="W5" s="27">
        <f>((J5+F5+(LOG(G5)*4/3))*0.25)</f>
        <v>2.5093837501278813</v>
      </c>
      <c r="X5" s="27">
        <f>((M5+F5+(LOG(G5)*4/3))*0.26)+((K5+F5+(LOG(G5)*4/3))*0.221)+((L5+F5+(LOG(G5)*4/3))*0.142)</f>
        <v>9.0443843053186797</v>
      </c>
      <c r="Y5" s="27">
        <f>((M5+F5+(LOG(G5)*4/3))*1)+((L5+F5+(LOG(G5)*4/3))*0.369)</f>
        <v>21.217385415700278</v>
      </c>
      <c r="Z5" s="453">
        <f>X5</f>
        <v>9.0443843053186797</v>
      </c>
      <c r="AB5" s="454"/>
      <c r="AE5" s="455"/>
      <c r="AF5" s="25">
        <f>AA5+(AB5*16*(36-B5-((112-C5)/112)))-AC5</f>
        <v>0</v>
      </c>
      <c r="AG5" s="25">
        <f>AA5+(AB5*16*(34-B5-((112-C5)/112)))-AD5</f>
        <v>0</v>
      </c>
      <c r="AH5" s="456">
        <f>AA5+(AB5*16*(32-B5-((112-C5)/112)))-AE5</f>
        <v>0</v>
      </c>
      <c r="AI5" s="25">
        <f>(AF5)/(36-B5+((112-C5)/112))</f>
        <v>0</v>
      </c>
      <c r="AJ5" s="25">
        <f>(AG5)/(34-B5+((112-C5)/112))</f>
        <v>0</v>
      </c>
      <c r="AK5" s="456">
        <f>(AH5)/(32-B5+((112-C5)/112))</f>
        <v>0</v>
      </c>
    </row>
    <row r="6" spans="1:37" x14ac:dyDescent="0.25">
      <c r="A6" s="423" t="s">
        <v>1002</v>
      </c>
      <c r="B6" s="448">
        <v>29</v>
      </c>
      <c r="C6" s="25">
        <v>4</v>
      </c>
      <c r="D6" s="42" t="s">
        <v>175</v>
      </c>
      <c r="E6" s="449">
        <v>5</v>
      </c>
      <c r="F6" s="450">
        <v>1</v>
      </c>
      <c r="G6" s="451">
        <v>8</v>
      </c>
      <c r="H6" s="36">
        <v>0</v>
      </c>
      <c r="I6" s="36">
        <v>5</v>
      </c>
      <c r="J6" s="36">
        <v>2</v>
      </c>
      <c r="K6" s="36">
        <v>9</v>
      </c>
      <c r="L6" s="36">
        <v>12</v>
      </c>
      <c r="M6" s="36">
        <v>15</v>
      </c>
      <c r="N6" s="452">
        <v>0</v>
      </c>
      <c r="O6" s="27">
        <f t="shared" si="0"/>
        <v>0.63061799739838875</v>
      </c>
      <c r="P6" s="27">
        <f t="shared" si="1"/>
        <v>18.720050737053789</v>
      </c>
      <c r="Q6" s="27">
        <f t="shared" si="2"/>
        <v>13.965522585170815</v>
      </c>
      <c r="R6" s="453">
        <f t="shared" si="3"/>
        <v>3.8365187561322713</v>
      </c>
      <c r="S6" s="27">
        <f t="shared" si="4"/>
        <v>1.7068727129583057</v>
      </c>
      <c r="T6" s="27">
        <f t="shared" si="5"/>
        <v>7.3493465109637377</v>
      </c>
      <c r="U6" s="27">
        <f t="shared" si="6"/>
        <v>17.742839100470569</v>
      </c>
      <c r="V6" s="453">
        <f t="shared" si="7"/>
        <v>7.3493465109637377</v>
      </c>
      <c r="W6" s="27">
        <f t="shared" si="8"/>
        <v>1.0510299956639813</v>
      </c>
      <c r="X6" s="27">
        <f t="shared" si="9"/>
        <v>8.9661667491946417</v>
      </c>
      <c r="Y6" s="27">
        <f t="shared" si="10"/>
        <v>22.44544025625596</v>
      </c>
      <c r="Z6" s="453">
        <f t="shared" si="11"/>
        <v>8.9661667491946417</v>
      </c>
      <c r="AA6">
        <v>5600</v>
      </c>
      <c r="AB6" s="454">
        <v>42</v>
      </c>
      <c r="AC6" s="41">
        <v>2500</v>
      </c>
      <c r="AD6" s="41">
        <v>3300</v>
      </c>
      <c r="AE6" s="455">
        <v>5000</v>
      </c>
      <c r="AF6" s="25">
        <f t="shared" si="12"/>
        <v>7156</v>
      </c>
      <c r="AG6" s="25">
        <f t="shared" si="13"/>
        <v>5012</v>
      </c>
      <c r="AH6" s="456">
        <f t="shared" si="14"/>
        <v>1968</v>
      </c>
      <c r="AI6" s="25">
        <f t="shared" si="15"/>
        <v>898.51121076233187</v>
      </c>
      <c r="AJ6" s="25">
        <f t="shared" si="16"/>
        <v>840.33532934131733</v>
      </c>
      <c r="AK6" s="429">
        <f t="shared" si="17"/>
        <v>496.43243243243239</v>
      </c>
    </row>
    <row r="7" spans="1:37" x14ac:dyDescent="0.25">
      <c r="A7" s="423" t="s">
        <v>1003</v>
      </c>
      <c r="B7" s="448">
        <v>28</v>
      </c>
      <c r="C7" s="25">
        <v>106</v>
      </c>
      <c r="D7" s="42" t="s">
        <v>175</v>
      </c>
      <c r="E7" s="449">
        <v>3</v>
      </c>
      <c r="F7" s="450">
        <v>1</v>
      </c>
      <c r="G7" s="451">
        <v>7</v>
      </c>
      <c r="H7" s="36">
        <v>0</v>
      </c>
      <c r="I7" s="36">
        <v>3</v>
      </c>
      <c r="J7" s="36">
        <v>6</v>
      </c>
      <c r="K7" s="36">
        <v>10</v>
      </c>
      <c r="L7" s="36">
        <v>9</v>
      </c>
      <c r="M7" s="36">
        <v>13</v>
      </c>
      <c r="N7" s="452">
        <v>11</v>
      </c>
      <c r="O7" s="27">
        <f t="shared" si="0"/>
        <v>1.2190196080028513</v>
      </c>
      <c r="P7" s="27">
        <f t="shared" si="1"/>
        <v>17.504752942585149</v>
      </c>
      <c r="Q7" s="27">
        <f t="shared" si="2"/>
        <v>11.941411765616252</v>
      </c>
      <c r="R7" s="453">
        <f t="shared" si="3"/>
        <v>3.3732758172309056</v>
      </c>
      <c r="S7" s="27">
        <f t="shared" si="4"/>
        <v>3.2994797389943842</v>
      </c>
      <c r="T7" s="27">
        <f t="shared" si="5"/>
        <v>6.4490614384632359</v>
      </c>
      <c r="U7" s="27">
        <f t="shared" si="6"/>
        <v>14.86077385740807</v>
      </c>
      <c r="V7" s="453">
        <f t="shared" si="7"/>
        <v>6.4490614384632359</v>
      </c>
      <c r="W7" s="27">
        <f t="shared" si="8"/>
        <v>2.0316993466714188</v>
      </c>
      <c r="X7" s="27">
        <f t="shared" si="9"/>
        <v>8.192994771905175</v>
      </c>
      <c r="Y7" s="27">
        <f t="shared" si="10"/>
        <v>19.232585622372689</v>
      </c>
      <c r="Z7" s="453">
        <f t="shared" si="11"/>
        <v>8.192994771905175</v>
      </c>
      <c r="AA7">
        <v>5400</v>
      </c>
      <c r="AB7" s="454">
        <v>21.2</v>
      </c>
      <c r="AE7" s="455">
        <v>3000</v>
      </c>
      <c r="AF7" s="25"/>
      <c r="AG7" s="25"/>
      <c r="AH7" s="456">
        <f t="shared" si="14"/>
        <v>3738.6285714285714</v>
      </c>
      <c r="AI7" s="25"/>
      <c r="AJ7" s="25"/>
      <c r="AK7" s="456">
        <f t="shared" si="17"/>
        <v>922.30484581497785</v>
      </c>
    </row>
    <row r="8" spans="1:37" x14ac:dyDescent="0.25">
      <c r="A8" s="423" t="s">
        <v>1004</v>
      </c>
      <c r="B8" s="448">
        <v>27</v>
      </c>
      <c r="C8" s="25">
        <v>46</v>
      </c>
      <c r="D8" s="42" t="s">
        <v>166</v>
      </c>
      <c r="E8" s="449">
        <v>3</v>
      </c>
      <c r="F8" s="450">
        <v>1</v>
      </c>
      <c r="G8" s="451">
        <v>7</v>
      </c>
      <c r="H8" s="36">
        <v>0</v>
      </c>
      <c r="I8" s="36">
        <v>2</v>
      </c>
      <c r="J8" s="36">
        <v>12</v>
      </c>
      <c r="K8" s="36">
        <v>12</v>
      </c>
      <c r="L8" s="36">
        <v>8</v>
      </c>
      <c r="M8" s="36">
        <v>12</v>
      </c>
      <c r="N8" s="452">
        <v>2</v>
      </c>
      <c r="O8" s="27">
        <f t="shared" si="0"/>
        <v>2.1190196080028514</v>
      </c>
      <c r="P8" s="27">
        <f t="shared" si="1"/>
        <v>17.909752942585147</v>
      </c>
      <c r="Q8" s="27">
        <f t="shared" si="2"/>
        <v>11.086411765616253</v>
      </c>
      <c r="R8" s="453">
        <f t="shared" si="3"/>
        <v>3.1502758172309058</v>
      </c>
      <c r="S8" s="27">
        <f t="shared" si="4"/>
        <v>5.7354797389943846</v>
      </c>
      <c r="T8" s="27">
        <f t="shared" si="5"/>
        <v>6.3600614384632363</v>
      </c>
      <c r="U8" s="27">
        <f t="shared" si="6"/>
        <v>13.734773857408069</v>
      </c>
      <c r="V8" s="453">
        <f t="shared" si="7"/>
        <v>6.3600614384632363</v>
      </c>
      <c r="W8" s="27">
        <f t="shared" si="8"/>
        <v>3.5316993466714188</v>
      </c>
      <c r="X8" s="27">
        <f t="shared" si="9"/>
        <v>8.2329947719051759</v>
      </c>
      <c r="Y8" s="27">
        <f t="shared" si="10"/>
        <v>17.863585622372689</v>
      </c>
      <c r="Z8" s="453">
        <f t="shared" si="11"/>
        <v>8.2329947719051759</v>
      </c>
      <c r="AA8">
        <v>5100</v>
      </c>
      <c r="AB8" s="454">
        <v>22.3</v>
      </c>
      <c r="AE8" s="455"/>
      <c r="AF8" s="25"/>
      <c r="AG8" s="25"/>
      <c r="AH8" s="456"/>
      <c r="AI8" s="25"/>
      <c r="AJ8" s="25"/>
      <c r="AK8" s="456"/>
    </row>
    <row r="9" spans="1:37" x14ac:dyDescent="0.25">
      <c r="A9" s="423"/>
      <c r="B9" s="448">
        <v>25</v>
      </c>
      <c r="C9" s="25">
        <v>86</v>
      </c>
      <c r="D9" s="42" t="s">
        <v>175</v>
      </c>
      <c r="E9" s="449">
        <v>6</v>
      </c>
      <c r="F9" s="450">
        <v>1</v>
      </c>
      <c r="G9" s="451">
        <v>4</v>
      </c>
      <c r="H9" s="36">
        <v>0</v>
      </c>
      <c r="I9" s="36">
        <v>2</v>
      </c>
      <c r="J9" s="36">
        <v>9</v>
      </c>
      <c r="K9" s="36">
        <v>9</v>
      </c>
      <c r="L9" s="36">
        <v>8</v>
      </c>
      <c r="M9" s="36">
        <v>12</v>
      </c>
      <c r="N9" s="452">
        <v>2</v>
      </c>
      <c r="O9" s="27">
        <f t="shared" si="0"/>
        <v>1.6204119982655925</v>
      </c>
      <c r="P9" s="27">
        <f t="shared" si="1"/>
        <v>15.753033824702527</v>
      </c>
      <c r="Q9" s="27">
        <f t="shared" si="2"/>
        <v>10.809348390113877</v>
      </c>
      <c r="R9" s="453">
        <f t="shared" si="3"/>
        <v>3.0780125040881812</v>
      </c>
      <c r="S9" s="27">
        <f t="shared" si="4"/>
        <v>4.3859151419722044</v>
      </c>
      <c r="T9" s="27">
        <f t="shared" si="5"/>
        <v>5.7592310073091575</v>
      </c>
      <c r="U9" s="27">
        <f t="shared" si="6"/>
        <v>13.369892733647049</v>
      </c>
      <c r="V9" s="453">
        <f t="shared" si="7"/>
        <v>5.7592310073091575</v>
      </c>
      <c r="W9" s="27">
        <f t="shared" si="8"/>
        <v>2.7006866637759877</v>
      </c>
      <c r="X9" s="27">
        <f t="shared" si="9"/>
        <v>7.3681111661297614</v>
      </c>
      <c r="Y9" s="27">
        <f t="shared" si="10"/>
        <v>17.419960170837307</v>
      </c>
      <c r="Z9" s="453">
        <f t="shared" si="11"/>
        <v>7.3681111661297614</v>
      </c>
      <c r="AA9">
        <v>6600</v>
      </c>
      <c r="AB9" s="454">
        <v>11.8</v>
      </c>
      <c r="AC9" s="41">
        <v>900</v>
      </c>
      <c r="AD9" s="41">
        <v>1800</v>
      </c>
      <c r="AE9" s="455">
        <v>1820</v>
      </c>
      <c r="AF9" s="25">
        <f t="shared" si="12"/>
        <v>7732.971428571429</v>
      </c>
      <c r="AG9" s="25">
        <f t="shared" si="13"/>
        <v>6455.3714285714286</v>
      </c>
      <c r="AH9" s="456">
        <f t="shared" si="14"/>
        <v>6057.7714285714283</v>
      </c>
      <c r="AI9" s="25">
        <f t="shared" si="15"/>
        <v>688.46804451510332</v>
      </c>
      <c r="AJ9" s="25">
        <f t="shared" si="16"/>
        <v>699.22785299806571</v>
      </c>
      <c r="AK9" s="456">
        <f t="shared" si="17"/>
        <v>837.61777777777775</v>
      </c>
    </row>
    <row r="10" spans="1:37" x14ac:dyDescent="0.25">
      <c r="A10" s="423"/>
      <c r="B10" s="278">
        <v>23</v>
      </c>
      <c r="C10" s="25">
        <v>77</v>
      </c>
      <c r="D10" s="42" t="s">
        <v>163</v>
      </c>
      <c r="E10" s="422">
        <v>4</v>
      </c>
      <c r="F10" s="424">
        <v>1</v>
      </c>
      <c r="G10" s="425">
        <v>4</v>
      </c>
      <c r="H10" s="36">
        <v>0</v>
      </c>
      <c r="I10" s="36">
        <v>3</v>
      </c>
      <c r="J10" s="36">
        <v>5</v>
      </c>
      <c r="K10" s="36">
        <v>5</v>
      </c>
      <c r="L10" s="36">
        <v>13</v>
      </c>
      <c r="M10" s="36">
        <v>14</v>
      </c>
      <c r="N10" s="426">
        <v>4</v>
      </c>
      <c r="O10" s="27">
        <f t="shared" si="0"/>
        <v>1.0204119982655924</v>
      </c>
      <c r="P10" s="27">
        <f t="shared" si="1"/>
        <v>15.528033824702527</v>
      </c>
      <c r="Q10" s="27">
        <f t="shared" si="2"/>
        <v>13.263348390113878</v>
      </c>
      <c r="R10" s="427">
        <f t="shared" si="3"/>
        <v>3.5240125040881809</v>
      </c>
      <c r="S10" s="27">
        <f t="shared" si="4"/>
        <v>2.7619151419722039</v>
      </c>
      <c r="T10" s="27">
        <f t="shared" si="5"/>
        <v>6.6872310073091583</v>
      </c>
      <c r="U10" s="27">
        <f t="shared" si="6"/>
        <v>17.250892733647049</v>
      </c>
      <c r="V10" s="427">
        <f t="shared" si="7"/>
        <v>6.6872310073091583</v>
      </c>
      <c r="W10" s="27">
        <f t="shared" si="8"/>
        <v>1.7006866637759874</v>
      </c>
      <c r="X10" s="27">
        <f t="shared" si="9"/>
        <v>7.7141111661297606</v>
      </c>
      <c r="Y10" s="27">
        <f t="shared" si="10"/>
        <v>21.264960170837309</v>
      </c>
      <c r="Z10" s="427">
        <f t="shared" si="11"/>
        <v>7.7141111661297606</v>
      </c>
      <c r="AA10">
        <v>8762</v>
      </c>
      <c r="AB10" s="286">
        <v>29.3</v>
      </c>
      <c r="AC10" s="41">
        <v>1500</v>
      </c>
      <c r="AD10" s="41">
        <v>3500</v>
      </c>
      <c r="AE10" s="428">
        <v>5000</v>
      </c>
      <c r="AF10" s="25">
        <f t="shared" si="12"/>
        <v>13209.900000000001</v>
      </c>
      <c r="AG10" s="25">
        <f t="shared" si="13"/>
        <v>10272.299999999999</v>
      </c>
      <c r="AH10" s="429">
        <f t="shared" si="14"/>
        <v>7834.7000000000007</v>
      </c>
      <c r="AI10" s="25">
        <f t="shared" si="15"/>
        <v>992.29295774647903</v>
      </c>
      <c r="AJ10" s="25">
        <f t="shared" si="16"/>
        <v>908.04861878453028</v>
      </c>
      <c r="AK10" s="429">
        <f t="shared" si="17"/>
        <v>841.31006711409407</v>
      </c>
    </row>
    <row r="11" spans="1:37" x14ac:dyDescent="0.25">
      <c r="A11" s="423"/>
      <c r="B11" s="278">
        <v>25</v>
      </c>
      <c r="C11" s="25">
        <v>4</v>
      </c>
      <c r="D11" s="42" t="s">
        <v>166</v>
      </c>
      <c r="E11" s="422">
        <v>2</v>
      </c>
      <c r="F11" s="424">
        <v>1</v>
      </c>
      <c r="G11" s="425">
        <v>7</v>
      </c>
      <c r="H11" s="36">
        <v>0</v>
      </c>
      <c r="I11" s="36">
        <v>4</v>
      </c>
      <c r="J11" s="36">
        <v>11</v>
      </c>
      <c r="K11" s="36">
        <v>2</v>
      </c>
      <c r="L11" s="36">
        <v>11</v>
      </c>
      <c r="M11" s="36">
        <v>13</v>
      </c>
      <c r="N11" s="426">
        <v>5</v>
      </c>
      <c r="O11" s="27">
        <f t="shared" si="0"/>
        <v>1.9690196080028513</v>
      </c>
      <c r="P11" s="27">
        <f t="shared" si="1"/>
        <v>13.286752942585149</v>
      </c>
      <c r="Q11" s="27">
        <f t="shared" si="2"/>
        <v>12.437411765616252</v>
      </c>
      <c r="R11" s="427">
        <f t="shared" si="3"/>
        <v>3.3732758172309056</v>
      </c>
      <c r="S11" s="27">
        <f t="shared" si="4"/>
        <v>5.3294797389943849</v>
      </c>
      <c r="T11" s="27">
        <f t="shared" si="5"/>
        <v>5.7970614384632366</v>
      </c>
      <c r="U11" s="27">
        <f t="shared" si="6"/>
        <v>15.94677385740807</v>
      </c>
      <c r="V11" s="427">
        <f t="shared" si="7"/>
        <v>5.7970614384632366</v>
      </c>
      <c r="W11" s="27">
        <f t="shared" si="8"/>
        <v>3.2816993466714188</v>
      </c>
      <c r="X11" s="27">
        <f t="shared" si="9"/>
        <v>6.7089947719051759</v>
      </c>
      <c r="Y11" s="27">
        <f t="shared" si="10"/>
        <v>19.970585622372688</v>
      </c>
      <c r="Z11" s="427">
        <f t="shared" si="11"/>
        <v>6.7089947719051759</v>
      </c>
      <c r="AA11">
        <v>8100</v>
      </c>
      <c r="AB11" s="286">
        <v>22.4</v>
      </c>
      <c r="AC11" s="41">
        <v>2000</v>
      </c>
      <c r="AD11" s="41">
        <v>3000</v>
      </c>
      <c r="AE11" s="428">
        <v>3500</v>
      </c>
      <c r="AF11" s="25">
        <f t="shared" si="12"/>
        <v>9696.7999999999993</v>
      </c>
      <c r="AG11" s="25">
        <f t="shared" si="13"/>
        <v>7980</v>
      </c>
      <c r="AH11" s="429">
        <f t="shared" si="14"/>
        <v>6763.2000000000007</v>
      </c>
      <c r="AI11" s="25">
        <f t="shared" si="15"/>
        <v>810.47880597014921</v>
      </c>
      <c r="AJ11" s="25">
        <f t="shared" si="16"/>
        <v>800.86021505376345</v>
      </c>
      <c r="AK11" s="429">
        <f t="shared" si="17"/>
        <v>849.19103139013464</v>
      </c>
    </row>
    <row r="12" spans="1:37" x14ac:dyDescent="0.25">
      <c r="A12" s="423"/>
      <c r="B12" s="278">
        <v>27</v>
      </c>
      <c r="C12" s="25">
        <v>36</v>
      </c>
      <c r="D12" s="42" t="s">
        <v>166</v>
      </c>
      <c r="E12" s="422">
        <v>6</v>
      </c>
      <c r="F12" s="424">
        <v>1</v>
      </c>
      <c r="G12" s="425">
        <v>5</v>
      </c>
      <c r="H12" s="36">
        <v>0</v>
      </c>
      <c r="I12" s="36">
        <v>4</v>
      </c>
      <c r="J12" s="36">
        <v>6</v>
      </c>
      <c r="K12" s="36">
        <v>7</v>
      </c>
      <c r="L12" s="36">
        <v>9</v>
      </c>
      <c r="M12" s="36">
        <v>14</v>
      </c>
      <c r="N12" s="426">
        <v>4</v>
      </c>
      <c r="O12" s="27">
        <f t="shared" si="0"/>
        <v>1.1897940008672037</v>
      </c>
      <c r="P12" s="27">
        <f t="shared" si="1"/>
        <v>16.070983087648735</v>
      </c>
      <c r="Q12" s="27">
        <f t="shared" si="2"/>
        <v>12.381825804943061</v>
      </c>
      <c r="R12" s="427">
        <f t="shared" si="3"/>
        <v>3.5528270812892426</v>
      </c>
      <c r="S12" s="27">
        <f t="shared" si="4"/>
        <v>3.2203757623472318</v>
      </c>
      <c r="T12" s="27">
        <f t="shared" si="5"/>
        <v>6.0425511630120869</v>
      </c>
      <c r="U12" s="27">
        <f t="shared" si="6"/>
        <v>15.224386966509808</v>
      </c>
      <c r="V12" s="427">
        <f t="shared" si="7"/>
        <v>6.0425511630120869</v>
      </c>
      <c r="W12" s="27">
        <f t="shared" si="8"/>
        <v>1.9829900014453397</v>
      </c>
      <c r="X12" s="27">
        <f t="shared" si="9"/>
        <v>7.6686110836017853</v>
      </c>
      <c r="Y12" s="27">
        <f t="shared" si="10"/>
        <v>19.96585324791468</v>
      </c>
      <c r="Z12" s="427">
        <f t="shared" si="11"/>
        <v>7.6686110836017853</v>
      </c>
      <c r="AA12">
        <v>6000</v>
      </c>
      <c r="AB12" s="286">
        <v>27.3</v>
      </c>
      <c r="AC12" s="41">
        <v>1400</v>
      </c>
      <c r="AD12" s="41">
        <v>1800</v>
      </c>
      <c r="AE12" s="428">
        <v>3000</v>
      </c>
      <c r="AF12" s="25">
        <f t="shared" si="12"/>
        <v>8234.7999999999993</v>
      </c>
      <c r="AG12" s="25">
        <f t="shared" si="13"/>
        <v>6961.2000000000007</v>
      </c>
      <c r="AH12" s="429">
        <f t="shared" si="14"/>
        <v>4887.6000000000004</v>
      </c>
      <c r="AI12" s="25">
        <f t="shared" si="15"/>
        <v>850.82804428044267</v>
      </c>
      <c r="AJ12" s="25">
        <f t="shared" si="16"/>
        <v>906.5748837209303</v>
      </c>
      <c r="AK12" s="429">
        <f t="shared" si="17"/>
        <v>860.70943396226414</v>
      </c>
    </row>
    <row r="13" spans="1:37" x14ac:dyDescent="0.25">
      <c r="A13" s="423"/>
      <c r="B13" s="278">
        <v>27</v>
      </c>
      <c r="C13" s="25">
        <v>10</v>
      </c>
      <c r="D13" s="42" t="s">
        <v>166</v>
      </c>
      <c r="E13" s="422">
        <v>3</v>
      </c>
      <c r="F13" s="424">
        <v>1</v>
      </c>
      <c r="G13" s="425">
        <v>5</v>
      </c>
      <c r="H13" s="36">
        <v>0</v>
      </c>
      <c r="I13" s="36">
        <v>1</v>
      </c>
      <c r="J13" s="36">
        <v>4</v>
      </c>
      <c r="K13" s="36">
        <v>2</v>
      </c>
      <c r="L13" s="36">
        <v>14</v>
      </c>
      <c r="M13" s="36">
        <v>13</v>
      </c>
      <c r="N13" s="426">
        <v>2</v>
      </c>
      <c r="O13" s="27">
        <f t="shared" si="0"/>
        <v>0.88979400086720373</v>
      </c>
      <c r="P13" s="27">
        <f t="shared" si="1"/>
        <v>13.613983087648737</v>
      </c>
      <c r="Q13" s="27">
        <f t="shared" si="2"/>
        <v>13.014825804943062</v>
      </c>
      <c r="R13" s="427">
        <f t="shared" si="3"/>
        <v>3.3298270812892428</v>
      </c>
      <c r="S13" s="27">
        <f t="shared" si="4"/>
        <v>2.4083757623472319</v>
      </c>
      <c r="T13" s="27">
        <f t="shared" si="5"/>
        <v>6.4455511630120874</v>
      </c>
      <c r="U13" s="27">
        <f t="shared" si="6"/>
        <v>17.35638696650981</v>
      </c>
      <c r="V13" s="427">
        <f t="shared" si="7"/>
        <v>6.4455511630120874</v>
      </c>
      <c r="W13" s="27">
        <f t="shared" si="8"/>
        <v>1.4829900014453397</v>
      </c>
      <c r="X13" s="27">
        <f t="shared" si="9"/>
        <v>7.013611083601786</v>
      </c>
      <c r="Y13" s="27">
        <f t="shared" si="10"/>
        <v>20.810853247914679</v>
      </c>
      <c r="Z13" s="427">
        <f t="shared" si="11"/>
        <v>7.013611083601786</v>
      </c>
      <c r="AA13">
        <v>5500</v>
      </c>
      <c r="AB13" s="286">
        <v>23.2</v>
      </c>
      <c r="AC13" s="41">
        <v>1200</v>
      </c>
      <c r="AD13" s="41">
        <v>1500</v>
      </c>
      <c r="AE13" s="428">
        <v>1900</v>
      </c>
      <c r="AF13" s="25">
        <f t="shared" si="12"/>
        <v>7302.7428571428572</v>
      </c>
      <c r="AG13" s="25">
        <f t="shared" si="13"/>
        <v>6260.3428571428576</v>
      </c>
      <c r="AH13" s="429">
        <f t="shared" si="14"/>
        <v>5117.9428571428571</v>
      </c>
      <c r="AI13" s="25">
        <f t="shared" si="15"/>
        <v>736.85333333333324</v>
      </c>
      <c r="AJ13" s="25">
        <f t="shared" si="16"/>
        <v>791.37516930022582</v>
      </c>
      <c r="AK13" s="429">
        <f t="shared" si="17"/>
        <v>865.87552870090633</v>
      </c>
    </row>
    <row r="14" spans="1:37" x14ac:dyDescent="0.25">
      <c r="A14" s="423"/>
      <c r="B14" s="278">
        <v>29</v>
      </c>
      <c r="C14" s="25">
        <v>20</v>
      </c>
      <c r="D14" s="42" t="s">
        <v>163</v>
      </c>
      <c r="E14" s="422">
        <v>5</v>
      </c>
      <c r="F14" s="424">
        <v>1</v>
      </c>
      <c r="G14" s="425">
        <v>7</v>
      </c>
      <c r="H14" s="36">
        <v>0</v>
      </c>
      <c r="I14" s="36">
        <v>4</v>
      </c>
      <c r="J14" s="36">
        <v>2</v>
      </c>
      <c r="K14" s="36">
        <v>2</v>
      </c>
      <c r="L14" s="36">
        <v>16</v>
      </c>
      <c r="M14" s="36">
        <v>12</v>
      </c>
      <c r="N14" s="426">
        <v>16</v>
      </c>
      <c r="O14" s="27">
        <f t="shared" si="0"/>
        <v>0.61901960800285127</v>
      </c>
      <c r="P14" s="27">
        <f t="shared" si="1"/>
        <v>13.709752942585149</v>
      </c>
      <c r="Q14" s="27">
        <f t="shared" si="2"/>
        <v>13.070411765616253</v>
      </c>
      <c r="R14" s="427">
        <f t="shared" si="3"/>
        <v>3.1502758172309058</v>
      </c>
      <c r="S14" s="27">
        <f t="shared" si="4"/>
        <v>1.6754797389943843</v>
      </c>
      <c r="T14" s="27">
        <f t="shared" si="5"/>
        <v>6.9200614384632368</v>
      </c>
      <c r="U14" s="27">
        <f t="shared" si="6"/>
        <v>18.078773857408073</v>
      </c>
      <c r="V14" s="427">
        <f t="shared" si="7"/>
        <v>6.9200614384632368</v>
      </c>
      <c r="W14" s="27">
        <f t="shared" si="8"/>
        <v>1.0316993466714188</v>
      </c>
      <c r="X14" s="27">
        <f t="shared" si="9"/>
        <v>7.1589947719051761</v>
      </c>
      <c r="Y14" s="27">
        <f t="shared" si="10"/>
        <v>20.815585622372691</v>
      </c>
      <c r="Z14" s="427">
        <f t="shared" si="11"/>
        <v>7.1589947719051761</v>
      </c>
      <c r="AA14">
        <v>3290</v>
      </c>
      <c r="AB14" s="286">
        <v>36.1</v>
      </c>
      <c r="AC14" s="41">
        <v>850</v>
      </c>
      <c r="AD14" s="41">
        <v>950</v>
      </c>
      <c r="AE14" s="428">
        <v>1200</v>
      </c>
      <c r="AF14" s="25">
        <f t="shared" si="12"/>
        <v>6008.7428571428572</v>
      </c>
      <c r="AG14" s="25">
        <f t="shared" si="13"/>
        <v>4753.5428571428574</v>
      </c>
      <c r="AH14" s="429">
        <f t="shared" si="14"/>
        <v>3348.3428571428576</v>
      </c>
      <c r="AI14" s="25">
        <f t="shared" si="15"/>
        <v>768.24109589041097</v>
      </c>
      <c r="AJ14" s="25">
        <f t="shared" si="16"/>
        <v>816.55950920245402</v>
      </c>
      <c r="AK14" s="429">
        <f t="shared" si="17"/>
        <v>876.20186915887871</v>
      </c>
    </row>
    <row r="15" spans="1:37" x14ac:dyDescent="0.25">
      <c r="A15" s="423"/>
      <c r="B15" s="278">
        <v>27</v>
      </c>
      <c r="C15" s="25">
        <v>103</v>
      </c>
      <c r="D15" s="42" t="s">
        <v>175</v>
      </c>
      <c r="E15" s="422">
        <v>3</v>
      </c>
      <c r="F15" s="424">
        <v>1</v>
      </c>
      <c r="G15" s="425">
        <v>6</v>
      </c>
      <c r="H15" s="36">
        <v>0</v>
      </c>
      <c r="I15" s="36">
        <v>4</v>
      </c>
      <c r="J15" s="36">
        <v>9</v>
      </c>
      <c r="K15" s="36">
        <v>1</v>
      </c>
      <c r="L15" s="36">
        <v>14</v>
      </c>
      <c r="M15" s="36">
        <v>12</v>
      </c>
      <c r="N15" s="426">
        <v>1</v>
      </c>
      <c r="O15" s="27">
        <f t="shared" si="0"/>
        <v>1.6556302500767288</v>
      </c>
      <c r="P15" s="27">
        <f t="shared" si="1"/>
        <v>12.62565880567675</v>
      </c>
      <c r="Q15" s="27">
        <f t="shared" si="2"/>
        <v>12.498092425437354</v>
      </c>
      <c r="R15" s="427">
        <f t="shared" si="3"/>
        <v>3.1303703051140701</v>
      </c>
      <c r="S15" s="27">
        <f t="shared" si="4"/>
        <v>4.4812392102076792</v>
      </c>
      <c r="T15" s="27">
        <f t="shared" si="5"/>
        <v>6.229555735266505</v>
      </c>
      <c r="U15" s="27">
        <f t="shared" si="6"/>
        <v>16.892264410575976</v>
      </c>
      <c r="V15" s="427">
        <f t="shared" si="7"/>
        <v>6.229555735266505</v>
      </c>
      <c r="W15" s="27">
        <f t="shared" si="8"/>
        <v>2.7593837501278813</v>
      </c>
      <c r="X15" s="27">
        <f t="shared" si="9"/>
        <v>6.5983843053186799</v>
      </c>
      <c r="Y15" s="27">
        <f t="shared" si="10"/>
        <v>19.955385415700277</v>
      </c>
      <c r="Z15" s="427">
        <f t="shared" si="11"/>
        <v>6.5983843053186799</v>
      </c>
      <c r="AA15">
        <v>5280</v>
      </c>
      <c r="AB15" s="286">
        <v>17.5</v>
      </c>
      <c r="AC15" s="41">
        <v>880</v>
      </c>
      <c r="AD15" s="41">
        <v>1100</v>
      </c>
      <c r="AE15" s="428">
        <v>2200</v>
      </c>
      <c r="AF15" s="25">
        <f t="shared" si="12"/>
        <v>6897.5</v>
      </c>
      <c r="AG15" s="25">
        <f t="shared" si="13"/>
        <v>6117.5</v>
      </c>
      <c r="AH15" s="429">
        <f t="shared" si="14"/>
        <v>4457.5</v>
      </c>
      <c r="AI15" s="25">
        <f t="shared" si="15"/>
        <v>759.60668633235014</v>
      </c>
      <c r="AJ15" s="25">
        <f t="shared" si="16"/>
        <v>864.01008827238331</v>
      </c>
      <c r="AK15" s="429">
        <f t="shared" si="17"/>
        <v>877.39894551845339</v>
      </c>
    </row>
    <row r="16" spans="1:37" x14ac:dyDescent="0.25">
      <c r="A16" s="457"/>
      <c r="B16" s="278">
        <v>27</v>
      </c>
      <c r="C16" s="25">
        <v>47</v>
      </c>
      <c r="D16" s="42" t="s">
        <v>166</v>
      </c>
      <c r="E16" s="422">
        <v>3</v>
      </c>
      <c r="F16" s="424">
        <v>1</v>
      </c>
      <c r="G16" s="425">
        <v>7</v>
      </c>
      <c r="H16" s="36">
        <v>0</v>
      </c>
      <c r="I16" s="36">
        <v>5</v>
      </c>
      <c r="J16" s="36">
        <v>5</v>
      </c>
      <c r="K16" s="36">
        <v>7</v>
      </c>
      <c r="L16" s="36">
        <v>11</v>
      </c>
      <c r="M16" s="36">
        <v>13</v>
      </c>
      <c r="N16" s="426">
        <v>8</v>
      </c>
      <c r="O16" s="27">
        <f t="shared" si="0"/>
        <v>1.0690196080028513</v>
      </c>
      <c r="P16" s="27">
        <f t="shared" si="1"/>
        <v>16.166752942585148</v>
      </c>
      <c r="Q16" s="27">
        <f t="shared" si="2"/>
        <v>12.437411765616252</v>
      </c>
      <c r="R16" s="427">
        <f t="shared" si="3"/>
        <v>3.3732758172309056</v>
      </c>
      <c r="S16" s="27">
        <f t="shared" si="4"/>
        <v>2.8934797389943845</v>
      </c>
      <c r="T16" s="27">
        <f t="shared" si="5"/>
        <v>6.5170614384632373</v>
      </c>
      <c r="U16" s="27">
        <f t="shared" si="6"/>
        <v>15.94677385740807</v>
      </c>
      <c r="V16" s="427">
        <f t="shared" si="7"/>
        <v>6.5170614384632373</v>
      </c>
      <c r="W16" s="27">
        <f t="shared" si="8"/>
        <v>1.7816993466714188</v>
      </c>
      <c r="X16" s="27">
        <f t="shared" si="9"/>
        <v>7.8139947719051754</v>
      </c>
      <c r="Y16" s="27">
        <f t="shared" si="10"/>
        <v>19.970585622372688</v>
      </c>
      <c r="Z16" s="427">
        <f t="shared" si="11"/>
        <v>7.8139947719051754</v>
      </c>
      <c r="AA16">
        <v>5400</v>
      </c>
      <c r="AB16" s="286">
        <v>24.7</v>
      </c>
      <c r="AC16" s="41">
        <v>950</v>
      </c>
      <c r="AD16" s="41">
        <v>1600</v>
      </c>
      <c r="AE16" s="428">
        <v>2250</v>
      </c>
      <c r="AF16" s="25">
        <f t="shared" si="12"/>
        <v>7777.442857142858</v>
      </c>
      <c r="AG16" s="25">
        <f t="shared" si="13"/>
        <v>6337.0428571428565</v>
      </c>
      <c r="AH16" s="429">
        <f t="shared" si="14"/>
        <v>4896.6428571428569</v>
      </c>
      <c r="AI16" s="25">
        <f t="shared" si="15"/>
        <v>811.81136999068042</v>
      </c>
      <c r="AJ16" s="25">
        <f t="shared" si="16"/>
        <v>835.98209658421661</v>
      </c>
      <c r="AK16" s="429">
        <f t="shared" si="17"/>
        <v>877.47839999999985</v>
      </c>
    </row>
    <row r="17" spans="1:39" x14ac:dyDescent="0.25">
      <c r="A17" s="423"/>
      <c r="B17" s="278">
        <v>23</v>
      </c>
      <c r="C17" s="25">
        <v>59</v>
      </c>
      <c r="D17" s="42" t="s">
        <v>163</v>
      </c>
      <c r="E17" s="422">
        <v>4</v>
      </c>
      <c r="F17" s="424">
        <v>1</v>
      </c>
      <c r="G17" s="425">
        <v>1</v>
      </c>
      <c r="H17" s="36">
        <v>0</v>
      </c>
      <c r="I17" s="36">
        <v>2</v>
      </c>
      <c r="J17" s="36">
        <v>6</v>
      </c>
      <c r="K17" s="36">
        <v>3</v>
      </c>
      <c r="L17" s="36">
        <v>11</v>
      </c>
      <c r="M17" s="36">
        <v>14</v>
      </c>
      <c r="N17" s="426">
        <v>8</v>
      </c>
      <c r="O17" s="27">
        <f t="shared" si="0"/>
        <v>1.05</v>
      </c>
      <c r="P17" s="27">
        <f t="shared" si="1"/>
        <v>12.924000000000001</v>
      </c>
      <c r="Q17" s="27">
        <f t="shared" si="2"/>
        <v>12.081</v>
      </c>
      <c r="R17" s="427">
        <f t="shared" si="3"/>
        <v>3.3450000000000002</v>
      </c>
      <c r="S17" s="27">
        <f t="shared" si="4"/>
        <v>2.8420000000000001</v>
      </c>
      <c r="T17" s="27">
        <f t="shared" si="5"/>
        <v>5.4809999999999999</v>
      </c>
      <c r="U17" s="27">
        <f t="shared" si="6"/>
        <v>15.260999999999999</v>
      </c>
      <c r="V17" s="427">
        <f t="shared" si="7"/>
        <v>5.4809999999999999</v>
      </c>
      <c r="W17" s="27">
        <f t="shared" si="8"/>
        <v>1.75</v>
      </c>
      <c r="X17" s="27">
        <f t="shared" si="9"/>
        <v>6.4880000000000004</v>
      </c>
      <c r="Y17" s="27">
        <f t="shared" si="10"/>
        <v>19.428000000000001</v>
      </c>
      <c r="Z17" s="427">
        <f t="shared" si="11"/>
        <v>6.4880000000000004</v>
      </c>
      <c r="AA17">
        <v>7250</v>
      </c>
      <c r="AB17" s="286">
        <v>26.1</v>
      </c>
      <c r="AC17" s="41">
        <v>1300</v>
      </c>
      <c r="AD17" s="41">
        <v>1600</v>
      </c>
      <c r="AE17" s="428">
        <v>2000</v>
      </c>
      <c r="AF17" s="25">
        <f t="shared" si="12"/>
        <v>11181.185714285715</v>
      </c>
      <c r="AG17" s="25">
        <f t="shared" si="13"/>
        <v>10045.985714285714</v>
      </c>
      <c r="AH17" s="429">
        <f t="shared" si="14"/>
        <v>8810.7857142857138</v>
      </c>
      <c r="AI17" s="25">
        <f t="shared" si="15"/>
        <v>829.88257123923131</v>
      </c>
      <c r="AJ17" s="25">
        <f t="shared" si="16"/>
        <v>875.60342412451359</v>
      </c>
      <c r="AK17" s="429">
        <f t="shared" si="17"/>
        <v>930.07351555136654</v>
      </c>
    </row>
    <row r="18" spans="1:39" x14ac:dyDescent="0.25">
      <c r="A18" s="423"/>
      <c r="B18" s="278">
        <v>28</v>
      </c>
      <c r="C18" s="25">
        <v>63</v>
      </c>
      <c r="D18" s="42" t="s">
        <v>166</v>
      </c>
      <c r="E18" s="422">
        <v>3</v>
      </c>
      <c r="F18" s="424">
        <v>1</v>
      </c>
      <c r="G18" s="425">
        <v>7</v>
      </c>
      <c r="H18" s="36">
        <v>0</v>
      </c>
      <c r="I18" s="36">
        <v>3</v>
      </c>
      <c r="J18" s="36">
        <v>7</v>
      </c>
      <c r="K18" s="36">
        <v>7</v>
      </c>
      <c r="L18" s="36">
        <v>13</v>
      </c>
      <c r="M18" s="36">
        <v>13</v>
      </c>
      <c r="N18" s="426">
        <v>0</v>
      </c>
      <c r="O18" s="27">
        <f t="shared" si="0"/>
        <v>1.3690196080028512</v>
      </c>
      <c r="P18" s="27">
        <f t="shared" si="1"/>
        <v>16.556752942585149</v>
      </c>
      <c r="Q18" s="27">
        <f t="shared" si="2"/>
        <v>12.933411765616253</v>
      </c>
      <c r="R18" s="427">
        <f t="shared" si="3"/>
        <v>3.3732758172309056</v>
      </c>
      <c r="S18" s="27">
        <f t="shared" si="4"/>
        <v>3.7054797389943843</v>
      </c>
      <c r="T18" s="27">
        <f t="shared" si="5"/>
        <v>7.0170614384632373</v>
      </c>
      <c r="U18" s="27">
        <f t="shared" si="6"/>
        <v>17.03277385740807</v>
      </c>
      <c r="V18" s="427">
        <f t="shared" si="7"/>
        <v>7.0170614384632373</v>
      </c>
      <c r="W18" s="27">
        <f t="shared" si="8"/>
        <v>2.2816993466714188</v>
      </c>
      <c r="X18" s="27">
        <f t="shared" si="9"/>
        <v>8.0979947719051744</v>
      </c>
      <c r="Y18" s="27">
        <f t="shared" si="10"/>
        <v>20.708585622372688</v>
      </c>
      <c r="Z18" s="427">
        <f t="shared" si="11"/>
        <v>8.0979947719051744</v>
      </c>
      <c r="AA18" s="458">
        <v>5800</v>
      </c>
      <c r="AB18" s="286">
        <v>26.7</v>
      </c>
      <c r="AC18" s="41">
        <v>1500</v>
      </c>
      <c r="AD18" s="41">
        <v>2100</v>
      </c>
      <c r="AE18" s="428">
        <v>2700</v>
      </c>
      <c r="AF18" s="25">
        <f t="shared" si="12"/>
        <v>7530.7000000000007</v>
      </c>
      <c r="AG18" s="25">
        <f t="shared" si="13"/>
        <v>6076.2999999999993</v>
      </c>
      <c r="AH18" s="429">
        <f t="shared" si="14"/>
        <v>4621.8999999999996</v>
      </c>
      <c r="AI18" s="25">
        <f t="shared" si="15"/>
        <v>892.52740740740751</v>
      </c>
      <c r="AJ18" s="25">
        <f t="shared" si="16"/>
        <v>943.89126213592226</v>
      </c>
      <c r="AK18" s="429">
        <f t="shared" si="17"/>
        <v>1041.5549295774647</v>
      </c>
      <c r="AL18" s="354"/>
      <c r="AM18" s="354"/>
    </row>
    <row r="19" spans="1:39" x14ac:dyDescent="0.25">
      <c r="A19" s="423"/>
      <c r="B19" s="278">
        <v>27</v>
      </c>
      <c r="C19" s="25">
        <v>38</v>
      </c>
      <c r="D19" s="42" t="s">
        <v>163</v>
      </c>
      <c r="E19" s="422">
        <v>2</v>
      </c>
      <c r="F19" s="424">
        <v>1</v>
      </c>
      <c r="G19" s="425">
        <v>6</v>
      </c>
      <c r="H19" s="36">
        <v>0</v>
      </c>
      <c r="I19" s="36">
        <v>3</v>
      </c>
      <c r="J19" s="36">
        <v>14</v>
      </c>
      <c r="K19" s="36">
        <v>9</v>
      </c>
      <c r="L19" s="36">
        <v>2</v>
      </c>
      <c r="M19" s="36">
        <v>13</v>
      </c>
      <c r="N19" s="426">
        <v>15</v>
      </c>
      <c r="O19" s="27">
        <f t="shared" si="0"/>
        <v>2.4056302500767286</v>
      </c>
      <c r="P19" s="27">
        <f t="shared" si="1"/>
        <v>15.44565880567675</v>
      </c>
      <c r="Q19" s="27">
        <f t="shared" si="2"/>
        <v>10.129092425437353</v>
      </c>
      <c r="R19" s="427">
        <f t="shared" si="3"/>
        <v>3.35337030511407</v>
      </c>
      <c r="S19" s="27">
        <f t="shared" si="4"/>
        <v>6.5112392102076795</v>
      </c>
      <c r="T19" s="27">
        <f t="shared" si="5"/>
        <v>4.508555735266504</v>
      </c>
      <c r="U19" s="27">
        <f t="shared" si="6"/>
        <v>10.959264410575978</v>
      </c>
      <c r="V19" s="427">
        <f t="shared" si="7"/>
        <v>4.508555735266504</v>
      </c>
      <c r="W19" s="27">
        <f t="shared" si="8"/>
        <v>4.0093837501278813</v>
      </c>
      <c r="X19" s="27">
        <f t="shared" si="9"/>
        <v>6.9223843053186807</v>
      </c>
      <c r="Y19" s="27">
        <f t="shared" si="10"/>
        <v>16.527385415700277</v>
      </c>
      <c r="Z19" s="427">
        <f t="shared" si="11"/>
        <v>6.9223843053186807</v>
      </c>
      <c r="AA19">
        <v>6000</v>
      </c>
      <c r="AB19" s="286">
        <f>32.8*1.2</f>
        <v>39.359999999999992</v>
      </c>
      <c r="AC19" s="41">
        <v>500</v>
      </c>
      <c r="AD19" s="41">
        <v>1400</v>
      </c>
      <c r="AE19" s="428">
        <v>2400</v>
      </c>
      <c r="AF19" s="25">
        <f t="shared" si="12"/>
        <v>10751.74857142857</v>
      </c>
      <c r="AG19" s="25">
        <f t="shared" si="13"/>
        <v>8592.2285714285717</v>
      </c>
      <c r="AH19" s="429">
        <f t="shared" si="14"/>
        <v>6332.7085714285713</v>
      </c>
      <c r="AI19" s="25">
        <f t="shared" si="15"/>
        <v>1112.9351571164509</v>
      </c>
      <c r="AJ19" s="25">
        <f t="shared" si="16"/>
        <v>1121.5962703962705</v>
      </c>
      <c r="AK19" s="429">
        <f t="shared" si="17"/>
        <v>1118.7119242902208</v>
      </c>
    </row>
    <row r="20" spans="1:39" x14ac:dyDescent="0.25">
      <c r="A20" s="423"/>
      <c r="B20" s="278">
        <v>26</v>
      </c>
      <c r="C20" s="25">
        <v>100</v>
      </c>
      <c r="D20" s="42" t="s">
        <v>166</v>
      </c>
      <c r="E20" s="422">
        <v>3</v>
      </c>
      <c r="F20" s="424">
        <v>1</v>
      </c>
      <c r="G20" s="425">
        <v>6</v>
      </c>
      <c r="H20" s="36">
        <v>1</v>
      </c>
      <c r="I20" s="36">
        <v>4</v>
      </c>
      <c r="J20" s="36">
        <v>7</v>
      </c>
      <c r="K20" s="36">
        <v>7</v>
      </c>
      <c r="L20" s="36">
        <v>10</v>
      </c>
      <c r="M20" s="36">
        <v>14</v>
      </c>
      <c r="N20" s="426">
        <v>1</v>
      </c>
      <c r="O20" s="27">
        <f t="shared" si="0"/>
        <v>1.3556302500767288</v>
      </c>
      <c r="P20" s="27">
        <f t="shared" si="1"/>
        <v>16.405658805676747</v>
      </c>
      <c r="Q20" s="27">
        <f t="shared" si="2"/>
        <v>12.720092425437354</v>
      </c>
      <c r="R20" s="427">
        <f t="shared" si="3"/>
        <v>3.5763703051140703</v>
      </c>
      <c r="S20" s="27">
        <f t="shared" si="4"/>
        <v>3.6692392102076794</v>
      </c>
      <c r="T20" s="27">
        <f t="shared" si="5"/>
        <v>6.3475557352665035</v>
      </c>
      <c r="U20" s="27">
        <f t="shared" si="6"/>
        <v>15.886264410575976</v>
      </c>
      <c r="V20" s="427">
        <f t="shared" si="7"/>
        <v>6.3475557352665035</v>
      </c>
      <c r="W20" s="27">
        <f t="shared" si="8"/>
        <v>2.2593837501278813</v>
      </c>
      <c r="X20" s="27">
        <f t="shared" si="9"/>
        <v>7.8763843053186804</v>
      </c>
      <c r="Y20" s="27">
        <f t="shared" si="10"/>
        <v>20.479385415700278</v>
      </c>
      <c r="Z20" s="427">
        <f t="shared" si="11"/>
        <v>7.8763843053186804</v>
      </c>
      <c r="AA20" s="458">
        <v>7100</v>
      </c>
      <c r="AB20" s="286">
        <v>29</v>
      </c>
      <c r="AC20" s="41">
        <v>1900</v>
      </c>
      <c r="AD20" s="41">
        <v>2300</v>
      </c>
      <c r="AE20" s="428">
        <v>3000</v>
      </c>
      <c r="AF20" s="25">
        <f t="shared" si="12"/>
        <v>9790.2857142857138</v>
      </c>
      <c r="AG20" s="25">
        <f t="shared" si="13"/>
        <v>8462.2857142857138</v>
      </c>
      <c r="AH20" s="429">
        <f t="shared" si="14"/>
        <v>6834.2857142857138</v>
      </c>
      <c r="AI20" s="25">
        <f t="shared" si="15"/>
        <v>968.65017667844518</v>
      </c>
      <c r="AJ20" s="25">
        <f t="shared" si="16"/>
        <v>1043.8061674008809</v>
      </c>
      <c r="AK20" s="429">
        <f t="shared" si="17"/>
        <v>1119.0643274853801</v>
      </c>
    </row>
    <row r="21" spans="1:39" x14ac:dyDescent="0.25">
      <c r="A21" s="423"/>
      <c r="B21" s="278">
        <v>29</v>
      </c>
      <c r="C21" s="25">
        <v>83</v>
      </c>
      <c r="D21" s="42" t="s">
        <v>166</v>
      </c>
      <c r="E21" s="422">
        <v>3</v>
      </c>
      <c r="F21" s="424">
        <v>1</v>
      </c>
      <c r="G21" s="425">
        <v>7</v>
      </c>
      <c r="H21" s="36">
        <v>0</v>
      </c>
      <c r="I21" s="36">
        <v>1</v>
      </c>
      <c r="J21" s="36">
        <v>13</v>
      </c>
      <c r="K21" s="36">
        <v>6</v>
      </c>
      <c r="L21" s="36">
        <v>12</v>
      </c>
      <c r="M21" s="36">
        <v>12</v>
      </c>
      <c r="N21" s="426">
        <v>13</v>
      </c>
      <c r="O21" s="27">
        <f t="shared" si="0"/>
        <v>2.2690196080028513</v>
      </c>
      <c r="P21" s="27">
        <f t="shared" si="1"/>
        <v>15.233752942585149</v>
      </c>
      <c r="Q21" s="27">
        <f t="shared" si="2"/>
        <v>12.078411765616252</v>
      </c>
      <c r="R21" s="427">
        <f t="shared" si="3"/>
        <v>3.1502758172309058</v>
      </c>
      <c r="S21" s="27">
        <f t="shared" si="4"/>
        <v>6.1414797389943843</v>
      </c>
      <c r="T21" s="27">
        <f t="shared" si="5"/>
        <v>6.4960614384632365</v>
      </c>
      <c r="U21" s="27">
        <f t="shared" si="6"/>
        <v>15.906773857408069</v>
      </c>
      <c r="V21" s="427">
        <f t="shared" si="7"/>
        <v>6.4960614384632365</v>
      </c>
      <c r="W21" s="27">
        <f t="shared" si="8"/>
        <v>3.7816993466714188</v>
      </c>
      <c r="X21" s="27">
        <f t="shared" si="9"/>
        <v>7.474994771905175</v>
      </c>
      <c r="Y21" s="27">
        <f t="shared" si="10"/>
        <v>19.339585622372688</v>
      </c>
      <c r="Z21" s="427">
        <f t="shared" si="11"/>
        <v>7.474994771905175</v>
      </c>
      <c r="AA21">
        <v>7100</v>
      </c>
      <c r="AB21" s="286">
        <v>23.9</v>
      </c>
      <c r="AC21" s="41">
        <v>1650</v>
      </c>
      <c r="AD21" s="41">
        <v>2700</v>
      </c>
      <c r="AE21" s="428">
        <v>4000</v>
      </c>
      <c r="AF21" s="25">
        <f t="shared" si="12"/>
        <v>8027.7857142857138</v>
      </c>
      <c r="AG21" s="25">
        <f t="shared" si="13"/>
        <v>6212.9857142857145</v>
      </c>
      <c r="AH21" s="429">
        <f t="shared" si="14"/>
        <v>4148.1857142857143</v>
      </c>
      <c r="AI21" s="25">
        <f t="shared" si="15"/>
        <v>1105.9188191881919</v>
      </c>
      <c r="AJ21" s="25">
        <f t="shared" si="16"/>
        <v>1181.416638370119</v>
      </c>
      <c r="AK21" s="429">
        <f t="shared" si="17"/>
        <v>1272.8679452054794</v>
      </c>
    </row>
    <row r="22" spans="1:39" x14ac:dyDescent="0.25">
      <c r="A22" s="423"/>
      <c r="B22" s="278">
        <v>28</v>
      </c>
      <c r="C22" s="25">
        <v>77</v>
      </c>
      <c r="D22" s="42" t="s">
        <v>166</v>
      </c>
      <c r="E22" s="422">
        <v>4</v>
      </c>
      <c r="F22" s="424">
        <v>1</v>
      </c>
      <c r="G22" s="425">
        <v>9</v>
      </c>
      <c r="H22" s="36">
        <v>0</v>
      </c>
      <c r="I22" s="36">
        <v>4</v>
      </c>
      <c r="J22" s="36">
        <v>9</v>
      </c>
      <c r="K22" s="36">
        <v>14</v>
      </c>
      <c r="L22" s="36">
        <v>13</v>
      </c>
      <c r="M22" s="36">
        <v>13</v>
      </c>
      <c r="N22" s="426">
        <v>2</v>
      </c>
      <c r="O22" s="27">
        <f t="shared" si="0"/>
        <v>1.690848501887865</v>
      </c>
      <c r="P22" s="27">
        <f t="shared" si="1"/>
        <v>20.781283786650967</v>
      </c>
      <c r="Q22" s="27">
        <f t="shared" si="2"/>
        <v>13.057836460760829</v>
      </c>
      <c r="R22" s="427">
        <f t="shared" si="3"/>
        <v>3.4057281061399594</v>
      </c>
      <c r="S22" s="27">
        <f t="shared" si="4"/>
        <v>4.5765632784431549</v>
      </c>
      <c r="T22" s="27">
        <f t="shared" si="5"/>
        <v>8.1008804632238505</v>
      </c>
      <c r="U22" s="27">
        <f t="shared" si="6"/>
        <v>17.196636087504906</v>
      </c>
      <c r="V22" s="427">
        <f t="shared" si="7"/>
        <v>8.1008804632238505</v>
      </c>
      <c r="W22" s="27">
        <f t="shared" si="8"/>
        <v>2.8180808364797749</v>
      </c>
      <c r="X22" s="27">
        <f t="shared" si="9"/>
        <v>9.7356574445075985</v>
      </c>
      <c r="Y22" s="27">
        <f t="shared" si="10"/>
        <v>20.907810660563246</v>
      </c>
      <c r="Z22" s="427">
        <f t="shared" si="11"/>
        <v>9.7356574445075985</v>
      </c>
      <c r="AA22">
        <v>9900</v>
      </c>
      <c r="AB22" s="286">
        <f>23.2*1.2</f>
        <v>27.84</v>
      </c>
      <c r="AC22" s="41">
        <v>2500</v>
      </c>
      <c r="AD22" s="41">
        <v>4500</v>
      </c>
      <c r="AE22" s="428">
        <v>6000</v>
      </c>
      <c r="AF22" s="25">
        <f t="shared" si="12"/>
        <v>10824.32</v>
      </c>
      <c r="AG22" s="25">
        <f t="shared" si="13"/>
        <v>7933.4400000000005</v>
      </c>
      <c r="AH22" s="429">
        <f t="shared" si="14"/>
        <v>5542.5599999999995</v>
      </c>
      <c r="AI22" s="25">
        <f t="shared" si="15"/>
        <v>1302.1738345864662</v>
      </c>
      <c r="AJ22" s="25">
        <f t="shared" si="16"/>
        <v>1256.7825742574257</v>
      </c>
      <c r="AK22" s="429">
        <f t="shared" si="17"/>
        <v>1285.2313043478259</v>
      </c>
    </row>
    <row r="23" spans="1:39" x14ac:dyDescent="0.25">
      <c r="A23" s="423"/>
      <c r="B23" s="278">
        <v>29</v>
      </c>
      <c r="C23" s="25">
        <v>67</v>
      </c>
      <c r="D23" s="42" t="s">
        <v>166</v>
      </c>
      <c r="E23" s="422">
        <v>2</v>
      </c>
      <c r="F23" s="424">
        <v>1</v>
      </c>
      <c r="G23" s="425">
        <v>7</v>
      </c>
      <c r="H23" s="36">
        <v>0</v>
      </c>
      <c r="I23" s="36">
        <v>3</v>
      </c>
      <c r="J23" s="36">
        <v>4</v>
      </c>
      <c r="K23" s="36">
        <v>9</v>
      </c>
      <c r="L23" s="36">
        <v>12</v>
      </c>
      <c r="M23" s="36">
        <v>14</v>
      </c>
      <c r="N23" s="426">
        <v>9</v>
      </c>
      <c r="O23" s="27">
        <f t="shared" si="0"/>
        <v>0.91901960800285121</v>
      </c>
      <c r="P23" s="27">
        <f t="shared" si="1"/>
        <v>18.065752942585149</v>
      </c>
      <c r="Q23" s="27">
        <f t="shared" si="2"/>
        <v>13.292411765616253</v>
      </c>
      <c r="R23" s="427">
        <f t="shared" si="3"/>
        <v>3.5962758172309059</v>
      </c>
      <c r="S23" s="27">
        <f t="shared" si="4"/>
        <v>2.4874797389943843</v>
      </c>
      <c r="T23" s="27">
        <f t="shared" si="5"/>
        <v>7.1820614384632364</v>
      </c>
      <c r="U23" s="27">
        <f t="shared" si="6"/>
        <v>17.072773857408073</v>
      </c>
      <c r="V23" s="427">
        <f t="shared" si="7"/>
        <v>7.1820614384632364</v>
      </c>
      <c r="W23" s="27">
        <f t="shared" si="8"/>
        <v>1.5316993466714188</v>
      </c>
      <c r="X23" s="27">
        <f t="shared" si="9"/>
        <v>8.6579947719051766</v>
      </c>
      <c r="Y23" s="27">
        <f t="shared" si="10"/>
        <v>21.339585622372692</v>
      </c>
      <c r="Z23" s="427">
        <f t="shared" si="11"/>
        <v>8.6579947719051766</v>
      </c>
      <c r="AA23">
        <v>6250</v>
      </c>
      <c r="AB23" s="286">
        <v>26.3</v>
      </c>
      <c r="AC23" s="41">
        <v>2000</v>
      </c>
      <c r="AD23" s="41">
        <v>2700</v>
      </c>
      <c r="AE23" s="428">
        <v>2900</v>
      </c>
      <c r="AF23" s="25">
        <f t="shared" si="12"/>
        <v>7026.528571428571</v>
      </c>
      <c r="AG23" s="25">
        <f t="shared" si="13"/>
        <v>5484.9285714285716</v>
      </c>
      <c r="AH23" s="429">
        <f t="shared" si="14"/>
        <v>4443.3285714285712</v>
      </c>
      <c r="AI23" s="25">
        <f t="shared" si="15"/>
        <v>949.30180940892637</v>
      </c>
      <c r="AJ23" s="25">
        <f t="shared" si="16"/>
        <v>1015.3917355371901</v>
      </c>
      <c r="AK23" s="429">
        <f t="shared" si="17"/>
        <v>1306.1753280839894</v>
      </c>
    </row>
    <row r="24" spans="1:39" x14ac:dyDescent="0.25">
      <c r="A24" s="423"/>
      <c r="B24" s="278">
        <v>26</v>
      </c>
      <c r="C24" s="25">
        <v>92</v>
      </c>
      <c r="D24" s="42" t="s">
        <v>166</v>
      </c>
      <c r="E24" s="422">
        <v>3</v>
      </c>
      <c r="F24" s="424">
        <v>1</v>
      </c>
      <c r="G24" s="425">
        <v>5</v>
      </c>
      <c r="H24" s="36">
        <v>0</v>
      </c>
      <c r="I24" s="36">
        <v>4</v>
      </c>
      <c r="J24" s="36">
        <v>3</v>
      </c>
      <c r="K24" s="36">
        <v>3</v>
      </c>
      <c r="L24" s="36">
        <v>14</v>
      </c>
      <c r="M24" s="36">
        <v>14</v>
      </c>
      <c r="N24" s="426">
        <v>3</v>
      </c>
      <c r="O24" s="27">
        <f t="shared" si="0"/>
        <v>0.73979400086720382</v>
      </c>
      <c r="P24" s="27">
        <f t="shared" si="1"/>
        <v>14.741983087648737</v>
      </c>
      <c r="Q24" s="27">
        <f t="shared" si="2"/>
        <v>13.621825804943061</v>
      </c>
      <c r="R24" s="427">
        <f t="shared" si="3"/>
        <v>3.5528270812892426</v>
      </c>
      <c r="S24" s="27">
        <f t="shared" si="4"/>
        <v>2.0023757623472318</v>
      </c>
      <c r="T24" s="27">
        <f t="shared" si="5"/>
        <v>6.7165511630120882</v>
      </c>
      <c r="U24" s="27">
        <f t="shared" si="6"/>
        <v>17.939386966509808</v>
      </c>
      <c r="V24" s="427">
        <f t="shared" si="7"/>
        <v>6.7165511630120882</v>
      </c>
      <c r="W24" s="27">
        <f t="shared" si="8"/>
        <v>1.2329900014453397</v>
      </c>
      <c r="X24" s="27">
        <f t="shared" si="9"/>
        <v>7.4946110836017859</v>
      </c>
      <c r="Y24" s="27">
        <f t="shared" si="10"/>
        <v>21.810853247914679</v>
      </c>
      <c r="Z24" s="427">
        <f t="shared" si="11"/>
        <v>7.4946110836017859</v>
      </c>
      <c r="AA24">
        <v>6450</v>
      </c>
      <c r="AB24" s="286">
        <v>35.4</v>
      </c>
      <c r="AC24" s="41">
        <v>2800</v>
      </c>
      <c r="AD24" s="41">
        <v>1800</v>
      </c>
      <c r="AE24" s="428">
        <v>1600</v>
      </c>
      <c r="AF24" s="25">
        <f t="shared" si="12"/>
        <v>9212.8571428571413</v>
      </c>
      <c r="AG24" s="25">
        <f t="shared" si="13"/>
        <v>9080.057142857142</v>
      </c>
      <c r="AH24" s="429">
        <f t="shared" si="14"/>
        <v>8147.2571428571428</v>
      </c>
      <c r="AI24" s="25">
        <f t="shared" si="15"/>
        <v>905.12280701754366</v>
      </c>
      <c r="AJ24" s="25">
        <f t="shared" si="16"/>
        <v>1110.2253275109169</v>
      </c>
      <c r="AK24" s="429">
        <f t="shared" si="17"/>
        <v>1318.6312138728324</v>
      </c>
    </row>
  </sheetData>
  <conditionalFormatting sqref="G3:G24">
    <cfRule type="cellIs" dxfId="4" priority="5" operator="greaterThan">
      <formula>7</formula>
    </cfRule>
  </conditionalFormatting>
  <conditionalFormatting sqref="O3:O24 S3:S24 W3:W24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24 R3:R24 T3:T24 V3:V24 X3:X24 Z3:Z24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Q24 U3:U24 Y3:Y24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:AK24">
    <cfRule type="dataBar" priority="1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{28A81B4F-259D-2CCF-6D33-4969E3D99304}</x14:id>
        </ext>
      </extLst>
    </cfRule>
  </conditionalFormatting>
  <conditionalFormatting sqref="H3:N24">
    <cfRule type="colorScale" priority="140">
      <colorScale>
        <cfvo type="min"/>
        <cfvo type="max"/>
        <color rgb="FFFCFCFF"/>
        <color rgb="FFF8696B"/>
      </colorScale>
    </cfRule>
  </conditionalFormatting>
  <conditionalFormatting sqref="AF3:AH24">
    <cfRule type="dataBar" priority="1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{263A7C2C-1B85-A9F9-06C2-3B0D80D9B26D}</x14:id>
        </ext>
      </extLst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A81B4F-259D-2CCF-6D33-4969E3D993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AI3:AK24</xm:sqref>
        </x14:conditionalFormatting>
        <x14:conditionalFormatting xmlns:xm="http://schemas.microsoft.com/office/excel/2006/main">
          <x14:cfRule type="dataBar" id="{263A7C2C-1B85-A9F9-06C2-3B0D80D9B2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AF3:AH24</xm:sqref>
        </x14:conditionalFormatting>
      </x14:conditionalFormattings>
    </ex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60497A"/>
  </sheetPr>
  <dimension ref="A1:V10"/>
  <sheetViews>
    <sheetView workbookViewId="0">
      <selection activeCell="G36" sqref="G36"/>
    </sheetView>
  </sheetViews>
  <sheetFormatPr baseColWidth="10" defaultColWidth="10.7109375" defaultRowHeight="15" x14ac:dyDescent="0.25"/>
  <cols>
    <col min="1" max="1" width="25.28515625" customWidth="1"/>
    <col min="2" max="2" width="5.42578125" customWidth="1"/>
    <col min="3" max="3" width="4.7109375" customWidth="1"/>
    <col min="4" max="4" width="4.42578125" customWidth="1"/>
    <col min="5" max="5" width="13" customWidth="1"/>
    <col min="6" max="6" width="7.42578125" customWidth="1"/>
    <col min="7" max="7" width="12" customWidth="1"/>
    <col min="8" max="8" width="3.5703125" customWidth="1"/>
    <col min="9" max="10" width="5.5703125" customWidth="1"/>
    <col min="11" max="13" width="4.5703125" customWidth="1"/>
    <col min="14" max="14" width="5.140625" customWidth="1"/>
    <col min="15" max="15" width="5.5703125" customWidth="1"/>
    <col min="16" max="16" width="7.7109375" customWidth="1"/>
    <col min="17" max="17" width="7.85546875" customWidth="1"/>
    <col min="18" max="18" width="5.7109375" customWidth="1"/>
    <col min="19" max="19" width="5.28515625" customWidth="1"/>
    <col min="20" max="20" width="5.42578125" customWidth="1"/>
    <col min="21" max="21" width="4.28515625" customWidth="1"/>
  </cols>
  <sheetData>
    <row r="1" spans="1:22" x14ac:dyDescent="0.25">
      <c r="A1" s="23"/>
      <c r="D1" s="42"/>
      <c r="P1" t="s">
        <v>834</v>
      </c>
    </row>
    <row r="2" spans="1:22" x14ac:dyDescent="0.25">
      <c r="A2" s="31" t="s">
        <v>183</v>
      </c>
      <c r="B2" s="31" t="s">
        <v>846</v>
      </c>
      <c r="C2" s="31" t="s">
        <v>113</v>
      </c>
      <c r="D2" s="51" t="s">
        <v>465</v>
      </c>
      <c r="E2" s="31" t="s">
        <v>871</v>
      </c>
      <c r="F2" s="40" t="s">
        <v>121</v>
      </c>
      <c r="G2" s="39" t="s">
        <v>468</v>
      </c>
      <c r="H2" s="32" t="s">
        <v>735</v>
      </c>
      <c r="I2" s="32" t="s">
        <v>153</v>
      </c>
      <c r="J2" s="32" t="s">
        <v>191</v>
      </c>
      <c r="K2" s="32" t="s">
        <v>192</v>
      </c>
      <c r="L2" s="32" t="s">
        <v>489</v>
      </c>
      <c r="M2" s="32" t="s">
        <v>194</v>
      </c>
      <c r="N2" s="32" t="s">
        <v>195</v>
      </c>
      <c r="O2" s="32" t="s">
        <v>196</v>
      </c>
      <c r="P2" s="34" t="s">
        <v>853</v>
      </c>
      <c r="Q2" s="34" t="s">
        <v>854</v>
      </c>
      <c r="R2" s="32" t="s">
        <v>881</v>
      </c>
      <c r="S2" s="32" t="s">
        <v>882</v>
      </c>
      <c r="T2" s="32" t="s">
        <v>883</v>
      </c>
      <c r="U2" s="32" t="s">
        <v>884</v>
      </c>
      <c r="V2" s="32" t="s">
        <v>602</v>
      </c>
    </row>
    <row r="3" spans="1:22" x14ac:dyDescent="0.25">
      <c r="A3" t="str">
        <f>Plantilla!D4</f>
        <v>Cosme Fonteboa</v>
      </c>
      <c r="B3">
        <v>22</v>
      </c>
      <c r="C3" s="25">
        <v>89</v>
      </c>
      <c r="D3" s="42"/>
      <c r="E3" s="45">
        <v>9700000</v>
      </c>
      <c r="F3" s="104">
        <f ca="1">Plantilla!N4</f>
        <v>1</v>
      </c>
      <c r="G3" s="344">
        <f>Plantilla!V4</f>
        <v>32810</v>
      </c>
      <c r="H3" s="29">
        <f>Plantilla!I4</f>
        <v>10.4</v>
      </c>
      <c r="I3" s="36">
        <f>Plantilla!X4</f>
        <v>15</v>
      </c>
      <c r="J3" s="36">
        <f>Plantilla!Y4</f>
        <v>13.153846153846153</v>
      </c>
      <c r="K3" s="36">
        <f>Plantilla!Z4</f>
        <v>0</v>
      </c>
      <c r="L3" s="36">
        <f>Plantilla!AA4</f>
        <v>1</v>
      </c>
      <c r="M3" s="36">
        <f>Plantilla!AB4</f>
        <v>1</v>
      </c>
      <c r="N3" s="36">
        <f>Plantilla!AC4</f>
        <v>1</v>
      </c>
      <c r="O3" s="36">
        <f>Plantilla!AD4</f>
        <v>16.333333333333332</v>
      </c>
      <c r="P3" s="27">
        <f t="shared" ref="P3:P10" ca="1" si="0">((I3+F3+(LOG(H3)*4/3))*0.597)+((J3+F3+(LOG(H3)*4/3))*0.276)</f>
        <v>14.642288345405319</v>
      </c>
      <c r="Q3" s="27">
        <f t="shared" ref="Q3:Q10" ca="1" si="1">((I3+F3+(LOG(H3)*4/3))*0.866)+((J3+F3+(LOG(H3)*4/3))*0.425)</f>
        <v>21.622038003430912</v>
      </c>
      <c r="R3">
        <v>51.5</v>
      </c>
      <c r="S3">
        <v>45</v>
      </c>
      <c r="T3">
        <v>0</v>
      </c>
      <c r="U3">
        <v>-1</v>
      </c>
      <c r="V3" s="42">
        <f t="shared" ref="V3:V10" si="2">U3+T3+S3+R3</f>
        <v>95.5</v>
      </c>
    </row>
    <row r="4" spans="1:22" x14ac:dyDescent="0.25">
      <c r="A4" t="str">
        <f>Plantilla!D5</f>
        <v>Nicolae Hornet</v>
      </c>
      <c r="B4">
        <v>23</v>
      </c>
      <c r="C4" s="25">
        <v>2</v>
      </c>
      <c r="D4" s="42"/>
      <c r="E4" s="45"/>
      <c r="F4" s="104">
        <f ca="1">Plantilla!N5</f>
        <v>1</v>
      </c>
      <c r="G4" s="344">
        <f>Plantilla!V5</f>
        <v>1210</v>
      </c>
      <c r="H4" s="29">
        <f>Plantilla!I5</f>
        <v>2.2999999999999998</v>
      </c>
      <c r="I4" s="36">
        <f>Plantilla!X5</f>
        <v>6</v>
      </c>
      <c r="J4" s="36">
        <f>Plantilla!Y5</f>
        <v>5.8</v>
      </c>
      <c r="K4" s="36">
        <f>Plantilla!Z5</f>
        <v>0</v>
      </c>
      <c r="L4" s="36">
        <f>Plantilla!AA5</f>
        <v>3</v>
      </c>
      <c r="M4" s="36">
        <f>Plantilla!AB5</f>
        <v>1</v>
      </c>
      <c r="N4" s="36">
        <f>Plantilla!AC5</f>
        <v>1</v>
      </c>
      <c r="O4" s="36">
        <f>Plantilla!AD5</f>
        <v>4</v>
      </c>
      <c r="P4" s="27">
        <f t="shared" ca="1" si="0"/>
        <v>6.4768512011244788</v>
      </c>
      <c r="Q4" s="27">
        <f t="shared" ca="1" si="1"/>
        <v>9.5746541817316171</v>
      </c>
      <c r="R4">
        <v>7.5</v>
      </c>
      <c r="S4">
        <v>9</v>
      </c>
      <c r="T4">
        <v>0</v>
      </c>
      <c r="U4">
        <v>-1</v>
      </c>
      <c r="V4" s="42">
        <f t="shared" si="2"/>
        <v>15.5</v>
      </c>
    </row>
    <row r="5" spans="1:22" x14ac:dyDescent="0.25">
      <c r="A5" t="s">
        <v>885</v>
      </c>
      <c r="B5">
        <v>23</v>
      </c>
      <c r="C5">
        <v>96</v>
      </c>
      <c r="E5" s="45">
        <v>8000000</v>
      </c>
      <c r="F5" s="104">
        <f t="shared" ref="F5:F10" ca="1" si="3">$F$3</f>
        <v>1</v>
      </c>
      <c r="G5" s="344">
        <f>(31720+655)*1.032</f>
        <v>33411</v>
      </c>
      <c r="H5" s="29">
        <v>3.5</v>
      </c>
      <c r="I5" s="36">
        <v>16</v>
      </c>
      <c r="J5" s="36">
        <v>9</v>
      </c>
      <c r="K5" s="36">
        <v>0</v>
      </c>
      <c r="L5" s="36">
        <v>0</v>
      </c>
      <c r="M5" s="36">
        <v>0</v>
      </c>
      <c r="N5" s="36">
        <v>0</v>
      </c>
      <c r="O5" s="36">
        <v>11</v>
      </c>
      <c r="P5" s="27">
        <f t="shared" ca="1" si="0"/>
        <v>13.542295203623722</v>
      </c>
      <c r="Q5" s="27">
        <f t="shared" ca="1" si="1"/>
        <v>19.908522460341608</v>
      </c>
      <c r="R5">
        <v>61.5</v>
      </c>
      <c r="S5">
        <v>30</v>
      </c>
      <c r="T5">
        <v>0</v>
      </c>
      <c r="U5">
        <v>10</v>
      </c>
      <c r="V5" s="42">
        <f t="shared" si="2"/>
        <v>101.5</v>
      </c>
    </row>
    <row r="6" spans="1:22" x14ac:dyDescent="0.25">
      <c r="A6" t="s">
        <v>886</v>
      </c>
      <c r="B6">
        <v>23</v>
      </c>
      <c r="C6">
        <v>53</v>
      </c>
      <c r="E6" s="45">
        <v>9282257</v>
      </c>
      <c r="F6" s="104">
        <f t="shared" ca="1" si="3"/>
        <v>1</v>
      </c>
      <c r="G6" s="344"/>
      <c r="H6" s="29">
        <v>4.7</v>
      </c>
      <c r="I6" s="36">
        <v>16</v>
      </c>
      <c r="J6" s="36">
        <v>4</v>
      </c>
      <c r="K6" s="36">
        <v>0</v>
      </c>
      <c r="L6" s="36">
        <v>0</v>
      </c>
      <c r="M6" s="36">
        <v>0</v>
      </c>
      <c r="N6" s="36">
        <v>0</v>
      </c>
      <c r="O6" s="36">
        <v>13</v>
      </c>
      <c r="P6" s="27">
        <f t="shared" ca="1" si="0"/>
        <v>12.311321906637176</v>
      </c>
      <c r="Q6" s="27">
        <f t="shared" ca="1" si="1"/>
        <v>18.003904446126683</v>
      </c>
      <c r="R6">
        <v>61.5</v>
      </c>
      <c r="S6">
        <v>6</v>
      </c>
      <c r="T6">
        <v>0</v>
      </c>
      <c r="U6">
        <v>14</v>
      </c>
      <c r="V6" s="42">
        <f t="shared" si="2"/>
        <v>81.5</v>
      </c>
    </row>
    <row r="7" spans="1:22" x14ac:dyDescent="0.25">
      <c r="A7" t="s">
        <v>887</v>
      </c>
      <c r="B7">
        <v>23</v>
      </c>
      <c r="C7">
        <v>18</v>
      </c>
      <c r="D7" t="s">
        <v>163</v>
      </c>
      <c r="E7" s="45">
        <v>9000000</v>
      </c>
      <c r="F7" s="104">
        <f t="shared" ca="1" si="3"/>
        <v>1</v>
      </c>
      <c r="G7" s="344">
        <f>(18290+2045+125+145)*1.012</f>
        <v>20852.260000000002</v>
      </c>
      <c r="H7" s="29">
        <v>5.0999999999999996</v>
      </c>
      <c r="I7" s="36">
        <v>14</v>
      </c>
      <c r="J7" s="36">
        <v>11</v>
      </c>
      <c r="K7" s="36">
        <v>0</v>
      </c>
      <c r="L7" s="36">
        <v>5</v>
      </c>
      <c r="M7" s="36">
        <v>6</v>
      </c>
      <c r="N7" s="36">
        <v>0</v>
      </c>
      <c r="O7" s="36">
        <v>4</v>
      </c>
      <c r="P7" s="27">
        <f t="shared" ca="1" si="0"/>
        <v>13.090611684977999</v>
      </c>
      <c r="Q7" s="27">
        <f t="shared" ca="1" si="1"/>
        <v>19.307964129789916</v>
      </c>
      <c r="R7">
        <v>43.5</v>
      </c>
      <c r="S7">
        <v>46</v>
      </c>
      <c r="T7">
        <v>10</v>
      </c>
      <c r="U7">
        <v>2</v>
      </c>
      <c r="V7" s="42">
        <f t="shared" si="2"/>
        <v>101.5</v>
      </c>
    </row>
    <row r="8" spans="1:22" x14ac:dyDescent="0.25">
      <c r="A8" t="s">
        <v>888</v>
      </c>
      <c r="B8">
        <v>23</v>
      </c>
      <c r="C8">
        <v>14</v>
      </c>
      <c r="E8" s="45">
        <v>10250000</v>
      </c>
      <c r="F8" s="104">
        <f t="shared" ca="1" si="3"/>
        <v>1</v>
      </c>
      <c r="G8" s="344"/>
      <c r="H8" s="29">
        <v>4.3</v>
      </c>
      <c r="I8" s="36">
        <v>19</v>
      </c>
      <c r="J8" s="36">
        <v>5</v>
      </c>
      <c r="K8" s="36">
        <v>0</v>
      </c>
      <c r="L8" s="36">
        <v>0</v>
      </c>
      <c r="M8" s="36">
        <v>0</v>
      </c>
      <c r="N8" s="36">
        <v>0</v>
      </c>
      <c r="O8" s="36">
        <v>2</v>
      </c>
      <c r="P8" s="27">
        <f t="shared" ca="1" si="0"/>
        <v>14.333357282294639</v>
      </c>
      <c r="Q8" s="27">
        <f t="shared" ca="1" si="1"/>
        <v>20.960410368204329</v>
      </c>
      <c r="R8">
        <v>106</v>
      </c>
      <c r="S8">
        <v>10</v>
      </c>
      <c r="T8">
        <v>0</v>
      </c>
      <c r="U8">
        <v>0</v>
      </c>
      <c r="V8" s="42">
        <f t="shared" si="2"/>
        <v>116</v>
      </c>
    </row>
    <row r="9" spans="1:22" x14ac:dyDescent="0.25">
      <c r="B9">
        <v>20</v>
      </c>
      <c r="C9">
        <v>25</v>
      </c>
      <c r="E9" s="45"/>
      <c r="F9" s="104">
        <f t="shared" ca="1" si="3"/>
        <v>1</v>
      </c>
      <c r="G9" s="344"/>
      <c r="H9" s="29">
        <v>1.3</v>
      </c>
      <c r="I9" s="36">
        <v>7</v>
      </c>
      <c r="J9" s="36">
        <v>4</v>
      </c>
      <c r="K9" s="36">
        <v>0</v>
      </c>
      <c r="L9" s="36">
        <v>0</v>
      </c>
      <c r="M9" s="36">
        <v>0</v>
      </c>
      <c r="N9" s="36">
        <v>0</v>
      </c>
      <c r="O9" s="36">
        <v>12</v>
      </c>
      <c r="P9" s="27">
        <f t="shared" ca="1" si="0"/>
        <v>6.288630062085157</v>
      </c>
      <c r="Q9" s="27">
        <f t="shared" ca="1" si="1"/>
        <v>9.2491344904375019</v>
      </c>
      <c r="R9">
        <v>7.5</v>
      </c>
      <c r="S9">
        <v>9</v>
      </c>
      <c r="T9">
        <v>0</v>
      </c>
      <c r="U9">
        <v>-1</v>
      </c>
      <c r="V9" s="42">
        <f t="shared" si="2"/>
        <v>15.5</v>
      </c>
    </row>
    <row r="10" spans="1:22" x14ac:dyDescent="0.25">
      <c r="B10">
        <v>21</v>
      </c>
      <c r="C10">
        <v>82</v>
      </c>
      <c r="E10" s="45"/>
      <c r="F10" s="104">
        <f t="shared" ca="1" si="3"/>
        <v>1</v>
      </c>
      <c r="G10" s="344"/>
      <c r="H10" s="29">
        <v>2.6</v>
      </c>
      <c r="I10" s="36">
        <v>8</v>
      </c>
      <c r="J10" s="36">
        <v>6</v>
      </c>
      <c r="K10" s="36">
        <v>2</v>
      </c>
      <c r="L10" s="36">
        <v>3</v>
      </c>
      <c r="M10" s="36">
        <v>5</v>
      </c>
      <c r="N10" s="36">
        <v>2</v>
      </c>
      <c r="O10" s="36">
        <v>12</v>
      </c>
      <c r="P10" s="27">
        <f t="shared" ca="1" si="0"/>
        <v>7.7880289770380315</v>
      </c>
      <c r="Q10" s="27">
        <f t="shared" ca="1" si="1"/>
        <v>11.483307456307099</v>
      </c>
      <c r="R10">
        <v>7.5</v>
      </c>
      <c r="S10">
        <v>9</v>
      </c>
      <c r="T10">
        <v>0</v>
      </c>
      <c r="U10">
        <v>-1</v>
      </c>
      <c r="V10" s="42">
        <f t="shared" si="2"/>
        <v>15.5</v>
      </c>
    </row>
  </sheetData>
  <conditionalFormatting sqref="H3:H10">
    <cfRule type="cellIs" dxfId="3" priority="1" operator="greaterThan">
      <formula>7</formula>
    </cfRule>
  </conditionalFormatting>
  <conditionalFormatting sqref="P3:Q10">
    <cfRule type="cellIs" dxfId="2" priority="2" operator="greaterThan">
      <formula>12.5</formula>
    </cfRule>
  </conditionalFormatting>
  <conditionalFormatting sqref="I3:O10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 pageOrder="overThenDown"/>
  <legacyDrawing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60497A"/>
  </sheetPr>
  <dimension ref="A1:U13"/>
  <sheetViews>
    <sheetView workbookViewId="0">
      <selection activeCell="T5" sqref="T5"/>
    </sheetView>
  </sheetViews>
  <sheetFormatPr baseColWidth="10" defaultColWidth="10.7109375" defaultRowHeight="15" x14ac:dyDescent="0.25"/>
  <cols>
    <col min="1" max="1" width="18" customWidth="1"/>
    <col min="2" max="2" width="5.42578125" customWidth="1"/>
    <col min="3" max="3" width="4.7109375" customWidth="1"/>
    <col min="4" max="4" width="4.140625" customWidth="1"/>
    <col min="5" max="5" width="12" customWidth="1"/>
    <col min="6" max="6" width="4.5703125" customWidth="1"/>
    <col min="7" max="7" width="5.5703125" customWidth="1"/>
    <col min="8" max="8" width="5.7109375" customWidth="1"/>
    <col min="9" max="9" width="7.140625" customWidth="1"/>
    <col min="10" max="10" width="7.42578125" customWidth="1"/>
    <col min="11" max="11" width="3.5703125" customWidth="1"/>
    <col min="12" max="14" width="5.5703125" customWidth="1"/>
    <col min="15" max="15" width="4.5703125" customWidth="1"/>
    <col min="16" max="16" width="5.5703125" customWidth="1"/>
    <col min="17" max="17" width="5.140625" customWidth="1"/>
    <col min="18" max="18" width="5.5703125" customWidth="1"/>
    <col min="19" max="19" width="7.7109375" customWidth="1"/>
    <col min="20" max="20" width="7.85546875" customWidth="1"/>
  </cols>
  <sheetData>
    <row r="1" spans="1:21" x14ac:dyDescent="0.25">
      <c r="A1" s="23"/>
      <c r="D1" s="42"/>
      <c r="S1" t="s">
        <v>834</v>
      </c>
    </row>
    <row r="2" spans="1:21" x14ac:dyDescent="0.25">
      <c r="A2" s="31" t="s">
        <v>183</v>
      </c>
      <c r="B2" s="31" t="s">
        <v>846</v>
      </c>
      <c r="C2" s="31" t="s">
        <v>113</v>
      </c>
      <c r="D2" s="51" t="s">
        <v>465</v>
      </c>
      <c r="E2" s="31" t="s">
        <v>871</v>
      </c>
      <c r="F2" s="39" t="s">
        <v>848</v>
      </c>
      <c r="G2" s="39" t="s">
        <v>125</v>
      </c>
      <c r="H2" s="39" t="s">
        <v>126</v>
      </c>
      <c r="I2" s="39" t="s">
        <v>468</v>
      </c>
      <c r="J2" s="40" t="s">
        <v>121</v>
      </c>
      <c r="K2" s="32" t="s">
        <v>735</v>
      </c>
      <c r="L2" s="32" t="s">
        <v>153</v>
      </c>
      <c r="M2" s="32" t="s">
        <v>191</v>
      </c>
      <c r="N2" s="32" t="s">
        <v>192</v>
      </c>
      <c r="O2" s="32" t="s">
        <v>489</v>
      </c>
      <c r="P2" s="32" t="s">
        <v>194</v>
      </c>
      <c r="Q2" s="32" t="s">
        <v>195</v>
      </c>
      <c r="R2" s="32" t="s">
        <v>196</v>
      </c>
      <c r="S2" s="34" t="s">
        <v>853</v>
      </c>
      <c r="T2" s="34" t="s">
        <v>854</v>
      </c>
    </row>
    <row r="3" spans="1:21" x14ac:dyDescent="0.25">
      <c r="A3" t="str">
        <f>Plantilla!D4</f>
        <v>Cosme Fonteboa</v>
      </c>
      <c r="B3">
        <v>22</v>
      </c>
      <c r="C3" s="25">
        <v>89</v>
      </c>
      <c r="D3" s="42"/>
      <c r="E3" s="45"/>
      <c r="F3" s="37">
        <f>Plantilla!Q4</f>
        <v>6</v>
      </c>
      <c r="G3" s="38">
        <f>(F3/7)^0.5</f>
        <v>0.92582009977255142</v>
      </c>
      <c r="H3" s="38">
        <f>IF(F3=7,1,((F3+0.99)/7)^0.5)</f>
        <v>0.99928545900129484</v>
      </c>
      <c r="I3" s="38"/>
      <c r="J3" s="104">
        <f ca="1">Plantilla!N4</f>
        <v>1</v>
      </c>
      <c r="K3" s="29">
        <f>Plantilla!I4</f>
        <v>10.4</v>
      </c>
      <c r="L3" s="36">
        <f>Plantilla!X4</f>
        <v>15</v>
      </c>
      <c r="M3" s="36">
        <f>Plantilla!Y4</f>
        <v>13.153846153846153</v>
      </c>
      <c r="N3" s="36">
        <f>Plantilla!Z4</f>
        <v>0</v>
      </c>
      <c r="O3" s="36">
        <f>Plantilla!AA4</f>
        <v>1</v>
      </c>
      <c r="P3" s="36">
        <f>Plantilla!AB4</f>
        <v>1</v>
      </c>
      <c r="Q3" s="36">
        <f>Plantilla!AC4</f>
        <v>1</v>
      </c>
      <c r="R3" s="36">
        <f>Plantilla!AD4</f>
        <v>16.333333333333332</v>
      </c>
      <c r="S3" s="27">
        <f t="shared" ref="S3:S10" ca="1" si="0">((L3+J3+(LOG(K3)*4/3))*0.597)+((M3+J3+(LOG(K3)*4/3))*0.276)</f>
        <v>14.642288345405319</v>
      </c>
      <c r="T3" s="27">
        <f t="shared" ref="T3:T10" ca="1" si="1">((L3+J3+(LOG(K3)*4/3))*0.866)+((M3+J3+(LOG(K3)*4/3))*0.425)</f>
        <v>21.622038003430912</v>
      </c>
    </row>
    <row r="4" spans="1:21" x14ac:dyDescent="0.25">
      <c r="A4" t="str">
        <f>Plantilla!D5</f>
        <v>Nicolae Hornet</v>
      </c>
      <c r="B4">
        <v>23</v>
      </c>
      <c r="C4" s="25">
        <v>2</v>
      </c>
      <c r="D4" s="42"/>
      <c r="E4" s="45"/>
      <c r="F4" s="37">
        <f>Plantilla!Q5</f>
        <v>3</v>
      </c>
      <c r="G4" s="38">
        <f>(F4/7)^0.5</f>
        <v>0.65465367070797709</v>
      </c>
      <c r="H4" s="38">
        <f>IF(F4=7,1,((F4+0.99)/7)^0.5)</f>
        <v>0.75498344352707503</v>
      </c>
      <c r="I4" s="38"/>
      <c r="J4" s="104">
        <f ca="1">Plantilla!N5</f>
        <v>1</v>
      </c>
      <c r="K4" s="29">
        <f>Plantilla!I5</f>
        <v>2.2999999999999998</v>
      </c>
      <c r="L4" s="36">
        <f>Plantilla!X5</f>
        <v>6</v>
      </c>
      <c r="M4" s="36">
        <f>Plantilla!Y5</f>
        <v>5.8</v>
      </c>
      <c r="N4" s="36">
        <f>Plantilla!Z5</f>
        <v>0</v>
      </c>
      <c r="O4" s="36">
        <f>Plantilla!AA5</f>
        <v>3</v>
      </c>
      <c r="P4" s="36">
        <f>Plantilla!AB5</f>
        <v>1</v>
      </c>
      <c r="Q4" s="36">
        <f>Plantilla!AC5</f>
        <v>1</v>
      </c>
      <c r="R4" s="36">
        <f>Plantilla!AD5</f>
        <v>4</v>
      </c>
      <c r="S4" s="27">
        <f t="shared" ca="1" si="0"/>
        <v>6.4768512011244788</v>
      </c>
      <c r="T4" s="27">
        <f t="shared" ca="1" si="1"/>
        <v>9.5746541817316171</v>
      </c>
    </row>
    <row r="5" spans="1:21" x14ac:dyDescent="0.25">
      <c r="A5" t="s">
        <v>889</v>
      </c>
      <c r="B5">
        <v>19</v>
      </c>
      <c r="C5">
        <v>34</v>
      </c>
      <c r="E5" s="45">
        <v>1100000</v>
      </c>
      <c r="I5">
        <v>2150</v>
      </c>
      <c r="J5" s="104">
        <v>1</v>
      </c>
      <c r="K5" s="29">
        <v>1.3</v>
      </c>
      <c r="L5" s="36">
        <v>8</v>
      </c>
      <c r="M5" s="36">
        <v>2</v>
      </c>
      <c r="N5" s="36">
        <v>0</v>
      </c>
      <c r="O5" s="36">
        <v>0</v>
      </c>
      <c r="P5" s="36">
        <v>0</v>
      </c>
      <c r="Q5" s="36">
        <v>0</v>
      </c>
      <c r="R5" s="36">
        <v>14</v>
      </c>
      <c r="S5" s="27">
        <f t="shared" si="0"/>
        <v>6.3336300620851578</v>
      </c>
      <c r="T5" s="27">
        <f t="shared" si="1"/>
        <v>9.2651344904375019</v>
      </c>
    </row>
    <row r="6" spans="1:21" x14ac:dyDescent="0.25">
      <c r="A6" t="s">
        <v>890</v>
      </c>
      <c r="B6">
        <v>19</v>
      </c>
      <c r="C6">
        <v>33</v>
      </c>
      <c r="E6" s="45">
        <v>1050000</v>
      </c>
      <c r="I6">
        <v>2390</v>
      </c>
      <c r="J6" s="104">
        <v>1</v>
      </c>
      <c r="K6" s="29">
        <v>1.2</v>
      </c>
      <c r="L6" s="36">
        <v>8</v>
      </c>
      <c r="M6" s="36">
        <v>1</v>
      </c>
      <c r="N6" s="36">
        <v>0</v>
      </c>
      <c r="O6" s="36">
        <v>0</v>
      </c>
      <c r="P6" s="36">
        <v>0</v>
      </c>
      <c r="Q6" s="36">
        <v>0</v>
      </c>
      <c r="R6" s="36">
        <v>12</v>
      </c>
      <c r="S6" s="27">
        <f t="shared" si="0"/>
        <v>6.017166970399435</v>
      </c>
      <c r="T6" s="27">
        <f t="shared" si="1"/>
        <v>8.7802973181966433</v>
      </c>
    </row>
    <row r="7" spans="1:21" x14ac:dyDescent="0.25">
      <c r="A7" t="s">
        <v>891</v>
      </c>
      <c r="B7">
        <v>19</v>
      </c>
      <c r="C7">
        <v>78</v>
      </c>
      <c r="E7" s="45">
        <v>1849000</v>
      </c>
      <c r="I7">
        <v>3670</v>
      </c>
      <c r="J7" s="104">
        <v>1</v>
      </c>
      <c r="K7" s="29">
        <v>1</v>
      </c>
      <c r="L7" s="36">
        <v>9.35</v>
      </c>
      <c r="M7" s="36">
        <v>3</v>
      </c>
      <c r="N7" s="36">
        <v>0</v>
      </c>
      <c r="O7" s="36">
        <v>0</v>
      </c>
      <c r="P7" s="36">
        <v>0</v>
      </c>
      <c r="Q7" s="36">
        <v>0</v>
      </c>
      <c r="R7" s="36">
        <v>13</v>
      </c>
      <c r="S7" s="27">
        <f t="shared" si="0"/>
        <v>7.2829499999999996</v>
      </c>
      <c r="T7" s="27">
        <f t="shared" si="1"/>
        <v>10.663099999999998</v>
      </c>
    </row>
    <row r="8" spans="1:21" x14ac:dyDescent="0.25">
      <c r="A8" t="s">
        <v>892</v>
      </c>
      <c r="B8">
        <v>20</v>
      </c>
      <c r="C8">
        <v>52</v>
      </c>
      <c r="E8" s="45">
        <v>1198000</v>
      </c>
      <c r="I8">
        <v>2330</v>
      </c>
      <c r="J8" s="104">
        <v>1</v>
      </c>
      <c r="K8" s="29">
        <v>1.2</v>
      </c>
      <c r="L8" s="36">
        <v>8</v>
      </c>
      <c r="M8" s="36">
        <v>2</v>
      </c>
      <c r="N8" s="36">
        <v>0</v>
      </c>
      <c r="O8" s="36">
        <v>0</v>
      </c>
      <c r="P8" s="36">
        <v>0</v>
      </c>
      <c r="Q8" s="36">
        <v>0</v>
      </c>
      <c r="R8" s="36">
        <v>14</v>
      </c>
      <c r="S8" s="27">
        <f t="shared" si="0"/>
        <v>6.2931669703994348</v>
      </c>
      <c r="T8" s="27">
        <f t="shared" si="1"/>
        <v>9.205297318196644</v>
      </c>
    </row>
    <row r="9" spans="1:21" x14ac:dyDescent="0.25">
      <c r="A9" t="s">
        <v>893</v>
      </c>
      <c r="B9">
        <v>20</v>
      </c>
      <c r="C9">
        <v>25</v>
      </c>
      <c r="E9" s="45">
        <v>750000</v>
      </c>
      <c r="I9">
        <v>1730</v>
      </c>
      <c r="J9" s="104">
        <v>1</v>
      </c>
      <c r="K9" s="29">
        <v>1.3</v>
      </c>
      <c r="L9" s="36">
        <v>7</v>
      </c>
      <c r="M9" s="36">
        <v>4</v>
      </c>
      <c r="N9" s="36">
        <v>0</v>
      </c>
      <c r="O9" s="36">
        <v>0</v>
      </c>
      <c r="P9" s="36">
        <v>0</v>
      </c>
      <c r="Q9" s="36">
        <v>0</v>
      </c>
      <c r="R9" s="36">
        <v>12</v>
      </c>
      <c r="S9" s="27">
        <f t="shared" si="0"/>
        <v>6.288630062085157</v>
      </c>
      <c r="T9" s="27">
        <f t="shared" si="1"/>
        <v>9.2491344904375019</v>
      </c>
    </row>
    <row r="10" spans="1:21" x14ac:dyDescent="0.25">
      <c r="A10" t="s">
        <v>894</v>
      </c>
      <c r="B10">
        <v>21</v>
      </c>
      <c r="C10">
        <v>82</v>
      </c>
      <c r="D10" t="s">
        <v>895</v>
      </c>
      <c r="E10" s="45">
        <v>900000</v>
      </c>
      <c r="I10">
        <v>650</v>
      </c>
      <c r="J10" s="104">
        <v>1</v>
      </c>
      <c r="K10" s="29">
        <v>2.6</v>
      </c>
      <c r="L10" s="36">
        <v>8</v>
      </c>
      <c r="M10" s="36">
        <v>6</v>
      </c>
      <c r="N10" s="36">
        <v>2</v>
      </c>
      <c r="O10" s="36">
        <v>3</v>
      </c>
      <c r="P10" s="36">
        <v>5</v>
      </c>
      <c r="Q10" s="36">
        <v>2</v>
      </c>
      <c r="R10" s="36">
        <v>12</v>
      </c>
      <c r="S10" s="27">
        <f t="shared" si="0"/>
        <v>7.7880289770380315</v>
      </c>
      <c r="T10" s="27">
        <f t="shared" si="1"/>
        <v>11.483307456307099</v>
      </c>
      <c r="U10">
        <f>(1610+165+135)*1.033*1.2</f>
        <v>2367.6359999999995</v>
      </c>
    </row>
    <row r="11" spans="1:21" x14ac:dyDescent="0.25">
      <c r="E11" s="45"/>
      <c r="J11" s="104"/>
      <c r="K11" s="29"/>
      <c r="L11" s="36"/>
      <c r="M11" s="36"/>
      <c r="N11" s="36"/>
      <c r="O11" s="36"/>
      <c r="P11" s="36"/>
      <c r="Q11" s="36"/>
      <c r="R11" s="36"/>
      <c r="S11" s="27"/>
      <c r="T11" s="27"/>
    </row>
    <row r="12" spans="1:21" x14ac:dyDescent="0.25">
      <c r="E12" s="45"/>
      <c r="J12" s="104"/>
      <c r="K12" s="29"/>
      <c r="L12" s="36"/>
      <c r="M12" s="36"/>
      <c r="N12" s="36"/>
      <c r="O12" s="36"/>
      <c r="P12" s="36"/>
      <c r="Q12" s="36"/>
      <c r="R12" s="36"/>
      <c r="S12" s="27"/>
      <c r="T12" s="27"/>
    </row>
    <row r="13" spans="1:21" x14ac:dyDescent="0.25">
      <c r="E13" s="45"/>
      <c r="J13" s="104"/>
      <c r="K13" s="29"/>
      <c r="L13" s="36"/>
      <c r="M13" s="36"/>
      <c r="N13" s="36"/>
      <c r="O13" s="36"/>
      <c r="P13" s="36"/>
      <c r="Q13" s="36"/>
      <c r="R13" s="36"/>
      <c r="S13" s="27"/>
      <c r="T13" s="27"/>
    </row>
  </sheetData>
  <conditionalFormatting sqref="K3:K13">
    <cfRule type="cellIs" dxfId="1" priority="1" operator="greaterThan">
      <formula>7</formula>
    </cfRule>
  </conditionalFormatting>
  <conditionalFormatting sqref="S3:T13">
    <cfRule type="cellIs" dxfId="0" priority="2" operator="greaterThan">
      <formula>12.5</formula>
    </cfRule>
  </conditionalFormatting>
  <conditionalFormatting sqref="L3:R13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 pageOrder="overThenDown"/>
  <legacyDrawing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U28"/>
  <sheetViews>
    <sheetView tabSelected="1" zoomScale="110" zoomScaleNormal="110" workbookViewId="0">
      <pane xSplit="4" ySplit="3" topLeftCell="E4" activePane="bottomRight" state="frozen"/>
      <selection pane="topRight"/>
      <selection pane="bottomLeft"/>
      <selection pane="bottomRight" activeCell="F11" sqref="F11"/>
    </sheetView>
  </sheetViews>
  <sheetFormatPr baseColWidth="10" defaultColWidth="9.140625" defaultRowHeight="15" x14ac:dyDescent="0.25"/>
  <cols>
    <col min="1" max="1" width="3.5703125" style="406" customWidth="1"/>
    <col min="2" max="2" width="8" style="42" customWidth="1"/>
    <col min="3" max="3" width="5.28515625" customWidth="1"/>
    <col min="4" max="4" width="19.85546875" bestFit="1" customWidth="1"/>
    <col min="5" max="5" width="5.5703125" customWidth="1"/>
    <col min="6" max="6" width="5" customWidth="1"/>
    <col min="7" max="7" width="4.5703125" bestFit="1" customWidth="1"/>
    <col min="8" max="8" width="3.7109375" bestFit="1" customWidth="1"/>
    <col min="9" max="9" width="4.42578125" bestFit="1" customWidth="1"/>
    <col min="10" max="12" width="4.85546875" bestFit="1" customWidth="1"/>
    <col min="13" max="13" width="10.5703125" bestFit="1" customWidth="1"/>
    <col min="14" max="14" width="4.5703125" bestFit="1" customWidth="1"/>
    <col min="15" max="15" width="4.28515625" bestFit="1" customWidth="1"/>
    <col min="16" max="16" width="5.140625" bestFit="1" customWidth="1"/>
    <col min="17" max="17" width="4.140625" bestFit="1" customWidth="1"/>
    <col min="18" max="19" width="5.7109375" bestFit="1" customWidth="1"/>
    <col min="20" max="20" width="12.140625" bestFit="1" customWidth="1"/>
    <col min="21" max="22" width="10.5703125" bestFit="1" customWidth="1"/>
    <col min="23" max="23" width="7.5703125" bestFit="1" customWidth="1"/>
    <col min="24" max="30" width="6.42578125" bestFit="1" customWidth="1"/>
    <col min="31" max="31" width="7" bestFit="1" customWidth="1"/>
    <col min="32" max="32" width="8.5703125" bestFit="1" customWidth="1"/>
    <col min="33" max="33" width="6.5703125" bestFit="1" customWidth="1"/>
    <col min="34" max="39" width="7" bestFit="1" customWidth="1"/>
    <col min="40" max="40" width="7.5703125" bestFit="1" customWidth="1"/>
    <col min="41" max="42" width="3.42578125" bestFit="1" customWidth="1"/>
    <col min="43" max="43" width="3.5703125" bestFit="1" customWidth="1"/>
    <col min="44" max="44" width="5.28515625" bestFit="1" customWidth="1"/>
    <col min="45" max="45" width="7.140625" bestFit="1" customWidth="1"/>
    <col min="46" max="46" width="13.140625" bestFit="1" customWidth="1"/>
    <col min="47" max="47" width="10.7109375" bestFit="1" customWidth="1"/>
    <col min="48" max="52" width="10" customWidth="1"/>
  </cols>
  <sheetData>
    <row r="1" spans="1:47" x14ac:dyDescent="0.25">
      <c r="D1" s="23">
        <v>42268</v>
      </c>
    </row>
    <row r="2" spans="1:47" x14ac:dyDescent="0.25">
      <c r="D2" s="23">
        <f ca="1">TODAY()</f>
        <v>44263</v>
      </c>
      <c r="I2" s="24">
        <f>AVERAGE(I4:I20)</f>
        <v>8.2470588235294109</v>
      </c>
      <c r="J2" s="24"/>
      <c r="N2" s="27">
        <f ca="1">AVERAGE(N4:N20)</f>
        <v>0.88179184509978803</v>
      </c>
      <c r="O2" s="24">
        <f>AVERAGE(O4:O20)</f>
        <v>6.6823529411764699</v>
      </c>
      <c r="Q2" s="24">
        <f>AVERAGE(Q4:Q20)</f>
        <v>5.4705882352941178</v>
      </c>
      <c r="R2" s="2">
        <f>AVERAGE(R4:R20)</f>
        <v>0.8810173089404707</v>
      </c>
      <c r="S2" s="2">
        <f>AVERAGE(S4:S20)</f>
        <v>0.95438852615072134</v>
      </c>
      <c r="T2" s="28">
        <f>SUM(T4:T20)</f>
        <v>3183810</v>
      </c>
      <c r="U2" s="28">
        <f>SUM(U4:U20)</f>
        <v>373940</v>
      </c>
      <c r="V2" s="28">
        <f>SUM(V4:V20)</f>
        <v>380136</v>
      </c>
      <c r="W2" s="29">
        <f>T2/V2</f>
        <v>8.3754498390049879</v>
      </c>
      <c r="AD2" s="27">
        <f>AVERAGE(AD5:AD20)</f>
        <v>13.666666666666666</v>
      </c>
      <c r="AE2" s="25">
        <f>AVERAGE(AE5:AE20)</f>
        <v>156.85714285714286</v>
      </c>
      <c r="AF2" s="25"/>
      <c r="AG2" s="24"/>
      <c r="AN2" s="24"/>
      <c r="AO2" s="24"/>
      <c r="AP2" s="24"/>
      <c r="AQ2" s="24"/>
    </row>
    <row r="3" spans="1:47" x14ac:dyDescent="0.25">
      <c r="A3" s="405" t="s">
        <v>108</v>
      </c>
      <c r="B3" s="13" t="s">
        <v>109</v>
      </c>
      <c r="C3" s="14" t="s">
        <v>110</v>
      </c>
      <c r="D3" s="15" t="s">
        <v>111</v>
      </c>
      <c r="E3" s="13" t="s">
        <v>112</v>
      </c>
      <c r="F3" s="13" t="s">
        <v>113</v>
      </c>
      <c r="G3" s="13" t="s">
        <v>114</v>
      </c>
      <c r="H3" s="13" t="s">
        <v>115</v>
      </c>
      <c r="I3" s="13" t="s">
        <v>116</v>
      </c>
      <c r="J3" s="13" t="s">
        <v>117</v>
      </c>
      <c r="K3" s="16" t="s">
        <v>118</v>
      </c>
      <c r="L3" s="16" t="s">
        <v>119</v>
      </c>
      <c r="M3" s="13" t="s">
        <v>120</v>
      </c>
      <c r="N3" s="13" t="s">
        <v>121</v>
      </c>
      <c r="O3" s="13" t="s">
        <v>122</v>
      </c>
      <c r="P3" s="13" t="s">
        <v>123</v>
      </c>
      <c r="Q3" s="13" t="s">
        <v>124</v>
      </c>
      <c r="R3" s="39" t="s">
        <v>125</v>
      </c>
      <c r="S3" s="39" t="s">
        <v>126</v>
      </c>
      <c r="T3" s="13" t="s">
        <v>127</v>
      </c>
      <c r="U3" s="13" t="s">
        <v>128</v>
      </c>
      <c r="V3" s="13" t="s">
        <v>129</v>
      </c>
      <c r="W3" s="13" t="s">
        <v>130</v>
      </c>
      <c r="X3" s="13" t="s">
        <v>131</v>
      </c>
      <c r="Y3" s="13" t="s">
        <v>132</v>
      </c>
      <c r="Z3" s="13" t="s">
        <v>133</v>
      </c>
      <c r="AA3" s="13" t="s">
        <v>134</v>
      </c>
      <c r="AB3" s="13" t="s">
        <v>135</v>
      </c>
      <c r="AC3" s="13" t="s">
        <v>136</v>
      </c>
      <c r="AD3" s="13" t="s">
        <v>114</v>
      </c>
      <c r="AE3" s="13" t="s">
        <v>137</v>
      </c>
      <c r="AF3" s="13" t="s">
        <v>138</v>
      </c>
      <c r="AG3" s="17" t="s">
        <v>139</v>
      </c>
      <c r="AH3" s="17" t="s">
        <v>140</v>
      </c>
      <c r="AI3" s="17" t="s">
        <v>141</v>
      </c>
      <c r="AJ3" s="17" t="s">
        <v>142</v>
      </c>
      <c r="AK3" s="17" t="s">
        <v>143</v>
      </c>
      <c r="AL3" s="17" t="s">
        <v>144</v>
      </c>
      <c r="AM3" s="17" t="s">
        <v>145</v>
      </c>
      <c r="AN3" s="17" t="s">
        <v>146</v>
      </c>
      <c r="AO3" s="13" t="s">
        <v>147</v>
      </c>
      <c r="AP3" s="13" t="s">
        <v>148</v>
      </c>
      <c r="AQ3" s="13" t="s">
        <v>149</v>
      </c>
      <c r="AR3" s="13" t="s">
        <v>150</v>
      </c>
      <c r="AS3" s="500" t="s">
        <v>151</v>
      </c>
      <c r="AT3" s="501" t="s">
        <v>707</v>
      </c>
      <c r="AU3" s="501" t="s">
        <v>984</v>
      </c>
    </row>
    <row r="4" spans="1:47" x14ac:dyDescent="0.25">
      <c r="A4" s="407" t="s">
        <v>152</v>
      </c>
      <c r="B4" s="49" t="s">
        <v>153</v>
      </c>
      <c r="C4" s="359">
        <f t="shared" ref="C4:C20" ca="1" si="0">((36*112)-(E4*112)-(F4))/112</f>
        <v>7.9821428571428568</v>
      </c>
      <c r="D4" s="95" t="s">
        <v>9</v>
      </c>
      <c r="E4" s="4">
        <v>28</v>
      </c>
      <c r="F4" s="5">
        <f ca="1">$D$2-$D$1-1097-112-112-112-112-112-112-112-112</f>
        <v>2</v>
      </c>
      <c r="G4" s="6"/>
      <c r="H4" s="7">
        <v>4</v>
      </c>
      <c r="I4" s="8">
        <v>10.4</v>
      </c>
      <c r="J4" s="21">
        <f t="shared" ref="J4:J20" si="1">LOG(I4)*4/3</f>
        <v>1.3560444523983737</v>
      </c>
      <c r="K4" s="9">
        <f t="shared" ref="K4:K20" si="2">(H4)*(H4)*(I4)</f>
        <v>166.4</v>
      </c>
      <c r="L4" s="9">
        <f t="shared" ref="L4:L20" si="3">(H4+1)*(H4+1)*I4</f>
        <v>260</v>
      </c>
      <c r="M4" s="62">
        <v>43415</v>
      </c>
      <c r="N4" s="63">
        <f t="shared" ref="N4:N12" ca="1" si="4">IF((TODAY()-M4)&gt;335,1,((TODAY()-M4)^0.64)/(336^0.64))</f>
        <v>1</v>
      </c>
      <c r="O4" s="19">
        <v>7</v>
      </c>
      <c r="P4" s="20">
        <f t="shared" ref="P4:P20" si="5">O4*10+19</f>
        <v>89</v>
      </c>
      <c r="Q4" s="20">
        <v>6</v>
      </c>
      <c r="R4" s="57">
        <f t="shared" ref="R4:R20" si="6">(Q4/7)^0.5</f>
        <v>0.92582009977255142</v>
      </c>
      <c r="S4" s="57">
        <f t="shared" ref="S4:S20" si="7">IF(Q4=7,1,((Q4+0.99)/7)^0.5)</f>
        <v>0.99928545900129484</v>
      </c>
      <c r="T4" s="10">
        <v>70920</v>
      </c>
      <c r="U4" s="10">
        <f t="shared" ref="U4:U20" si="8">T4-AS4</f>
        <v>-2130</v>
      </c>
      <c r="V4" s="10">
        <v>32810</v>
      </c>
      <c r="W4" s="11">
        <f t="shared" ref="W4:W20" si="9">T4/V4</f>
        <v>2.1615361170374885</v>
      </c>
      <c r="X4" s="442">
        <v>15</v>
      </c>
      <c r="Y4" s="21">
        <f>13+2/13</f>
        <v>13.153846153846153</v>
      </c>
      <c r="Z4" s="442">
        <v>0</v>
      </c>
      <c r="AA4" s="21">
        <v>1</v>
      </c>
      <c r="AB4" s="442">
        <v>1</v>
      </c>
      <c r="AC4" s="21">
        <v>1</v>
      </c>
      <c r="AD4" s="442">
        <f>16+1/3</f>
        <v>16.333333333333332</v>
      </c>
      <c r="AE4" s="12">
        <f>Planning!V3</f>
        <v>131.5</v>
      </c>
      <c r="AF4" s="12">
        <v>1434</v>
      </c>
      <c r="AG4" s="11">
        <f t="shared" ref="AG4:AG20" ca="1" si="10">(((Y4+LOG(I4)*4/3+N4)+(AB4+LOG(I4)*4/3+N4)*2)/8)*(Q4/7)^0.5</f>
        <v>2.5716944110069786</v>
      </c>
      <c r="AH4" s="22">
        <f t="shared" ref="AH4:AH20" ca="1" si="11">(Y4+J4+N4)*(Q4/7)^0.5</f>
        <v>14.359368468534665</v>
      </c>
      <c r="AI4" s="22">
        <f t="shared" ref="AI4:AI20" ca="1" si="12">(Y4+J4+N4)*(IF(Q4=7,(Q4/7)^0.5,((Q4+1)/7)^0.5))</f>
        <v>15.509890606244527</v>
      </c>
      <c r="AJ4" s="22">
        <f t="shared" ref="AJ4:AJ20" ca="1" si="13">(Z4+N4+(LOG(I4)*4/3))*(Q4/7)^0.5</f>
        <v>2.1812733099880286</v>
      </c>
      <c r="AK4" s="22">
        <f t="shared" ref="AK4:AK20" ca="1" si="14">(Z4+N4+(LOG(I4)*4/3))*(IF(Q4=7,(Q4/7)^0.5,((Q4+1)/7)^0.5))</f>
        <v>2.3560444523983737</v>
      </c>
      <c r="AL4" s="22">
        <f t="shared" ref="AL4:AL20" ca="1" si="15">(AD4+1+(LOG(I4)*4/3)+N4)*(Q4/7)^0.5</f>
        <v>18.228821706045586</v>
      </c>
      <c r="AM4" s="22">
        <f t="shared" ref="AM4:AM20" ca="1" si="16">(AD4+1+N4+(LOG(I4)*4/3))*(IF(Q4=7,(Q4/7)^0.5,((Q4+1)/7)^0.5))</f>
        <v>19.689377785731708</v>
      </c>
      <c r="AN4" s="11">
        <f t="shared" ref="AN4:AN20" ca="1" si="17">(AD4+LOG(I4)*4/3+N4)*0.7+(AC4+LOG(I4)*4/3+N4)*0.3</f>
        <v>14.089377785731706</v>
      </c>
      <c r="AO4" s="20">
        <v>1</v>
      </c>
      <c r="AP4" s="20">
        <v>3</v>
      </c>
      <c r="AQ4" s="20">
        <v>2</v>
      </c>
      <c r="AR4" s="57">
        <f t="shared" ref="AR4:AR20" si="18">IF(AP4=4,IF(AQ4=0,0.137+0.0697,0.137+0.02),IF(AP4=3,IF(AQ4=0,0.0958+0.0697,0.0958+0.02),IF(AP4=2,IF(AQ4=0,0.0415+0.0697,0.0415+0.02),IF(AP4=1,IF(AQ4=0,0.0294+0.0697,0.0294+0.02),IF(AP4=0,IF(AQ4=0,0.0063+0.0697,0.0063+0.02))))))</f>
        <v>0.1158</v>
      </c>
      <c r="AS4" s="10">
        <v>73050</v>
      </c>
      <c r="AT4" s="502">
        <v>7000000</v>
      </c>
      <c r="AU4" s="503" t="s">
        <v>985</v>
      </c>
    </row>
    <row r="5" spans="1:47" x14ac:dyDescent="0.25">
      <c r="A5" s="407" t="s">
        <v>154</v>
      </c>
      <c r="B5" s="49" t="s">
        <v>153</v>
      </c>
      <c r="C5" s="359">
        <f t="shared" ca="1" si="0"/>
        <v>7.7589285714285712</v>
      </c>
      <c r="D5" s="345" t="s">
        <v>65</v>
      </c>
      <c r="E5" s="4">
        <v>28</v>
      </c>
      <c r="F5" s="5">
        <f ca="1">$D$2-$D$1-880+32-112-112-112-112-112-112-112-112-112-112</f>
        <v>27</v>
      </c>
      <c r="G5" s="6"/>
      <c r="H5" s="91">
        <v>5</v>
      </c>
      <c r="I5" s="8">
        <v>2.2999999999999998</v>
      </c>
      <c r="J5" s="21">
        <f t="shared" si="1"/>
        <v>0.48230378135679047</v>
      </c>
      <c r="K5" s="9">
        <f t="shared" si="2"/>
        <v>57.499999999999993</v>
      </c>
      <c r="L5" s="9">
        <f t="shared" si="3"/>
        <v>82.8</v>
      </c>
      <c r="M5" s="62">
        <v>43190</v>
      </c>
      <c r="N5" s="63">
        <f t="shared" ca="1" si="4"/>
        <v>1</v>
      </c>
      <c r="O5" s="19">
        <v>6</v>
      </c>
      <c r="P5" s="20">
        <f t="shared" si="5"/>
        <v>79</v>
      </c>
      <c r="Q5" s="20">
        <v>3</v>
      </c>
      <c r="R5" s="57">
        <f t="shared" si="6"/>
        <v>0.65465367070797709</v>
      </c>
      <c r="S5" s="57">
        <f t="shared" si="7"/>
        <v>0.75498344352707503</v>
      </c>
      <c r="T5" s="10">
        <v>2350</v>
      </c>
      <c r="U5" s="10">
        <f t="shared" si="8"/>
        <v>-970</v>
      </c>
      <c r="V5" s="10">
        <v>1210</v>
      </c>
      <c r="W5" s="11">
        <f t="shared" si="9"/>
        <v>1.9421487603305785</v>
      </c>
      <c r="X5" s="442">
        <v>6</v>
      </c>
      <c r="Y5" s="21">
        <f>5+4/5</f>
        <v>5.8</v>
      </c>
      <c r="Z5" s="442">
        <v>0</v>
      </c>
      <c r="AA5" s="21">
        <v>3</v>
      </c>
      <c r="AB5" s="442">
        <v>1</v>
      </c>
      <c r="AC5" s="21">
        <v>1</v>
      </c>
      <c r="AD5" s="442">
        <v>4</v>
      </c>
      <c r="AE5" s="12">
        <f>7.5+10+1.5+1.5+5</f>
        <v>25.5</v>
      </c>
      <c r="AF5" s="12">
        <v>324</v>
      </c>
      <c r="AG5" s="11">
        <f t="shared" ca="1" si="10"/>
        <v>1.0021856832788543</v>
      </c>
      <c r="AH5" s="22">
        <f t="shared" ca="1" si="11"/>
        <v>4.7673869016758044</v>
      </c>
      <c r="AI5" s="22">
        <f t="shared" ca="1" si="12"/>
        <v>5.5049042220272435</v>
      </c>
      <c r="AJ5" s="22">
        <f t="shared" ca="1" si="13"/>
        <v>0.97039561156953758</v>
      </c>
      <c r="AK5" s="22">
        <f t="shared" ca="1" si="14"/>
        <v>1.1205163351202081</v>
      </c>
      <c r="AL5" s="22">
        <f t="shared" ca="1" si="15"/>
        <v>4.2436639651094232</v>
      </c>
      <c r="AM5" s="22">
        <f t="shared" ca="1" si="16"/>
        <v>4.9001610652124805</v>
      </c>
      <c r="AN5" s="11">
        <f t="shared" ca="1" si="17"/>
        <v>4.5823037813567904</v>
      </c>
      <c r="AO5" s="20">
        <v>3</v>
      </c>
      <c r="AP5" s="20">
        <v>0</v>
      </c>
      <c r="AQ5" s="20">
        <v>2</v>
      </c>
      <c r="AR5" s="57">
        <f t="shared" si="18"/>
        <v>2.63E-2</v>
      </c>
      <c r="AS5" s="10">
        <v>3320</v>
      </c>
      <c r="AT5" s="504">
        <v>14000</v>
      </c>
      <c r="AU5" s="503" t="s">
        <v>183</v>
      </c>
    </row>
    <row r="6" spans="1:47" x14ac:dyDescent="0.25">
      <c r="A6" s="407" t="s">
        <v>157</v>
      </c>
      <c r="B6" s="49" t="s">
        <v>156</v>
      </c>
      <c r="C6" s="359">
        <f t="shared" ca="1" si="0"/>
        <v>8.1785714285714288</v>
      </c>
      <c r="D6" s="95" t="s">
        <v>27</v>
      </c>
      <c r="E6" s="4">
        <v>27</v>
      </c>
      <c r="F6" s="5">
        <f ca="1">$D$2-$D$1-1102-17-112-112-112-112-112-112-112</f>
        <v>92</v>
      </c>
      <c r="G6" s="6"/>
      <c r="H6" s="7">
        <v>4</v>
      </c>
      <c r="I6" s="8">
        <v>7.5</v>
      </c>
      <c r="J6" s="21">
        <f t="shared" si="1"/>
        <v>1.1667483511889334</v>
      </c>
      <c r="K6" s="9">
        <f t="shared" si="2"/>
        <v>120</v>
      </c>
      <c r="L6" s="9">
        <f t="shared" si="3"/>
        <v>187.5</v>
      </c>
      <c r="M6" s="62">
        <v>43410</v>
      </c>
      <c r="N6" s="63">
        <f t="shared" ca="1" si="4"/>
        <v>1</v>
      </c>
      <c r="O6" s="19">
        <v>7</v>
      </c>
      <c r="P6" s="20">
        <f t="shared" si="5"/>
        <v>89</v>
      </c>
      <c r="Q6" s="20">
        <v>6</v>
      </c>
      <c r="R6" s="57">
        <f t="shared" si="6"/>
        <v>0.92582009977255142</v>
      </c>
      <c r="S6" s="57">
        <f t="shared" si="7"/>
        <v>0.99928545900129484</v>
      </c>
      <c r="T6" s="10">
        <v>221170</v>
      </c>
      <c r="U6" s="10">
        <f t="shared" si="8"/>
        <v>41520</v>
      </c>
      <c r="V6" s="10">
        <v>37690</v>
      </c>
      <c r="W6" s="11">
        <f t="shared" si="9"/>
        <v>5.8681347837622715</v>
      </c>
      <c r="X6" s="442">
        <v>0</v>
      </c>
      <c r="Y6" s="21">
        <f>15+13/16</f>
        <v>15.8125</v>
      </c>
      <c r="Z6" s="442">
        <v>5</v>
      </c>
      <c r="AA6" s="21">
        <f>8+3/4</f>
        <v>8.75</v>
      </c>
      <c r="AB6" s="442">
        <f>9+0/7</f>
        <v>9</v>
      </c>
      <c r="AC6" s="21">
        <v>1</v>
      </c>
      <c r="AD6" s="442">
        <f>14+2/3</f>
        <v>14.666666666666666</v>
      </c>
      <c r="AE6" s="12">
        <f>Planning!V6</f>
        <v>164.5</v>
      </c>
      <c r="AF6" s="12">
        <v>1626</v>
      </c>
      <c r="AG6" s="11">
        <f t="shared" ca="1" si="10"/>
        <v>4.6652937059498303</v>
      </c>
      <c r="AH6" s="22">
        <f t="shared" ca="1" si="11"/>
        <v>16.645549502333218</v>
      </c>
      <c r="AI6" s="22">
        <f t="shared" ca="1" si="12"/>
        <v>17.979248351188932</v>
      </c>
      <c r="AJ6" s="22">
        <f t="shared" ca="1" si="13"/>
        <v>6.6351196735425066</v>
      </c>
      <c r="AK6" s="22">
        <f t="shared" ca="1" si="14"/>
        <v>7.1667483511889332</v>
      </c>
      <c r="AL6" s="22">
        <f t="shared" ca="1" si="15"/>
        <v>16.510534071116389</v>
      </c>
      <c r="AM6" s="22">
        <f t="shared" ca="1" si="16"/>
        <v>17.833415017855597</v>
      </c>
      <c r="AN6" s="11">
        <f t="shared" ca="1" si="17"/>
        <v>12.733415017855599</v>
      </c>
      <c r="AO6" s="20">
        <v>3</v>
      </c>
      <c r="AP6" s="20">
        <v>2</v>
      </c>
      <c r="AQ6" s="20">
        <v>2</v>
      </c>
      <c r="AR6" s="57">
        <f t="shared" si="18"/>
        <v>6.1499999999999999E-2</v>
      </c>
      <c r="AS6" s="10">
        <v>179650</v>
      </c>
      <c r="AT6" s="504">
        <v>3600000</v>
      </c>
      <c r="AU6" s="503" t="s">
        <v>985</v>
      </c>
    </row>
    <row r="7" spans="1:47" x14ac:dyDescent="0.25">
      <c r="A7" s="407" t="s">
        <v>158</v>
      </c>
      <c r="B7" s="49" t="s">
        <v>156</v>
      </c>
      <c r="C7" s="359">
        <f t="shared" ca="1" si="0"/>
        <v>7.7321428571428568</v>
      </c>
      <c r="D7" s="95" t="s">
        <v>68</v>
      </c>
      <c r="E7" s="4">
        <v>28</v>
      </c>
      <c r="F7" s="5">
        <f ca="1">$D$2-$D$1-1069-112-112-112-112-112-112-112-112</f>
        <v>30</v>
      </c>
      <c r="G7" s="6"/>
      <c r="H7" s="7">
        <v>1</v>
      </c>
      <c r="I7" s="8">
        <v>7.6</v>
      </c>
      <c r="J7" s="21">
        <f t="shared" si="1"/>
        <v>1.1744181230410551</v>
      </c>
      <c r="K7" s="9">
        <f t="shared" si="2"/>
        <v>7.6</v>
      </c>
      <c r="L7" s="9">
        <f t="shared" si="3"/>
        <v>30.4</v>
      </c>
      <c r="M7" s="62">
        <v>43383</v>
      </c>
      <c r="N7" s="63">
        <f t="shared" ca="1" si="4"/>
        <v>1</v>
      </c>
      <c r="O7" s="19">
        <v>6.9</v>
      </c>
      <c r="P7" s="20">
        <f t="shared" si="5"/>
        <v>88</v>
      </c>
      <c r="Q7" s="20">
        <v>6</v>
      </c>
      <c r="R7" s="57">
        <f t="shared" si="6"/>
        <v>0.92582009977255142</v>
      </c>
      <c r="S7" s="57">
        <f t="shared" si="7"/>
        <v>0.99928545900129484</v>
      </c>
      <c r="T7" s="10">
        <v>202700</v>
      </c>
      <c r="U7" s="10">
        <f t="shared" si="8"/>
        <v>33730</v>
      </c>
      <c r="V7" s="10">
        <v>27600</v>
      </c>
      <c r="W7" s="11">
        <f t="shared" si="9"/>
        <v>7.3442028985507246</v>
      </c>
      <c r="X7" s="442">
        <v>0</v>
      </c>
      <c r="Y7" s="21">
        <f>14+11/16</f>
        <v>14.6875</v>
      </c>
      <c r="Z7" s="442">
        <f>3+1/4</f>
        <v>3.25</v>
      </c>
      <c r="AA7" s="21">
        <f>9+0/5</f>
        <v>9</v>
      </c>
      <c r="AB7" s="442">
        <f>12+0/9</f>
        <v>12</v>
      </c>
      <c r="AC7" s="21">
        <v>4</v>
      </c>
      <c r="AD7" s="442">
        <f>15+1/3</f>
        <v>15.333333333333334</v>
      </c>
      <c r="AE7" s="12">
        <f>Planning!V5</f>
        <v>165.5</v>
      </c>
      <c r="AF7" s="12">
        <v>1761</v>
      </c>
      <c r="AG7" s="11">
        <f t="shared" ca="1" si="10"/>
        <v>5.2321281401017403</v>
      </c>
      <c r="AH7" s="22">
        <f t="shared" ca="1" si="11"/>
        <v>15.611102719030464</v>
      </c>
      <c r="AI7" s="22">
        <f t="shared" ca="1" si="12"/>
        <v>16.861918123041058</v>
      </c>
      <c r="AJ7" s="22">
        <f t="shared" ca="1" si="13"/>
        <v>5.0220353278819054</v>
      </c>
      <c r="AK7" s="22">
        <f t="shared" ca="1" si="14"/>
        <v>5.4244181230410549</v>
      </c>
      <c r="AL7" s="22">
        <f t="shared" ca="1" si="15"/>
        <v>17.134848299906121</v>
      </c>
      <c r="AM7" s="22">
        <f t="shared" ca="1" si="16"/>
        <v>18.50775145637439</v>
      </c>
      <c r="AN7" s="11">
        <f t="shared" ca="1" si="17"/>
        <v>14.107751456374389</v>
      </c>
      <c r="AO7" s="20">
        <v>0</v>
      </c>
      <c r="AP7" s="20">
        <v>3</v>
      </c>
      <c r="AQ7" s="20">
        <v>2</v>
      </c>
      <c r="AR7" s="57">
        <f t="shared" si="18"/>
        <v>0.1158</v>
      </c>
      <c r="AS7" s="10">
        <v>168970</v>
      </c>
      <c r="AT7" s="504">
        <v>2500000</v>
      </c>
      <c r="AU7" s="503" t="s">
        <v>985</v>
      </c>
    </row>
    <row r="8" spans="1:47" x14ac:dyDescent="0.25">
      <c r="A8" s="407" t="s">
        <v>159</v>
      </c>
      <c r="B8" s="49" t="s">
        <v>156</v>
      </c>
      <c r="C8" s="359">
        <f t="shared" ca="1" si="0"/>
        <v>7.8660714285714288</v>
      </c>
      <c r="D8" s="95" t="s">
        <v>49</v>
      </c>
      <c r="E8" s="4">
        <v>28</v>
      </c>
      <c r="F8" s="5">
        <f ca="1">$D$2-$D$1-880+55-112-112-14-21-112-112-112-112-112-112-112-112</f>
        <v>15</v>
      </c>
      <c r="G8" s="6"/>
      <c r="H8" s="7">
        <v>4</v>
      </c>
      <c r="I8" s="8">
        <v>8.3000000000000007</v>
      </c>
      <c r="J8" s="21">
        <f t="shared" si="1"/>
        <v>1.2254374565014319</v>
      </c>
      <c r="K8" s="9">
        <f t="shared" si="2"/>
        <v>132.80000000000001</v>
      </c>
      <c r="L8" s="9">
        <f t="shared" si="3"/>
        <v>207.50000000000003</v>
      </c>
      <c r="M8" s="62">
        <v>43419</v>
      </c>
      <c r="N8" s="63">
        <f t="shared" ca="1" si="4"/>
        <v>1</v>
      </c>
      <c r="O8" s="19">
        <v>6.9</v>
      </c>
      <c r="P8" s="20">
        <f t="shared" si="5"/>
        <v>88</v>
      </c>
      <c r="Q8" s="20">
        <v>6</v>
      </c>
      <c r="R8" s="57">
        <f t="shared" si="6"/>
        <v>0.92582009977255142</v>
      </c>
      <c r="S8" s="57">
        <f t="shared" si="7"/>
        <v>0.99928545900129484</v>
      </c>
      <c r="T8" s="10">
        <v>181510</v>
      </c>
      <c r="U8" s="10">
        <f t="shared" si="8"/>
        <v>8980</v>
      </c>
      <c r="V8" s="10">
        <v>16890</v>
      </c>
      <c r="W8" s="11">
        <f t="shared" si="9"/>
        <v>10.746595618709295</v>
      </c>
      <c r="X8" s="442">
        <v>0</v>
      </c>
      <c r="Y8" s="21">
        <f>13+0/15</f>
        <v>13</v>
      </c>
      <c r="Z8" s="442">
        <f>11+4/9</f>
        <v>11.444444444444445</v>
      </c>
      <c r="AA8" s="21">
        <f>4+1.5/2.5</f>
        <v>4.5999999999999996</v>
      </c>
      <c r="AB8" s="442">
        <f>11+1/7</f>
        <v>11.142857142857142</v>
      </c>
      <c r="AC8" s="21">
        <v>4</v>
      </c>
      <c r="AD8" s="442">
        <f>15+0/3</f>
        <v>15</v>
      </c>
      <c r="AE8" s="12">
        <f>Planning!V7</f>
        <v>161.5</v>
      </c>
      <c r="AF8" s="12">
        <v>1785</v>
      </c>
      <c r="AG8" s="11">
        <f t="shared" ca="1" si="10"/>
        <v>4.8561609630741156</v>
      </c>
      <c r="AH8" s="22">
        <f t="shared" ca="1" si="11"/>
        <v>14.096016025058898</v>
      </c>
      <c r="AI8" s="22">
        <f t="shared" ca="1" si="12"/>
        <v>15.225437456501432</v>
      </c>
      <c r="AJ8" s="22">
        <f t="shared" ca="1" si="13"/>
        <v>12.655851425412706</v>
      </c>
      <c r="AK8" s="22">
        <f t="shared" ca="1" si="14"/>
        <v>13.669881900945876</v>
      </c>
      <c r="AL8" s="22">
        <f t="shared" ca="1" si="15"/>
        <v>16.873476324376551</v>
      </c>
      <c r="AM8" s="22">
        <f t="shared" ca="1" si="16"/>
        <v>18.225437456501432</v>
      </c>
      <c r="AN8" s="11">
        <f t="shared" ca="1" si="17"/>
        <v>13.925437456501431</v>
      </c>
      <c r="AO8" s="20">
        <v>0</v>
      </c>
      <c r="AP8" s="20">
        <v>2</v>
      </c>
      <c r="AQ8" s="20">
        <v>2</v>
      </c>
      <c r="AR8" s="57">
        <f t="shared" si="18"/>
        <v>6.1499999999999999E-2</v>
      </c>
      <c r="AS8" s="10">
        <v>172530</v>
      </c>
      <c r="AT8" s="504">
        <v>3869000</v>
      </c>
      <c r="AU8" s="503" t="s">
        <v>985</v>
      </c>
    </row>
    <row r="9" spans="1:47" x14ac:dyDescent="0.25">
      <c r="A9" s="407" t="s">
        <v>160</v>
      </c>
      <c r="B9" s="49" t="s">
        <v>156</v>
      </c>
      <c r="C9" s="359">
        <f t="shared" ca="1" si="0"/>
        <v>7.4821428571428568</v>
      </c>
      <c r="D9" s="95" t="s">
        <v>64</v>
      </c>
      <c r="E9" s="4">
        <v>28</v>
      </c>
      <c r="F9" s="5">
        <f ca="1">$D$2-$D$1-1377-112-112-112-112-112</f>
        <v>58</v>
      </c>
      <c r="G9" s="6"/>
      <c r="H9" s="7">
        <v>2</v>
      </c>
      <c r="I9" s="8">
        <v>7.6</v>
      </c>
      <c r="J9" s="21">
        <f t="shared" si="1"/>
        <v>1.1744181230410551</v>
      </c>
      <c r="K9" s="9">
        <f t="shared" si="2"/>
        <v>30.4</v>
      </c>
      <c r="L9" s="9">
        <f t="shared" si="3"/>
        <v>68.399999999999991</v>
      </c>
      <c r="M9" s="62">
        <v>43706</v>
      </c>
      <c r="N9" s="63">
        <f t="shared" ca="1" si="4"/>
        <v>1</v>
      </c>
      <c r="O9" s="19">
        <v>6.9</v>
      </c>
      <c r="P9" s="20">
        <f t="shared" si="5"/>
        <v>88</v>
      </c>
      <c r="Q9" s="20">
        <v>5</v>
      </c>
      <c r="R9" s="57">
        <f t="shared" si="6"/>
        <v>0.84515425472851657</v>
      </c>
      <c r="S9" s="57">
        <f t="shared" si="7"/>
        <v>0.92504826128926143</v>
      </c>
      <c r="T9" s="10">
        <v>181040</v>
      </c>
      <c r="U9" s="10">
        <f t="shared" si="8"/>
        <v>10100</v>
      </c>
      <c r="V9" s="10">
        <v>27050</v>
      </c>
      <c r="W9" s="11">
        <f t="shared" si="9"/>
        <v>6.6927911275415894</v>
      </c>
      <c r="X9" s="442">
        <v>0</v>
      </c>
      <c r="Y9" s="21">
        <f>14+11/16</f>
        <v>14.6875</v>
      </c>
      <c r="Z9" s="442">
        <f>5+0.5/4</f>
        <v>5.125</v>
      </c>
      <c r="AA9" s="21">
        <v>3</v>
      </c>
      <c r="AB9" s="442">
        <f>12+2/9</f>
        <v>12.222222222222221</v>
      </c>
      <c r="AC9" s="21">
        <v>6</v>
      </c>
      <c r="AD9" s="442">
        <f>14+0/3</f>
        <v>14</v>
      </c>
      <c r="AE9" s="12">
        <f>Planning!V8</f>
        <v>161.5</v>
      </c>
      <c r="AF9" s="12">
        <v>1710</v>
      </c>
      <c r="AG9" s="11">
        <f t="shared" ca="1" si="10"/>
        <v>4.8232106909703729</v>
      </c>
      <c r="AH9" s="22">
        <f t="shared" ca="1" si="11"/>
        <v>14.250921844572032</v>
      </c>
      <c r="AI9" s="22">
        <f t="shared" ca="1" si="12"/>
        <v>15.611102719030464</v>
      </c>
      <c r="AJ9" s="22">
        <f t="shared" ca="1" si="13"/>
        <v>6.1691342837305898</v>
      </c>
      <c r="AK9" s="22">
        <f t="shared" ca="1" si="14"/>
        <v>6.7579480149554394</v>
      </c>
      <c r="AL9" s="22">
        <f t="shared" ca="1" si="15"/>
        <v>14.515032549174691</v>
      </c>
      <c r="AM9" s="22">
        <f t="shared" ca="1" si="16"/>
        <v>15.900421500209385</v>
      </c>
      <c r="AN9" s="11">
        <f t="shared" ca="1" si="17"/>
        <v>13.774418123041055</v>
      </c>
      <c r="AO9" s="20">
        <v>2</v>
      </c>
      <c r="AP9" s="20">
        <v>2</v>
      </c>
      <c r="AQ9" s="20">
        <v>1</v>
      </c>
      <c r="AR9" s="57">
        <f t="shared" si="18"/>
        <v>6.1499999999999999E-2</v>
      </c>
      <c r="AS9" s="10">
        <v>170940</v>
      </c>
      <c r="AT9" s="504">
        <v>4162000</v>
      </c>
      <c r="AU9" s="503" t="s">
        <v>985</v>
      </c>
    </row>
    <row r="10" spans="1:47" x14ac:dyDescent="0.25">
      <c r="A10" s="407" t="s">
        <v>161</v>
      </c>
      <c r="B10" s="49" t="s">
        <v>162</v>
      </c>
      <c r="C10" s="359">
        <f t="shared" ca="1" si="0"/>
        <v>8.0446428571428577</v>
      </c>
      <c r="D10" s="95" t="s">
        <v>20</v>
      </c>
      <c r="E10" s="4">
        <v>27</v>
      </c>
      <c r="F10" s="5">
        <f ca="1">$D$2-$D$1-885-112-112-112-112-112-112-112-112-107</f>
        <v>107</v>
      </c>
      <c r="G10" s="6" t="s">
        <v>163</v>
      </c>
      <c r="H10" s="91">
        <v>5</v>
      </c>
      <c r="I10" s="8">
        <v>9.3000000000000007</v>
      </c>
      <c r="J10" s="21">
        <f t="shared" si="1"/>
        <v>1.2913105980719135</v>
      </c>
      <c r="K10" s="9">
        <f t="shared" si="2"/>
        <v>232.50000000000003</v>
      </c>
      <c r="L10" s="9">
        <f t="shared" si="3"/>
        <v>334.8</v>
      </c>
      <c r="M10" s="62">
        <v>43137</v>
      </c>
      <c r="N10" s="63">
        <f t="shared" ca="1" si="4"/>
        <v>1</v>
      </c>
      <c r="O10" s="19">
        <v>7</v>
      </c>
      <c r="P10" s="20">
        <f t="shared" si="5"/>
        <v>89</v>
      </c>
      <c r="Q10" s="20">
        <v>5</v>
      </c>
      <c r="R10" s="57">
        <f t="shared" si="6"/>
        <v>0.84515425472851657</v>
      </c>
      <c r="S10" s="57">
        <f t="shared" si="7"/>
        <v>0.92504826128926143</v>
      </c>
      <c r="T10" s="10">
        <v>260120</v>
      </c>
      <c r="U10" s="10">
        <f t="shared" si="8"/>
        <v>63910</v>
      </c>
      <c r="V10" s="10">
        <v>22680</v>
      </c>
      <c r="W10" s="11">
        <f t="shared" si="9"/>
        <v>11.469135802469136</v>
      </c>
      <c r="X10" s="442">
        <v>0</v>
      </c>
      <c r="Y10" s="21">
        <f>14+3/16</f>
        <v>14.1875</v>
      </c>
      <c r="Z10" s="442">
        <f>4+1/4</f>
        <v>4.25</v>
      </c>
      <c r="AA10" s="21">
        <f>13+5.5/7.5</f>
        <v>13.733333333333333</v>
      </c>
      <c r="AB10" s="442">
        <f>8+1/5</f>
        <v>8.1999999999999993</v>
      </c>
      <c r="AC10" s="21">
        <f>5.25+0.25+0.25+0.25+0.25+0.25+0.25+0.25</f>
        <v>7</v>
      </c>
      <c r="AD10" s="442">
        <f>15+1/3</f>
        <v>15.333333333333334</v>
      </c>
      <c r="AE10" s="12">
        <f>Planning!V9</f>
        <v>172.5</v>
      </c>
      <c r="AF10" s="12">
        <v>1865</v>
      </c>
      <c r="AG10" s="11">
        <f t="shared" ca="1" si="10"/>
        <v>3.9575860586379452</v>
      </c>
      <c r="AH10" s="22">
        <f t="shared" ca="1" si="11"/>
        <v>13.927136889825848</v>
      </c>
      <c r="AI10" s="22">
        <f t="shared" ca="1" si="12"/>
        <v>15.256414072039917</v>
      </c>
      <c r="AJ10" s="22">
        <f t="shared" ca="1" si="13"/>
        <v>5.5284164834612151</v>
      </c>
      <c r="AK10" s="22">
        <f t="shared" ca="1" si="14"/>
        <v>6.0560768305501869</v>
      </c>
      <c r="AL10" s="22">
        <f t="shared" ca="1" si="15"/>
        <v>15.740697061430792</v>
      </c>
      <c r="AM10" s="22">
        <f t="shared" ca="1" si="16"/>
        <v>17.243069702801851</v>
      </c>
      <c r="AN10" s="11">
        <f t="shared" ca="1" si="17"/>
        <v>15.124643931405247</v>
      </c>
      <c r="AO10" s="20">
        <v>1</v>
      </c>
      <c r="AP10" s="20">
        <v>2</v>
      </c>
      <c r="AQ10" s="20">
        <v>3</v>
      </c>
      <c r="AR10" s="57">
        <f t="shared" si="18"/>
        <v>6.1499999999999999E-2</v>
      </c>
      <c r="AS10" s="10">
        <v>196210</v>
      </c>
      <c r="AT10" s="504">
        <v>1530000</v>
      </c>
      <c r="AU10" s="503" t="s">
        <v>985</v>
      </c>
    </row>
    <row r="11" spans="1:47" x14ac:dyDescent="0.25">
      <c r="A11" s="407" t="s">
        <v>164</v>
      </c>
      <c r="B11" s="49" t="s">
        <v>162</v>
      </c>
      <c r="C11" s="359">
        <f t="shared" ca="1" si="0"/>
        <v>8.3928571428571423</v>
      </c>
      <c r="D11" s="95" t="s">
        <v>165</v>
      </c>
      <c r="E11" s="4">
        <v>27</v>
      </c>
      <c r="F11" s="5">
        <f ca="1">$D$2-$D$1-1479-112-112-112-112</f>
        <v>68</v>
      </c>
      <c r="G11" s="6" t="s">
        <v>166</v>
      </c>
      <c r="H11" s="7">
        <v>3</v>
      </c>
      <c r="I11" s="8">
        <v>9.3000000000000007</v>
      </c>
      <c r="J11" s="21">
        <f t="shared" si="1"/>
        <v>1.2913105980719135</v>
      </c>
      <c r="K11" s="9">
        <f t="shared" si="2"/>
        <v>83.7</v>
      </c>
      <c r="L11" s="9">
        <f t="shared" si="3"/>
        <v>148.80000000000001</v>
      </c>
      <c r="M11" s="62">
        <v>43122</v>
      </c>
      <c r="N11" s="63">
        <f t="shared" ca="1" si="4"/>
        <v>1</v>
      </c>
      <c r="O11" s="19">
        <v>7</v>
      </c>
      <c r="P11" s="20">
        <f t="shared" si="5"/>
        <v>89</v>
      </c>
      <c r="Q11" s="20">
        <v>6</v>
      </c>
      <c r="R11" s="57">
        <f t="shared" si="6"/>
        <v>0.92582009977255142</v>
      </c>
      <c r="S11" s="57">
        <f t="shared" si="7"/>
        <v>0.99928545900129484</v>
      </c>
      <c r="T11" s="10">
        <v>330650</v>
      </c>
      <c r="U11" s="10">
        <f t="shared" si="8"/>
        <v>81890</v>
      </c>
      <c r="V11" s="10">
        <v>22610</v>
      </c>
      <c r="W11" s="11">
        <f t="shared" si="9"/>
        <v>14.624060150375939</v>
      </c>
      <c r="X11" s="442">
        <v>0</v>
      </c>
      <c r="Y11" s="21">
        <f>13+9/13</f>
        <v>13.692307692307692</v>
      </c>
      <c r="Z11" s="442">
        <f>4+1/4</f>
        <v>4.25</v>
      </c>
      <c r="AA11" s="21">
        <f>14+5/8</f>
        <v>14.625</v>
      </c>
      <c r="AB11" s="442">
        <f>10+0/7</f>
        <v>10</v>
      </c>
      <c r="AC11" s="21">
        <f>4.25+0.25+0.25+0.25+0.25+0.25+0.25+0.25+0.25+0.25+0.25+0.25</f>
        <v>7</v>
      </c>
      <c r="AD11" s="442">
        <f>16+0/3</f>
        <v>16</v>
      </c>
      <c r="AE11" s="12">
        <f>Planning!V14</f>
        <v>177</v>
      </c>
      <c r="AF11" s="12">
        <v>1944</v>
      </c>
      <c r="AG11" s="11">
        <f t="shared" ca="1" si="10"/>
        <v>4.6946299861012921</v>
      </c>
      <c r="AH11" s="22">
        <f t="shared" ca="1" si="11"/>
        <v>14.797955080325623</v>
      </c>
      <c r="AI11" s="22">
        <f t="shared" ca="1" si="12"/>
        <v>15.983618290379605</v>
      </c>
      <c r="AJ11" s="22">
        <f t="shared" ca="1" si="13"/>
        <v>6.0560768305501869</v>
      </c>
      <c r="AK11" s="22">
        <f t="shared" ca="1" si="14"/>
        <v>6.5413105980719131</v>
      </c>
      <c r="AL11" s="22">
        <f t="shared" ca="1" si="15"/>
        <v>17.860283102650218</v>
      </c>
      <c r="AM11" s="22">
        <f t="shared" ca="1" si="16"/>
        <v>19.291310598071913</v>
      </c>
      <c r="AN11" s="11">
        <f t="shared" ca="1" si="17"/>
        <v>15.591310598071912</v>
      </c>
      <c r="AO11" s="20">
        <v>2</v>
      </c>
      <c r="AP11" s="20">
        <v>0</v>
      </c>
      <c r="AQ11" s="20">
        <v>2</v>
      </c>
      <c r="AR11" s="57">
        <f t="shared" si="18"/>
        <v>2.63E-2</v>
      </c>
      <c r="AS11" s="10">
        <v>248760</v>
      </c>
      <c r="AT11" s="504">
        <v>600000</v>
      </c>
      <c r="AU11" s="503" t="s">
        <v>985</v>
      </c>
    </row>
    <row r="12" spans="1:47" x14ac:dyDescent="0.25">
      <c r="A12" s="407" t="s">
        <v>167</v>
      </c>
      <c r="B12" s="49" t="s">
        <v>162</v>
      </c>
      <c r="C12" s="359">
        <f t="shared" ca="1" si="0"/>
        <v>8.0446428571428577</v>
      </c>
      <c r="D12" s="95" t="s">
        <v>31</v>
      </c>
      <c r="E12" s="4">
        <v>27</v>
      </c>
      <c r="F12" s="5">
        <f ca="1">$D$2-$D$1-880-112-112-112-112-112-112-112-112-112</f>
        <v>107</v>
      </c>
      <c r="G12" s="6" t="s">
        <v>163</v>
      </c>
      <c r="H12" s="30">
        <v>6</v>
      </c>
      <c r="I12" s="8">
        <v>8.6</v>
      </c>
      <c r="J12" s="21">
        <f t="shared" si="1"/>
        <v>1.2459979349914236</v>
      </c>
      <c r="K12" s="9">
        <f t="shared" si="2"/>
        <v>309.59999999999997</v>
      </c>
      <c r="L12" s="9">
        <f t="shared" si="3"/>
        <v>421.4</v>
      </c>
      <c r="M12" s="62">
        <v>43051</v>
      </c>
      <c r="N12" s="63">
        <f t="shared" ca="1" si="4"/>
        <v>1</v>
      </c>
      <c r="O12" s="19">
        <v>7</v>
      </c>
      <c r="P12" s="20">
        <f t="shared" si="5"/>
        <v>89</v>
      </c>
      <c r="Q12" s="20">
        <v>6</v>
      </c>
      <c r="R12" s="57">
        <f t="shared" si="6"/>
        <v>0.92582009977255142</v>
      </c>
      <c r="S12" s="57">
        <f t="shared" si="7"/>
        <v>0.99928545900129484</v>
      </c>
      <c r="T12" s="10">
        <v>223940</v>
      </c>
      <c r="U12" s="10">
        <f t="shared" si="8"/>
        <v>39920</v>
      </c>
      <c r="V12" s="10">
        <v>14770</v>
      </c>
      <c r="W12" s="11">
        <f t="shared" si="9"/>
        <v>15.161814488828707</v>
      </c>
      <c r="X12" s="442">
        <v>0</v>
      </c>
      <c r="Y12" s="21">
        <f>13+2/15</f>
        <v>13.133333333333333</v>
      </c>
      <c r="Z12" s="442">
        <f>4+1/4</f>
        <v>4.25</v>
      </c>
      <c r="AA12" s="21">
        <f>13+0/5</f>
        <v>13</v>
      </c>
      <c r="AB12" s="442">
        <f>9+1/6</f>
        <v>9.1666666666666661</v>
      </c>
      <c r="AC12" s="21">
        <f>3.34+0.34+0.33+0.33+0.33+0.33+0.33+0.33+0.33+0.26+0.25+0.25+0.25+0.25</f>
        <v>7.25</v>
      </c>
      <c r="AD12" s="442">
        <f>16+0/3</f>
        <v>16</v>
      </c>
      <c r="AE12" s="12">
        <f>Planning!V10</f>
        <v>165.5</v>
      </c>
      <c r="AF12" s="12">
        <v>1817</v>
      </c>
      <c r="AG12" s="11">
        <f t="shared" ca="1" si="10"/>
        <v>4.4213303212038824</v>
      </c>
      <c r="AH12" s="22">
        <f t="shared" ca="1" si="11"/>
        <v>14.238494009275547</v>
      </c>
      <c r="AI12" s="22">
        <f t="shared" ca="1" si="12"/>
        <v>15.379331268324757</v>
      </c>
      <c r="AJ12" s="22">
        <f t="shared" ca="1" si="13"/>
        <v>6.014125456296048</v>
      </c>
      <c r="AK12" s="22">
        <f t="shared" ca="1" si="14"/>
        <v>6.4959979349914239</v>
      </c>
      <c r="AL12" s="22">
        <f t="shared" ca="1" si="15"/>
        <v>17.818331728396078</v>
      </c>
      <c r="AM12" s="22">
        <f t="shared" ca="1" si="16"/>
        <v>19.245997934991422</v>
      </c>
      <c r="AN12" s="11">
        <f t="shared" ca="1" si="17"/>
        <v>15.620997934991422</v>
      </c>
      <c r="AO12" s="20">
        <v>2</v>
      </c>
      <c r="AP12" s="20">
        <v>2</v>
      </c>
      <c r="AQ12" s="20">
        <v>1</v>
      </c>
      <c r="AR12" s="57">
        <f t="shared" si="18"/>
        <v>6.1499999999999999E-2</v>
      </c>
      <c r="AS12" s="10">
        <v>184020</v>
      </c>
      <c r="AT12" s="504">
        <v>496109</v>
      </c>
      <c r="AU12" s="503" t="s">
        <v>985</v>
      </c>
    </row>
    <row r="13" spans="1:47" x14ac:dyDescent="0.25">
      <c r="A13" s="407" t="s">
        <v>168</v>
      </c>
      <c r="B13" s="49" t="s">
        <v>162</v>
      </c>
      <c r="C13" s="359">
        <f t="shared" ca="1" si="0"/>
        <v>8.0803571428571423</v>
      </c>
      <c r="D13" s="95" t="s">
        <v>14</v>
      </c>
      <c r="E13" s="4">
        <v>27</v>
      </c>
      <c r="F13" s="5">
        <f ca="1">$D$2-$D$1-880-4-112-112-112-112-112-112-112-112-112</f>
        <v>103</v>
      </c>
      <c r="G13" s="6" t="s">
        <v>166</v>
      </c>
      <c r="H13" s="7">
        <v>1</v>
      </c>
      <c r="I13" s="8">
        <v>9.6</v>
      </c>
      <c r="J13" s="21">
        <f t="shared" si="1"/>
        <v>1.3096949773860913</v>
      </c>
      <c r="K13" s="9">
        <f t="shared" si="2"/>
        <v>9.6</v>
      </c>
      <c r="L13" s="9">
        <f t="shared" si="3"/>
        <v>38.4</v>
      </c>
      <c r="M13" s="62">
        <v>43046</v>
      </c>
      <c r="N13" s="63">
        <v>1.5</v>
      </c>
      <c r="O13" s="19">
        <v>7</v>
      </c>
      <c r="P13" s="20">
        <f t="shared" si="5"/>
        <v>89</v>
      </c>
      <c r="Q13" s="20">
        <v>5</v>
      </c>
      <c r="R13" s="57">
        <f t="shared" si="6"/>
        <v>0.84515425472851657</v>
      </c>
      <c r="S13" s="57">
        <f t="shared" si="7"/>
        <v>0.92504826128926143</v>
      </c>
      <c r="T13" s="10">
        <v>283030</v>
      </c>
      <c r="U13" s="10">
        <f t="shared" si="8"/>
        <v>70070</v>
      </c>
      <c r="V13" s="10">
        <v>24010</v>
      </c>
      <c r="W13" s="11">
        <f t="shared" si="9"/>
        <v>11.788004997917534</v>
      </c>
      <c r="X13" s="442">
        <v>0</v>
      </c>
      <c r="Y13" s="21">
        <f>12+4/12</f>
        <v>12.333333333333334</v>
      </c>
      <c r="Z13" s="442">
        <f>6+1/5</f>
        <v>6.2</v>
      </c>
      <c r="AA13" s="21">
        <f>15+5/9</f>
        <v>15.555555555555555</v>
      </c>
      <c r="AB13" s="442">
        <f>9+3/6</f>
        <v>9.5</v>
      </c>
      <c r="AC13" s="21">
        <f>7+4/5</f>
        <v>7.8</v>
      </c>
      <c r="AD13" s="442">
        <f>16+2/3</f>
        <v>16.666666666666668</v>
      </c>
      <c r="AE13" s="12">
        <f>Planning!V13</f>
        <v>179</v>
      </c>
      <c r="AF13" s="12">
        <v>1922</v>
      </c>
      <c r="AG13" s="11">
        <f t="shared" si="10"/>
        <v>4.2006721219218885</v>
      </c>
      <c r="AH13" s="22">
        <f t="shared" si="11"/>
        <v>12.798194806278902</v>
      </c>
      <c r="AI13" s="22">
        <f t="shared" si="12"/>
        <v>14.019719981488828</v>
      </c>
      <c r="AJ13" s="22">
        <f t="shared" si="13"/>
        <v>7.6145820439440017</v>
      </c>
      <c r="AK13" s="22">
        <f t="shared" si="14"/>
        <v>8.3413567028838465</v>
      </c>
      <c r="AL13" s="22">
        <f t="shared" si="15"/>
        <v>17.305684164830993</v>
      </c>
      <c r="AM13" s="22">
        <f t="shared" si="16"/>
        <v>18.957427180275769</v>
      </c>
      <c r="AN13" s="11">
        <f t="shared" si="17"/>
        <v>16.816361644052758</v>
      </c>
      <c r="AO13" s="20">
        <v>4</v>
      </c>
      <c r="AP13" s="20">
        <v>3</v>
      </c>
      <c r="AQ13" s="20">
        <v>2</v>
      </c>
      <c r="AR13" s="57">
        <f t="shared" si="18"/>
        <v>0.1158</v>
      </c>
      <c r="AS13" s="10">
        <v>212960</v>
      </c>
      <c r="AT13" s="504">
        <v>0</v>
      </c>
      <c r="AU13" s="503" t="s">
        <v>985</v>
      </c>
    </row>
    <row r="14" spans="1:47" x14ac:dyDescent="0.25">
      <c r="A14" s="407" t="s">
        <v>169</v>
      </c>
      <c r="B14" s="49" t="s">
        <v>162</v>
      </c>
      <c r="C14" s="359">
        <f t="shared" ca="1" si="0"/>
        <v>8.0803571428571423</v>
      </c>
      <c r="D14" s="95" t="s">
        <v>170</v>
      </c>
      <c r="E14" s="4">
        <v>27</v>
      </c>
      <c r="F14" s="5">
        <f ca="1">$D$2-$D$1-880-4-112-112-112-112-112-112-112-112-112</f>
        <v>103</v>
      </c>
      <c r="G14" s="6" t="s">
        <v>163</v>
      </c>
      <c r="H14" s="30">
        <v>6</v>
      </c>
      <c r="I14" s="8">
        <v>8.3000000000000007</v>
      </c>
      <c r="J14" s="21">
        <f t="shared" si="1"/>
        <v>1.2254374565014319</v>
      </c>
      <c r="K14" s="9">
        <f t="shared" si="2"/>
        <v>298.8</v>
      </c>
      <c r="L14" s="9">
        <f t="shared" si="3"/>
        <v>406.70000000000005</v>
      </c>
      <c r="M14" s="62">
        <v>43054</v>
      </c>
      <c r="N14" s="63">
        <f t="shared" ref="N14:N20" ca="1" si="19">IF((TODAY()-M14)&gt;335,1,((TODAY()-M14)^0.64)/(336^0.64))</f>
        <v>1</v>
      </c>
      <c r="O14" s="19">
        <v>7</v>
      </c>
      <c r="P14" s="20">
        <f t="shared" si="5"/>
        <v>89</v>
      </c>
      <c r="Q14" s="20">
        <v>6</v>
      </c>
      <c r="R14" s="57">
        <f t="shared" si="6"/>
        <v>0.92582009977255142</v>
      </c>
      <c r="S14" s="57">
        <f t="shared" si="7"/>
        <v>0.99928545900129484</v>
      </c>
      <c r="T14" s="10">
        <v>276330</v>
      </c>
      <c r="U14" s="10">
        <f t="shared" si="8"/>
        <v>83930</v>
      </c>
      <c r="V14" s="10">
        <v>18810</v>
      </c>
      <c r="W14" s="11">
        <f t="shared" si="9"/>
        <v>14.690590111642743</v>
      </c>
      <c r="X14" s="442">
        <v>0</v>
      </c>
      <c r="Y14" s="21">
        <f>12+8/12</f>
        <v>12.666666666666666</v>
      </c>
      <c r="Z14" s="442">
        <f>5+3/4</f>
        <v>5.75</v>
      </c>
      <c r="AA14" s="21">
        <f>14+7/9</f>
        <v>14.777777777777779</v>
      </c>
      <c r="AB14" s="442">
        <f>8+6/7</f>
        <v>8.8571428571428577</v>
      </c>
      <c r="AC14" s="21">
        <v>8</v>
      </c>
      <c r="AD14" s="442">
        <f>15+2/3</f>
        <v>15.666666666666666</v>
      </c>
      <c r="AE14" s="12">
        <f>Planning!V15</f>
        <v>168.5</v>
      </c>
      <c r="AF14" s="12">
        <v>1780</v>
      </c>
      <c r="AG14" s="11">
        <f t="shared" ca="1" si="10"/>
        <v>4.2885450685707065</v>
      </c>
      <c r="AH14" s="22">
        <f t="shared" ca="1" si="11"/>
        <v>13.787409325134712</v>
      </c>
      <c r="AI14" s="22">
        <f t="shared" ca="1" si="12"/>
        <v>14.892104123168098</v>
      </c>
      <c r="AJ14" s="22">
        <f t="shared" ca="1" si="13"/>
        <v>7.3838203017078996</v>
      </c>
      <c r="AK14" s="22">
        <f t="shared" ca="1" si="14"/>
        <v>7.9754374565014317</v>
      </c>
      <c r="AL14" s="22">
        <f t="shared" ca="1" si="15"/>
        <v>17.490689724224918</v>
      </c>
      <c r="AM14" s="22">
        <f t="shared" ca="1" si="16"/>
        <v>18.892104123168096</v>
      </c>
      <c r="AN14" s="11">
        <f t="shared" ca="1" si="17"/>
        <v>15.592104123168099</v>
      </c>
      <c r="AO14" s="20">
        <v>2</v>
      </c>
      <c r="AP14" s="20">
        <v>2</v>
      </c>
      <c r="AQ14" s="20">
        <v>1</v>
      </c>
      <c r="AR14" s="57">
        <f t="shared" si="18"/>
        <v>6.1499999999999999E-2</v>
      </c>
      <c r="AS14" s="10">
        <v>192400</v>
      </c>
      <c r="AT14" s="504">
        <v>245000</v>
      </c>
      <c r="AU14" s="503" t="s">
        <v>985</v>
      </c>
    </row>
    <row r="15" spans="1:47" x14ac:dyDescent="0.25">
      <c r="A15" s="407" t="s">
        <v>171</v>
      </c>
      <c r="B15" s="49" t="s">
        <v>172</v>
      </c>
      <c r="C15" s="359">
        <f t="shared" ca="1" si="0"/>
        <v>8.3125</v>
      </c>
      <c r="D15" s="95" t="s">
        <v>173</v>
      </c>
      <c r="E15" s="4">
        <v>27</v>
      </c>
      <c r="F15" s="5">
        <f ca="1">$D$2-$D$1-1470-112-112-112-112</f>
        <v>77</v>
      </c>
      <c r="G15" s="6" t="s">
        <v>166</v>
      </c>
      <c r="H15" s="7">
        <v>2</v>
      </c>
      <c r="I15" s="8">
        <v>6.1</v>
      </c>
      <c r="J15" s="21">
        <f t="shared" si="1"/>
        <v>1.0471064466810227</v>
      </c>
      <c r="K15" s="9">
        <f t="shared" si="2"/>
        <v>24.4</v>
      </c>
      <c r="L15" s="9">
        <f t="shared" si="3"/>
        <v>54.9</v>
      </c>
      <c r="M15" s="62">
        <v>43744</v>
      </c>
      <c r="N15" s="63">
        <f t="shared" ca="1" si="19"/>
        <v>1</v>
      </c>
      <c r="O15" s="19">
        <v>7</v>
      </c>
      <c r="P15" s="20">
        <f t="shared" si="5"/>
        <v>89</v>
      </c>
      <c r="Q15" s="20">
        <v>7</v>
      </c>
      <c r="R15" s="57">
        <f t="shared" si="6"/>
        <v>1</v>
      </c>
      <c r="S15" s="57">
        <f t="shared" si="7"/>
        <v>1</v>
      </c>
      <c r="T15" s="10">
        <v>145580</v>
      </c>
      <c r="U15" s="10">
        <f t="shared" si="8"/>
        <v>46090</v>
      </c>
      <c r="V15" s="10">
        <v>18876</v>
      </c>
      <c r="W15" s="11">
        <f t="shared" si="9"/>
        <v>7.71243907607544</v>
      </c>
      <c r="X15" s="442">
        <v>0</v>
      </c>
      <c r="Y15" s="21">
        <f>13+7/14</f>
        <v>13.5</v>
      </c>
      <c r="Z15" s="442">
        <f>9+5/7</f>
        <v>9.7142857142857135</v>
      </c>
      <c r="AA15" s="21">
        <f>4+1/4</f>
        <v>4.25</v>
      </c>
      <c r="AB15" s="442">
        <f>9+0/7</f>
        <v>9</v>
      </c>
      <c r="AC15" s="21">
        <v>4</v>
      </c>
      <c r="AD15" s="442">
        <v>20.5</v>
      </c>
      <c r="AE15" s="12">
        <f>Planning!V11</f>
        <v>159</v>
      </c>
      <c r="AF15" s="12">
        <v>1734</v>
      </c>
      <c r="AG15" s="11">
        <f t="shared" ca="1" si="10"/>
        <v>4.7051649175053836</v>
      </c>
      <c r="AH15" s="22">
        <f t="shared" ca="1" si="11"/>
        <v>15.547106446681022</v>
      </c>
      <c r="AI15" s="22">
        <f t="shared" ca="1" si="12"/>
        <v>15.547106446681022</v>
      </c>
      <c r="AJ15" s="22">
        <f t="shared" ca="1" si="13"/>
        <v>11.761392160966736</v>
      </c>
      <c r="AK15" s="22">
        <f t="shared" ca="1" si="14"/>
        <v>11.761392160966736</v>
      </c>
      <c r="AL15" s="22">
        <f t="shared" ca="1" si="15"/>
        <v>23.547106446681024</v>
      </c>
      <c r="AM15" s="22">
        <f t="shared" ca="1" si="16"/>
        <v>23.547106446681024</v>
      </c>
      <c r="AN15" s="11">
        <f t="shared" ca="1" si="17"/>
        <v>17.597106446681025</v>
      </c>
      <c r="AO15" s="20">
        <v>0</v>
      </c>
      <c r="AP15" s="20">
        <v>3</v>
      </c>
      <c r="AQ15" s="20">
        <v>2</v>
      </c>
      <c r="AR15" s="57">
        <f t="shared" si="18"/>
        <v>0.1158</v>
      </c>
      <c r="AS15" s="10">
        <v>99490</v>
      </c>
      <c r="AT15" s="504">
        <v>4500000</v>
      </c>
      <c r="AU15" s="503" t="s">
        <v>985</v>
      </c>
    </row>
    <row r="16" spans="1:47" x14ac:dyDescent="0.25">
      <c r="A16" s="407" t="s">
        <v>174</v>
      </c>
      <c r="B16" s="49" t="s">
        <v>172</v>
      </c>
      <c r="C16" s="359">
        <f t="shared" ca="1" si="0"/>
        <v>5.0625</v>
      </c>
      <c r="D16" s="345" t="s">
        <v>991</v>
      </c>
      <c r="E16" s="4">
        <v>30</v>
      </c>
      <c r="F16" s="5">
        <f ca="1">$D$2-$D$1-1778-112</f>
        <v>105</v>
      </c>
      <c r="G16" s="6" t="s">
        <v>166</v>
      </c>
      <c r="H16" s="7">
        <v>1</v>
      </c>
      <c r="I16" s="8">
        <v>7</v>
      </c>
      <c r="J16" s="21">
        <f t="shared" si="1"/>
        <v>1.1267973866856758</v>
      </c>
      <c r="K16" s="9">
        <f t="shared" si="2"/>
        <v>7</v>
      </c>
      <c r="L16" s="9">
        <f t="shared" si="3"/>
        <v>28</v>
      </c>
      <c r="M16" s="62">
        <v>44094</v>
      </c>
      <c r="N16" s="63">
        <f t="shared" ca="1" si="19"/>
        <v>0.64415495734524775</v>
      </c>
      <c r="O16" s="19">
        <v>6.2</v>
      </c>
      <c r="P16" s="20">
        <f t="shared" si="5"/>
        <v>81</v>
      </c>
      <c r="Q16" s="20">
        <v>5</v>
      </c>
      <c r="R16" s="57">
        <f t="shared" si="6"/>
        <v>0.84515425472851657</v>
      </c>
      <c r="S16" s="57">
        <f t="shared" si="7"/>
        <v>0.92504826128926143</v>
      </c>
      <c r="T16" s="10">
        <v>125080</v>
      </c>
      <c r="U16" s="10">
        <f t="shared" si="8"/>
        <v>-36720</v>
      </c>
      <c r="V16" s="10">
        <v>26388</v>
      </c>
      <c r="W16" s="11">
        <f t="shared" si="9"/>
        <v>4.740033348491739</v>
      </c>
      <c r="X16" s="442">
        <v>0</v>
      </c>
      <c r="Y16" s="21">
        <v>10</v>
      </c>
      <c r="Z16" s="442">
        <v>14</v>
      </c>
      <c r="AA16" s="21">
        <v>2</v>
      </c>
      <c r="AB16" s="442">
        <v>10</v>
      </c>
      <c r="AC16" s="21">
        <v>8</v>
      </c>
      <c r="AD16" s="442">
        <f>15+1/3</f>
        <v>15.333333333333334</v>
      </c>
      <c r="AE16" s="12">
        <f>37+68+29+21+16</f>
        <v>171</v>
      </c>
      <c r="AF16" s="12">
        <v>1821</v>
      </c>
      <c r="AG16" s="11">
        <f t="shared" ca="1" si="10"/>
        <v>3.7306014209116269</v>
      </c>
      <c r="AH16" s="22">
        <f t="shared" ca="1" si="11"/>
        <v>9.9482704557643391</v>
      </c>
      <c r="AI16" s="22">
        <f t="shared" ca="1" si="12"/>
        <v>10.897784273568657</v>
      </c>
      <c r="AJ16" s="22">
        <f t="shared" ca="1" si="13"/>
        <v>13.328887474678405</v>
      </c>
      <c r="AK16" s="22">
        <f t="shared" ca="1" si="14"/>
        <v>14.601064672658863</v>
      </c>
      <c r="AL16" s="22">
        <f t="shared" ca="1" si="15"/>
        <v>15.300914069044948</v>
      </c>
      <c r="AM16" s="22">
        <f t="shared" ca="1" si="16"/>
        <v>16.761311572128154</v>
      </c>
      <c r="AN16" s="11">
        <f t="shared" ca="1" si="17"/>
        <v>14.904285677364255</v>
      </c>
      <c r="AO16" s="20">
        <v>2</v>
      </c>
      <c r="AP16" s="20">
        <v>2</v>
      </c>
      <c r="AQ16" s="20">
        <v>2</v>
      </c>
      <c r="AR16" s="57">
        <f t="shared" si="18"/>
        <v>6.1499999999999999E-2</v>
      </c>
      <c r="AS16" s="10">
        <v>161800</v>
      </c>
      <c r="AT16" s="504">
        <f>5280000+27204</f>
        <v>5307204</v>
      </c>
      <c r="AU16" s="503" t="s">
        <v>183</v>
      </c>
    </row>
    <row r="17" spans="1:47" x14ac:dyDescent="0.25">
      <c r="A17" s="407" t="s">
        <v>155</v>
      </c>
      <c r="B17" s="49" t="s">
        <v>172</v>
      </c>
      <c r="C17" s="359">
        <f ca="1">((36*112)-(E17*112)-(F17))/112</f>
        <v>3.1339285714285716</v>
      </c>
      <c r="D17" s="345" t="s">
        <v>1006</v>
      </c>
      <c r="E17" s="4">
        <v>32</v>
      </c>
      <c r="F17" s="5">
        <f ca="1">$D$2-$D$1-1898</f>
        <v>97</v>
      </c>
      <c r="G17" s="6"/>
      <c r="H17" s="7">
        <v>3</v>
      </c>
      <c r="I17" s="8">
        <v>9.9</v>
      </c>
      <c r="J17" s="21">
        <f>LOG(I17)*4/3</f>
        <v>1.3275135927967332</v>
      </c>
      <c r="K17" s="9">
        <f>(H17)*(H17)*(I17)</f>
        <v>89.100000000000009</v>
      </c>
      <c r="L17" s="9">
        <f>(H17+1)*(H17+1)*I17</f>
        <v>158.4</v>
      </c>
      <c r="M17" s="62">
        <v>44251</v>
      </c>
      <c r="N17" s="63">
        <f ca="1">IF((TODAY()-M17)&gt;335,1,((TODAY()-M17)^0.64)/(336^0.64))</f>
        <v>0.11852742785325386</v>
      </c>
      <c r="O17" s="19">
        <v>5.5</v>
      </c>
      <c r="P17" s="20">
        <f>O17*10+19</f>
        <v>74</v>
      </c>
      <c r="Q17" s="20">
        <v>5</v>
      </c>
      <c r="R17" s="57">
        <f>(Q17/7)^0.5</f>
        <v>0.84515425472851657</v>
      </c>
      <c r="S17" s="57">
        <f>IF(Q17=7,1,((Q17+0.99)/7)^0.5)</f>
        <v>0.92504826128926143</v>
      </c>
      <c r="T17" s="10">
        <v>57980</v>
      </c>
      <c r="U17" s="10">
        <f t="shared" si="8"/>
        <v>0</v>
      </c>
      <c r="V17" s="10">
        <v>14170</v>
      </c>
      <c r="W17" s="11">
        <f>T17/V17</f>
        <v>4.0917431192660549</v>
      </c>
      <c r="X17" s="442">
        <v>0</v>
      </c>
      <c r="Y17" s="21">
        <v>6</v>
      </c>
      <c r="Z17" s="442">
        <v>13</v>
      </c>
      <c r="AA17" s="21">
        <v>7</v>
      </c>
      <c r="AB17" s="442">
        <v>12</v>
      </c>
      <c r="AC17" s="21">
        <v>4</v>
      </c>
      <c r="AD17" s="442">
        <v>16</v>
      </c>
      <c r="AE17" s="12"/>
      <c r="AF17" s="12">
        <v>1617</v>
      </c>
      <c r="AG17" s="11">
        <f t="shared" ca="1" si="10"/>
        <v>3.6276263506498014</v>
      </c>
      <c r="AH17" s="22">
        <f t="shared" ca="1" si="11"/>
        <v>6.2930532494854026</v>
      </c>
      <c r="AI17" s="22">
        <f t="shared" ca="1" si="12"/>
        <v>6.8936944406486811</v>
      </c>
      <c r="AJ17" s="22">
        <f t="shared" ca="1" si="13"/>
        <v>12.209133032585017</v>
      </c>
      <c r="AK17" s="22">
        <f t="shared" ca="1" si="14"/>
        <v>13.374435139056541</v>
      </c>
      <c r="AL17" s="22">
        <f t="shared" ca="1" si="15"/>
        <v>15.589750051499086</v>
      </c>
      <c r="AM17" s="22">
        <f t="shared" ca="1" si="16"/>
        <v>17.077715538146748</v>
      </c>
      <c r="AN17" s="11">
        <f t="shared" ca="1" si="17"/>
        <v>13.846041020649988</v>
      </c>
      <c r="AO17" s="20">
        <v>2</v>
      </c>
      <c r="AP17" s="20">
        <v>3</v>
      </c>
      <c r="AQ17" s="20">
        <v>2</v>
      </c>
      <c r="AR17" s="57">
        <f>IF(AP17=4,IF(AQ17=0,0.137+0.0697,0.137+0.02),IF(AP17=3,IF(AQ17=0,0.0958+0.0697,0.0958+0.02),IF(AP17=2,IF(AQ17=0,0.0415+0.0697,0.0415+0.02),IF(AP17=1,IF(AQ17=0,0.0294+0.0697,0.0294+0.02),IF(AP17=0,IF(AQ17=0,0.0063+0.0697,0.0063+0.02))))))</f>
        <v>0.1158</v>
      </c>
      <c r="AS17" s="10">
        <v>57980</v>
      </c>
      <c r="AT17" s="504">
        <v>1475000</v>
      </c>
      <c r="AU17" s="503" t="s">
        <v>183</v>
      </c>
    </row>
    <row r="18" spans="1:47" x14ac:dyDescent="0.25">
      <c r="A18" s="407" t="s">
        <v>491</v>
      </c>
      <c r="B18" s="49" t="s">
        <v>177</v>
      </c>
      <c r="C18" s="359">
        <f t="shared" ca="1" si="0"/>
        <v>7.7946428571428568</v>
      </c>
      <c r="D18" s="345" t="s">
        <v>1005</v>
      </c>
      <c r="E18" s="4">
        <v>28</v>
      </c>
      <c r="F18" s="5">
        <f ca="1">$D$2-$D$1-1972</f>
        <v>23</v>
      </c>
      <c r="G18" s="6"/>
      <c r="H18" s="7">
        <v>1</v>
      </c>
      <c r="I18" s="8">
        <v>6.9</v>
      </c>
      <c r="J18" s="21">
        <f t="shared" si="1"/>
        <v>1.1184654543163404</v>
      </c>
      <c r="K18" s="9">
        <f t="shared" si="2"/>
        <v>6.9</v>
      </c>
      <c r="L18" s="9">
        <f t="shared" si="3"/>
        <v>27.6</v>
      </c>
      <c r="M18" s="62">
        <v>44262</v>
      </c>
      <c r="N18" s="63">
        <f t="shared" ca="1" si="19"/>
        <v>2.4162555382234736E-2</v>
      </c>
      <c r="O18" s="19">
        <v>6</v>
      </c>
      <c r="P18" s="20">
        <f t="shared" si="5"/>
        <v>79</v>
      </c>
      <c r="Q18" s="20">
        <v>5</v>
      </c>
      <c r="R18" s="57">
        <f t="shared" si="6"/>
        <v>0.84515425472851657</v>
      </c>
      <c r="S18" s="57">
        <f t="shared" si="7"/>
        <v>0.92504826128926143</v>
      </c>
      <c r="T18" s="10">
        <v>231740</v>
      </c>
      <c r="U18" s="10">
        <f t="shared" si="8"/>
        <v>0</v>
      </c>
      <c r="V18" s="10">
        <v>26380</v>
      </c>
      <c r="W18" s="11">
        <f t="shared" si="9"/>
        <v>8.7846853677028047</v>
      </c>
      <c r="X18" s="442">
        <v>0</v>
      </c>
      <c r="Y18" s="21">
        <v>4</v>
      </c>
      <c r="Z18" s="442">
        <v>2</v>
      </c>
      <c r="AA18" s="21">
        <v>9</v>
      </c>
      <c r="AB18" s="442">
        <v>14</v>
      </c>
      <c r="AC18" s="21">
        <v>14</v>
      </c>
      <c r="AD18" s="442">
        <v>1</v>
      </c>
      <c r="AE18" s="12"/>
      <c r="AF18" s="12">
        <v>1678</v>
      </c>
      <c r="AG18" s="11">
        <f t="shared" ca="1" si="10"/>
        <v>3.7427533654023386</v>
      </c>
      <c r="AH18" s="22">
        <f t="shared" ca="1" si="11"/>
        <v>4.3463139428827944</v>
      </c>
      <c r="AI18" s="22">
        <f t="shared" ca="1" si="12"/>
        <v>4.7611483770322529</v>
      </c>
      <c r="AJ18" s="22">
        <f t="shared" ca="1" si="13"/>
        <v>2.656005433425761</v>
      </c>
      <c r="AK18" s="22">
        <f t="shared" ca="1" si="14"/>
        <v>2.9095081774871496</v>
      </c>
      <c r="AL18" s="22">
        <f t="shared" ca="1" si="15"/>
        <v>2.656005433425761</v>
      </c>
      <c r="AM18" s="22">
        <f t="shared" ca="1" si="16"/>
        <v>2.9095081774871496</v>
      </c>
      <c r="AN18" s="11">
        <f t="shared" ca="1" si="17"/>
        <v>6.0426280096985749</v>
      </c>
      <c r="AO18" s="20">
        <v>1</v>
      </c>
      <c r="AP18" s="20">
        <v>2</v>
      </c>
      <c r="AQ18" s="20">
        <v>2</v>
      </c>
      <c r="AR18" s="57">
        <f t="shared" si="18"/>
        <v>6.1499999999999999E-2</v>
      </c>
      <c r="AS18" s="10">
        <v>231740</v>
      </c>
      <c r="AT18" s="504">
        <v>7500000</v>
      </c>
      <c r="AU18" s="503" t="s">
        <v>183</v>
      </c>
    </row>
    <row r="19" spans="1:47" x14ac:dyDescent="0.25">
      <c r="A19" s="407" t="s">
        <v>176</v>
      </c>
      <c r="B19" s="49" t="s">
        <v>177</v>
      </c>
      <c r="C19" s="359">
        <f t="shared" ca="1" si="0"/>
        <v>5.7321428571428568</v>
      </c>
      <c r="D19" s="345" t="s">
        <v>951</v>
      </c>
      <c r="E19" s="4">
        <v>30</v>
      </c>
      <c r="F19" s="5">
        <f ca="1">$D$2-$D$1-1741-112-112</f>
        <v>30</v>
      </c>
      <c r="G19" s="6" t="s">
        <v>166</v>
      </c>
      <c r="H19" s="7">
        <v>2</v>
      </c>
      <c r="I19" s="8">
        <v>14.6</v>
      </c>
      <c r="J19" s="21">
        <f t="shared" si="1"/>
        <v>1.5524704743792495</v>
      </c>
      <c r="K19" s="9">
        <f t="shared" si="2"/>
        <v>58.4</v>
      </c>
      <c r="L19" s="9">
        <f t="shared" si="3"/>
        <v>131.4</v>
      </c>
      <c r="M19" s="62">
        <v>44069</v>
      </c>
      <c r="N19" s="63">
        <f t="shared" ca="1" si="19"/>
        <v>0.70361642611566089</v>
      </c>
      <c r="O19" s="19">
        <v>6.3</v>
      </c>
      <c r="P19" s="20">
        <f t="shared" si="5"/>
        <v>82</v>
      </c>
      <c r="Q19" s="20">
        <v>5</v>
      </c>
      <c r="R19" s="57">
        <f t="shared" si="6"/>
        <v>0.84515425472851657</v>
      </c>
      <c r="S19" s="57">
        <f t="shared" si="7"/>
        <v>0.92504826128926143</v>
      </c>
      <c r="T19" s="10">
        <v>122740</v>
      </c>
      <c r="U19" s="10">
        <f t="shared" si="8"/>
        <v>-73650</v>
      </c>
      <c r="V19" s="10">
        <v>16980</v>
      </c>
      <c r="W19" s="11">
        <f t="shared" si="9"/>
        <v>7.2285041224970552</v>
      </c>
      <c r="X19" s="442">
        <v>0</v>
      </c>
      <c r="Y19" s="21">
        <v>1</v>
      </c>
      <c r="Z19" s="442">
        <v>9</v>
      </c>
      <c r="AA19" s="21">
        <v>14</v>
      </c>
      <c r="AB19" s="442">
        <v>11</v>
      </c>
      <c r="AC19" s="21">
        <v>11</v>
      </c>
      <c r="AD19" s="442">
        <f>10+1/2</f>
        <v>10.5</v>
      </c>
      <c r="AE19" s="12">
        <f>26+46.5+36+40+6</f>
        <v>154.5</v>
      </c>
      <c r="AF19" s="12">
        <v>1676</v>
      </c>
      <c r="AG19" s="11">
        <f t="shared" ca="1" si="10"/>
        <v>3.1448465234659397</v>
      </c>
      <c r="AH19" s="22">
        <f t="shared" ca="1" si="11"/>
        <v>2.751895697719061</v>
      </c>
      <c r="AI19" s="22">
        <f t="shared" ca="1" si="12"/>
        <v>3.0145506990842952</v>
      </c>
      <c r="AJ19" s="22">
        <f t="shared" ca="1" si="13"/>
        <v>9.513129735547194</v>
      </c>
      <c r="AK19" s="22">
        <f t="shared" ca="1" si="14"/>
        <v>10.421111497264707</v>
      </c>
      <c r="AL19" s="22">
        <f t="shared" ca="1" si="15"/>
        <v>11.626015372368485</v>
      </c>
      <c r="AM19" s="22">
        <f t="shared" ca="1" si="16"/>
        <v>12.735661746696085</v>
      </c>
      <c r="AN19" s="11">
        <f t="shared" ca="1" si="17"/>
        <v>12.906086900494909</v>
      </c>
      <c r="AO19" s="20">
        <v>1</v>
      </c>
      <c r="AP19" s="20">
        <v>1</v>
      </c>
      <c r="AQ19" s="20">
        <v>1</v>
      </c>
      <c r="AR19" s="57">
        <f t="shared" si="18"/>
        <v>4.9399999999999999E-2</v>
      </c>
      <c r="AS19" s="10">
        <v>196390</v>
      </c>
      <c r="AT19" s="504">
        <v>6324000</v>
      </c>
      <c r="AU19" s="503" t="s">
        <v>183</v>
      </c>
    </row>
    <row r="20" spans="1:47" x14ac:dyDescent="0.25">
      <c r="A20" s="407" t="s">
        <v>180</v>
      </c>
      <c r="B20" s="49" t="s">
        <v>177</v>
      </c>
      <c r="C20" s="359">
        <f t="shared" ca="1" si="0"/>
        <v>7.875</v>
      </c>
      <c r="D20" s="345" t="s">
        <v>896</v>
      </c>
      <c r="E20" s="4">
        <v>28</v>
      </c>
      <c r="F20" s="5">
        <f ca="1">$D$2-$D$1-1600-45-112-112-112</f>
        <v>14</v>
      </c>
      <c r="G20" s="6" t="s">
        <v>166</v>
      </c>
      <c r="H20" s="7">
        <v>1</v>
      </c>
      <c r="I20" s="8">
        <v>6.9</v>
      </c>
      <c r="J20" s="21">
        <f t="shared" si="1"/>
        <v>1.1184654543163404</v>
      </c>
      <c r="K20" s="9">
        <f t="shared" si="2"/>
        <v>6.9</v>
      </c>
      <c r="L20" s="9">
        <f t="shared" si="3"/>
        <v>27.6</v>
      </c>
      <c r="M20" s="62">
        <v>43590</v>
      </c>
      <c r="N20" s="63">
        <f t="shared" ca="1" si="19"/>
        <v>1</v>
      </c>
      <c r="O20" s="19">
        <v>6.9</v>
      </c>
      <c r="P20" s="20">
        <f t="shared" si="5"/>
        <v>88</v>
      </c>
      <c r="Q20" s="20">
        <v>6</v>
      </c>
      <c r="R20" s="57">
        <f t="shared" si="6"/>
        <v>0.92582009977255142</v>
      </c>
      <c r="S20" s="57">
        <f t="shared" si="7"/>
        <v>0.99928545900129484</v>
      </c>
      <c r="T20" s="10">
        <v>266930</v>
      </c>
      <c r="U20" s="10">
        <f t="shared" si="8"/>
        <v>7270</v>
      </c>
      <c r="V20" s="10">
        <v>31212</v>
      </c>
      <c r="W20" s="11">
        <f t="shared" si="9"/>
        <v>8.5521594258618485</v>
      </c>
      <c r="X20" s="442">
        <v>0</v>
      </c>
      <c r="Y20" s="21">
        <v>3</v>
      </c>
      <c r="Z20" s="442">
        <f>8+0/6</f>
        <v>8</v>
      </c>
      <c r="AA20" s="21">
        <f>11+0/6</f>
        <v>11</v>
      </c>
      <c r="AB20" s="442">
        <f>12+4/9</f>
        <v>12.444444444444445</v>
      </c>
      <c r="AC20" s="21">
        <v>14</v>
      </c>
      <c r="AD20" s="442">
        <f>12+2/3</f>
        <v>12.666666666666666</v>
      </c>
      <c r="AE20" s="12">
        <f>3+16+22.5+45+70+7+1+2+4</f>
        <v>170.5</v>
      </c>
      <c r="AF20" s="12">
        <v>1893</v>
      </c>
      <c r="AG20" s="11">
        <f t="shared" ca="1" si="10"/>
        <v>3.9630059485620355</v>
      </c>
      <c r="AH20" s="22">
        <f t="shared" ca="1" si="11"/>
        <v>4.7387781975975125</v>
      </c>
      <c r="AI20" s="22">
        <f t="shared" ca="1" si="12"/>
        <v>5.1184654543163406</v>
      </c>
      <c r="AJ20" s="22">
        <f t="shared" ca="1" si="13"/>
        <v>9.3678786964602683</v>
      </c>
      <c r="AK20" s="22">
        <f t="shared" ca="1" si="14"/>
        <v>10.11846545431634</v>
      </c>
      <c r="AL20" s="22">
        <f t="shared" ca="1" si="15"/>
        <v>14.614192595171392</v>
      </c>
      <c r="AM20" s="22">
        <f t="shared" ca="1" si="16"/>
        <v>15.785132120983006</v>
      </c>
      <c r="AN20" s="11">
        <f t="shared" ca="1" si="17"/>
        <v>15.185132120983006</v>
      </c>
      <c r="AO20" s="20">
        <v>1</v>
      </c>
      <c r="AP20" s="20">
        <v>0</v>
      </c>
      <c r="AQ20" s="20">
        <v>1</v>
      </c>
      <c r="AR20" s="57">
        <f t="shared" si="18"/>
        <v>2.63E-2</v>
      </c>
      <c r="AS20" s="10">
        <v>259660</v>
      </c>
      <c r="AT20" s="504">
        <v>12306000</v>
      </c>
      <c r="AU20" s="503" t="s">
        <v>985</v>
      </c>
    </row>
    <row r="21" spans="1:47" x14ac:dyDescent="0.25">
      <c r="V21" s="44"/>
    </row>
    <row r="23" spans="1:47" x14ac:dyDescent="0.25">
      <c r="D23" s="23"/>
      <c r="T23" s="44"/>
      <c r="V23" s="44"/>
    </row>
    <row r="24" spans="1:47" x14ac:dyDescent="0.25">
      <c r="D24" s="23"/>
    </row>
    <row r="25" spans="1:47" x14ac:dyDescent="0.25">
      <c r="D25" s="61"/>
      <c r="AT25" s="538"/>
    </row>
    <row r="26" spans="1:47" x14ac:dyDescent="0.25">
      <c r="D26" s="1"/>
    </row>
    <row r="27" spans="1:47" x14ac:dyDescent="0.25">
      <c r="M27" s="23"/>
      <c r="T27" s="44"/>
      <c r="V27" s="44"/>
    </row>
    <row r="28" spans="1:47" x14ac:dyDescent="0.25">
      <c r="M28" s="23"/>
    </row>
  </sheetData>
  <conditionalFormatting sqref="X4:AD20">
    <cfRule type="colorScale" priority="7">
      <colorScale>
        <cfvo type="min"/>
        <cfvo type="max"/>
        <color rgb="FFFCFCFF"/>
        <color rgb="FFF8696B"/>
      </colorScale>
    </cfRule>
  </conditionalFormatting>
  <conditionalFormatting sqref="X4:AD20">
    <cfRule type="cellIs" dxfId="68" priority="8" operator="greaterThan">
      <formula>10</formula>
    </cfRule>
  </conditionalFormatting>
  <conditionalFormatting sqref="W17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{455B1121-88DB-485C-CE90-B055FA47AC26}</x14:id>
        </ext>
      </extLst>
    </cfRule>
  </conditionalFormatting>
  <conditionalFormatting sqref="U2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{20E65445-B502-CC35-5785-1B5F6E38F240}</x14:id>
        </ext>
      </extLst>
    </cfRule>
  </conditionalFormatting>
  <conditionalFormatting sqref="W4:W16 W18:W20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{54A1CDFE-05EA-C8A0-DE6E-3F4D0171AC31}</x14:id>
        </ext>
      </extLst>
    </cfRule>
  </conditionalFormatting>
  <conditionalFormatting sqref="C4:C20">
    <cfRule type="colorScale" priority="12">
      <colorScale>
        <cfvo type="min"/>
        <cfvo type="max"/>
        <color rgb="FFFFEF9C"/>
        <color rgb="FF63BE7B"/>
      </colorScale>
    </cfRule>
  </conditionalFormatting>
  <conditionalFormatting sqref="T4:T20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{34CE30BA-CC8B-9E63-00D4-DB0741866E36}</x14:id>
        </ext>
      </extLst>
    </cfRule>
  </conditionalFormatting>
  <conditionalFormatting sqref="V4:V20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{5366CBA3-B950-E749-380E-A928C555A138}</x14:id>
        </ext>
      </extLst>
    </cfRule>
  </conditionalFormatting>
  <conditionalFormatting sqref="AL4:AM2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:AG2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4:AN2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20">
    <cfRule type="colorScale" priority="18">
      <colorScale>
        <cfvo type="min"/>
        <cfvo type="max"/>
        <color rgb="FFFFEF9C"/>
        <color rgb="FF63BE7B"/>
      </colorScale>
    </cfRule>
  </conditionalFormatting>
  <conditionalFormatting sqref="I4:I2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20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{567ED915-6BB1-30DF-6F8C-2416738B610B}</x14:id>
        </ext>
      </extLst>
    </cfRule>
  </conditionalFormatting>
  <conditionalFormatting sqref="P4:P2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:AK2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:AI2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L2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4:AE20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{4B6A5C48-4AA2-E361-7E28-EC20F9CFF761}</x14:id>
        </ext>
      </extLst>
    </cfRule>
  </conditionalFormatting>
  <conditionalFormatting sqref="AR4:AR20">
    <cfRule type="colorScale" priority="27">
      <colorScale>
        <cfvo type="min"/>
        <cfvo type="max"/>
        <color rgb="FFFCFCFF"/>
        <color rgb="FFF8696B"/>
      </colorScale>
    </cfRule>
  </conditionalFormatting>
  <conditionalFormatting sqref="R4:S2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:AT20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{4DAFD0AF-A744-43BB-A8A0-097B76CD3F56}</x14:id>
        </ext>
      </extLst>
    </cfRule>
  </conditionalFormatting>
  <conditionalFormatting sqref="AS4:AS2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{BDC379C4-CEC9-45DB-8669-8234F3162B86}</x14:id>
        </ext>
      </extLst>
    </cfRule>
  </conditionalFormatting>
  <conditionalFormatting sqref="AF4:AF20">
    <cfRule type="dataBar" priority="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{7676AE00-9D90-144E-5CF6-F5615F2E3031}</x14:id>
        </ext>
      </extLst>
    </cfRule>
  </conditionalFormatting>
  <pageMargins left="0.7" right="0.7" top="0.75" bottom="0.75" header="0.3" footer="0.3"/>
  <pageSetup paperSize="9" fitToWidth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55B1121-88DB-485C-CE90-B055FA47AC2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W17</xm:sqref>
        </x14:conditionalFormatting>
        <x14:conditionalFormatting xmlns:xm="http://schemas.microsoft.com/office/excel/2006/main">
          <x14:cfRule type="dataBar" id="{20E65445-B502-CC35-5785-1B5F6E38F2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U2</xm:sqref>
        </x14:conditionalFormatting>
        <x14:conditionalFormatting xmlns:xm="http://schemas.microsoft.com/office/excel/2006/main">
          <x14:cfRule type="dataBar" id="{54A1CDFE-05EA-C8A0-DE6E-3F4D0171AC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W4:W16 W18:W20</xm:sqref>
        </x14:conditionalFormatting>
        <x14:conditionalFormatting xmlns:xm="http://schemas.microsoft.com/office/excel/2006/main">
          <x14:cfRule type="dataBar" id="{34CE30BA-CC8B-9E63-00D4-DB0741866E3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T4:T20</xm:sqref>
        </x14:conditionalFormatting>
        <x14:conditionalFormatting xmlns:xm="http://schemas.microsoft.com/office/excel/2006/main">
          <x14:cfRule type="dataBar" id="{5366CBA3-B950-E749-380E-A928C555A13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V4:V20</xm:sqref>
        </x14:conditionalFormatting>
        <x14:conditionalFormatting xmlns:xm="http://schemas.microsoft.com/office/excel/2006/main">
          <x14:cfRule type="dataBar" id="{567ED915-6BB1-30DF-6F8C-2416738B61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U4:U20</xm:sqref>
        </x14:conditionalFormatting>
        <x14:conditionalFormatting xmlns:xm="http://schemas.microsoft.com/office/excel/2006/main">
          <x14:cfRule type="dataBar" id="{4B6A5C48-4AA2-E361-7E28-EC20F9CFF76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AE4:AE20</xm:sqref>
        </x14:conditionalFormatting>
        <x14:conditionalFormatting xmlns:xm="http://schemas.microsoft.com/office/excel/2006/main">
          <x14:cfRule type="dataBar" id="{4DAFD0AF-A744-43BB-A8A0-097B76CD3F5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AT4:AT20</xm:sqref>
        </x14:conditionalFormatting>
        <x14:conditionalFormatting xmlns:xm="http://schemas.microsoft.com/office/excel/2006/main">
          <x14:cfRule type="dataBar" id="{BDC379C4-CEC9-45DB-8669-8234F3162B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AS4:AS20</xm:sqref>
        </x14:conditionalFormatting>
        <x14:conditionalFormatting xmlns:xm="http://schemas.microsoft.com/office/excel/2006/main">
          <x14:cfRule type="dataBar" id="{7676AE00-9D90-144E-5CF6-F5615F2E30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AF4:AF20</xm:sqref>
        </x14:conditionalFormatting>
      </x14:conditionalFormattings>
    </ex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BF120"/>
  <sheetViews>
    <sheetView workbookViewId="0">
      <selection activeCell="S7" sqref="S7"/>
    </sheetView>
  </sheetViews>
  <sheetFormatPr baseColWidth="10" defaultColWidth="10.7109375" defaultRowHeight="15" x14ac:dyDescent="0.25"/>
  <cols>
    <col min="1" max="1" width="24.7109375" customWidth="1"/>
    <col min="2" max="2" width="6.140625" customWidth="1"/>
    <col min="3" max="3" width="5.42578125" customWidth="1"/>
    <col min="4" max="4" width="5.5703125" customWidth="1"/>
    <col min="5" max="5" width="5" customWidth="1"/>
    <col min="6" max="6" width="11.85546875" customWidth="1"/>
    <col min="7" max="7" width="6.140625" customWidth="1"/>
    <col min="8" max="8" width="6.28515625" customWidth="1"/>
    <col min="9" max="9" width="6.140625" customWidth="1"/>
    <col min="10" max="10" width="6.7109375" customWidth="1"/>
    <col min="11" max="11" width="5" customWidth="1"/>
    <col min="12" max="12" width="5.28515625" customWidth="1"/>
    <col min="13" max="13" width="5.5703125" customWidth="1"/>
    <col min="14" max="14" width="5.42578125" customWidth="1"/>
    <col min="15" max="15" width="5.5703125" customWidth="1"/>
    <col min="16" max="16" width="5" customWidth="1"/>
    <col min="17" max="17" width="5.5703125" customWidth="1"/>
    <col min="18" max="18" width="5.140625" customWidth="1"/>
    <col min="19" max="21" width="5.5703125" customWidth="1"/>
    <col min="22" max="22" width="4" customWidth="1"/>
    <col min="23" max="23" width="5" customWidth="1"/>
    <col min="24" max="24" width="5.42578125" customWidth="1"/>
    <col min="25" max="25" width="5.5703125" customWidth="1"/>
    <col min="26" max="26" width="5" customWidth="1"/>
    <col min="27" max="27" width="4" customWidth="1"/>
    <col min="28" max="28" width="7.28515625" customWidth="1"/>
    <col min="29" max="29" width="6" customWidth="1"/>
    <col min="30" max="32" width="4" customWidth="1"/>
    <col min="33" max="33" width="4.7109375" customWidth="1"/>
    <col min="34" max="34" width="4" customWidth="1"/>
    <col min="35" max="35" width="18.42578125" customWidth="1"/>
    <col min="37" max="37" width="28.42578125" customWidth="1"/>
    <col min="38" max="38" width="5.28515625" customWidth="1"/>
    <col min="39" max="39" width="6.28515625" customWidth="1"/>
    <col min="40" max="40" width="5.5703125" style="41" customWidth="1"/>
    <col min="41" max="41" width="5" customWidth="1"/>
    <col min="42" max="42" width="5.5703125" customWidth="1"/>
    <col min="43" max="43" width="5" customWidth="1"/>
    <col min="44" max="44" width="7.5703125" customWidth="1"/>
    <col min="45" max="45" width="7.42578125" customWidth="1"/>
    <col min="46" max="46" width="7.28515625" customWidth="1"/>
    <col min="47" max="47" width="5" customWidth="1"/>
    <col min="48" max="48" width="7" customWidth="1"/>
    <col min="49" max="49" width="5.140625" customWidth="1"/>
    <col min="50" max="50" width="8" customWidth="1"/>
    <col min="51" max="52" width="7.42578125" customWidth="1"/>
    <col min="53" max="53" width="5" customWidth="1"/>
    <col min="54" max="54" width="5.5703125" customWidth="1"/>
    <col min="55" max="55" width="11.5703125" customWidth="1"/>
  </cols>
  <sheetData>
    <row r="1" spans="1:56" x14ac:dyDescent="0.25">
      <c r="A1" s="114" t="s">
        <v>181</v>
      </c>
      <c r="B1" s="114"/>
      <c r="C1" s="114"/>
      <c r="D1" s="115"/>
      <c r="E1" s="114"/>
      <c r="F1" s="115"/>
      <c r="G1" s="116"/>
      <c r="H1" s="115"/>
      <c r="I1" s="115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5"/>
      <c r="Y1" s="115"/>
      <c r="Z1" s="115"/>
      <c r="AA1" s="115"/>
      <c r="AB1" s="115"/>
      <c r="AC1" s="117"/>
      <c r="AD1" s="117"/>
      <c r="AE1" s="117"/>
      <c r="AF1" s="117"/>
      <c r="AG1" s="117"/>
      <c r="AH1" s="117"/>
      <c r="AI1" s="116"/>
      <c r="AK1" s="226" t="s">
        <v>182</v>
      </c>
      <c r="AL1" s="227"/>
      <c r="AM1" s="227"/>
      <c r="AN1" s="227"/>
      <c r="AO1" s="227"/>
      <c r="AP1" s="227"/>
      <c r="AQ1" s="227"/>
      <c r="AR1" s="227"/>
      <c r="AS1" s="227"/>
      <c r="AT1" s="227"/>
      <c r="AU1" s="227"/>
      <c r="AV1" s="227"/>
      <c r="AW1" s="227"/>
      <c r="AX1" s="227"/>
      <c r="AY1" s="227"/>
      <c r="AZ1" s="227"/>
      <c r="BA1" s="227"/>
      <c r="BB1" s="227"/>
      <c r="BC1" s="227"/>
    </row>
    <row r="2" spans="1:56" x14ac:dyDescent="0.25">
      <c r="A2" s="118" t="s">
        <v>183</v>
      </c>
      <c r="B2" s="118" t="s">
        <v>184</v>
      </c>
      <c r="C2" s="118" t="s">
        <v>113</v>
      </c>
      <c r="D2" s="119" t="s">
        <v>185</v>
      </c>
      <c r="E2" s="118" t="s">
        <v>186</v>
      </c>
      <c r="F2" s="119" t="s">
        <v>187</v>
      </c>
      <c r="G2" s="120" t="s">
        <v>188</v>
      </c>
      <c r="H2" s="119" t="s">
        <v>189</v>
      </c>
      <c r="I2" s="119" t="s">
        <v>115</v>
      </c>
      <c r="J2" s="118" t="s">
        <v>153</v>
      </c>
      <c r="K2" s="118" t="s">
        <v>190</v>
      </c>
      <c r="L2" s="121" t="s">
        <v>191</v>
      </c>
      <c r="M2" s="121" t="s">
        <v>190</v>
      </c>
      <c r="N2" s="118" t="s">
        <v>192</v>
      </c>
      <c r="O2" s="118" t="s">
        <v>190</v>
      </c>
      <c r="P2" s="121" t="s">
        <v>193</v>
      </c>
      <c r="Q2" s="121" t="s">
        <v>190</v>
      </c>
      <c r="R2" s="118" t="s">
        <v>194</v>
      </c>
      <c r="S2" s="118" t="s">
        <v>190</v>
      </c>
      <c r="T2" s="121" t="s">
        <v>195</v>
      </c>
      <c r="U2" s="121" t="s">
        <v>190</v>
      </c>
      <c r="V2" s="118" t="s">
        <v>196</v>
      </c>
      <c r="W2" s="118" t="s">
        <v>190</v>
      </c>
      <c r="X2" s="122" t="s">
        <v>197</v>
      </c>
      <c r="Y2" s="122" t="s">
        <v>198</v>
      </c>
      <c r="Z2" s="119" t="s">
        <v>199</v>
      </c>
      <c r="AA2" s="119" t="s">
        <v>196</v>
      </c>
      <c r="AB2" s="119" t="s">
        <v>200</v>
      </c>
      <c r="AC2" s="123" t="s">
        <v>201</v>
      </c>
      <c r="AD2" s="123" t="s">
        <v>202</v>
      </c>
      <c r="AE2" s="123" t="s">
        <v>203</v>
      </c>
      <c r="AF2" s="123" t="s">
        <v>204</v>
      </c>
      <c r="AG2" s="123" t="s">
        <v>205</v>
      </c>
      <c r="AH2" s="123" t="s">
        <v>206</v>
      </c>
      <c r="AI2" s="120" t="s">
        <v>207</v>
      </c>
      <c r="AK2" s="203" t="s">
        <v>183</v>
      </c>
      <c r="AL2" s="203" t="s">
        <v>184</v>
      </c>
      <c r="AM2" s="203" t="s">
        <v>113</v>
      </c>
      <c r="AN2" s="228" t="s">
        <v>185</v>
      </c>
      <c r="AO2" s="230" t="s">
        <v>153</v>
      </c>
      <c r="AP2" s="230" t="s">
        <v>208</v>
      </c>
      <c r="AQ2" s="230" t="s">
        <v>191</v>
      </c>
      <c r="AR2" s="230" t="s">
        <v>209</v>
      </c>
      <c r="AS2" s="230" t="s">
        <v>192</v>
      </c>
      <c r="AT2" s="230" t="s">
        <v>210</v>
      </c>
      <c r="AU2" s="230" t="s">
        <v>193</v>
      </c>
      <c r="AV2" s="230" t="s">
        <v>211</v>
      </c>
      <c r="AW2" s="230" t="s">
        <v>195</v>
      </c>
      <c r="AX2" s="230" t="s">
        <v>212</v>
      </c>
      <c r="AY2" s="230" t="s">
        <v>194</v>
      </c>
      <c r="AZ2" s="230" t="s">
        <v>213</v>
      </c>
      <c r="BA2" s="230" t="s">
        <v>196</v>
      </c>
      <c r="BB2" s="230" t="s">
        <v>214</v>
      </c>
      <c r="BC2" s="230" t="s">
        <v>215</v>
      </c>
    </row>
    <row r="3" spans="1:56" x14ac:dyDescent="0.25">
      <c r="A3" s="124" t="s">
        <v>216</v>
      </c>
      <c r="B3" s="125">
        <v>16</v>
      </c>
      <c r="C3" s="126">
        <f ca="1">A33-2100-6-93-112+6-36-112-112-12-112</f>
        <v>576</v>
      </c>
      <c r="D3" s="127" t="s">
        <v>163</v>
      </c>
      <c r="E3" s="128">
        <f ca="1">F3-TODAY()</f>
        <v>-464</v>
      </c>
      <c r="F3" s="129">
        <v>43799</v>
      </c>
      <c r="G3" s="180" t="s">
        <v>217</v>
      </c>
      <c r="H3" s="157" t="s">
        <v>218</v>
      </c>
      <c r="I3" s="130" t="s">
        <v>219</v>
      </c>
      <c r="J3" s="125"/>
      <c r="K3" s="136">
        <v>1.99</v>
      </c>
      <c r="L3" s="125"/>
      <c r="M3" s="136">
        <v>3.99</v>
      </c>
      <c r="N3" s="132">
        <v>3</v>
      </c>
      <c r="O3" s="133">
        <v>3.99</v>
      </c>
      <c r="P3" s="132">
        <v>5</v>
      </c>
      <c r="Q3" s="357">
        <v>5.99</v>
      </c>
      <c r="R3" s="132">
        <v>4</v>
      </c>
      <c r="S3" s="133">
        <v>4.99</v>
      </c>
      <c r="T3" s="132">
        <v>6</v>
      </c>
      <c r="U3" s="357">
        <v>6.99</v>
      </c>
      <c r="V3" s="125"/>
      <c r="W3" s="125"/>
      <c r="X3" s="137">
        <f>7-(COUNTBLANK(J3)+COUNTBLANK(L3)+COUNTBLANK(N3)+COUNTBLANK(P3)+COUNTBLANK(R3)+COUNTBLANK(T3)+COUNTBLANK(V3))</f>
        <v>4</v>
      </c>
      <c r="Y3" s="130">
        <f>COUNT(W3,S3,U3,Q3,O3,M3,K3)</f>
        <v>6</v>
      </c>
      <c r="Z3" s="130"/>
      <c r="AA3" s="130"/>
      <c r="AB3" s="130"/>
      <c r="AC3" s="138"/>
      <c r="AD3" s="138"/>
      <c r="AE3" s="138"/>
      <c r="AF3" s="138"/>
      <c r="AG3" s="138"/>
      <c r="AH3" s="138">
        <v>7.5</v>
      </c>
      <c r="AI3" s="138" t="s">
        <v>220</v>
      </c>
      <c r="AK3" s="209" t="s">
        <v>221</v>
      </c>
      <c r="AL3" s="209">
        <v>17</v>
      </c>
      <c r="AM3" s="211">
        <v>0</v>
      </c>
      <c r="AN3" s="229"/>
      <c r="AO3" s="204"/>
      <c r="AP3" s="204"/>
      <c r="AQ3" s="205">
        <v>4</v>
      </c>
      <c r="AR3" s="205">
        <v>4.99</v>
      </c>
      <c r="AS3" s="205">
        <v>5</v>
      </c>
      <c r="AT3" s="206">
        <v>5.99</v>
      </c>
      <c r="AU3" s="205">
        <v>2</v>
      </c>
      <c r="AV3" s="205">
        <v>2.99</v>
      </c>
      <c r="AW3" s="204"/>
      <c r="AX3" s="207">
        <v>3.99</v>
      </c>
      <c r="AY3" s="205">
        <v>5</v>
      </c>
      <c r="AZ3" s="206">
        <v>5.99</v>
      </c>
      <c r="BA3" s="205">
        <v>0</v>
      </c>
      <c r="BB3" s="205">
        <v>0.99</v>
      </c>
      <c r="BC3" s="208">
        <v>41367</v>
      </c>
    </row>
    <row r="4" spans="1:56" x14ac:dyDescent="0.25">
      <c r="A4" s="139" t="s">
        <v>222</v>
      </c>
      <c r="B4" s="139"/>
      <c r="C4" s="139"/>
      <c r="D4" s="140"/>
      <c r="E4" s="139"/>
      <c r="F4" s="140"/>
      <c r="G4" s="141"/>
      <c r="H4" s="140"/>
      <c r="I4" s="140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40"/>
      <c r="Y4" s="140"/>
      <c r="Z4" s="140"/>
      <c r="AA4" s="140"/>
      <c r="AB4" s="140"/>
      <c r="AC4" s="142"/>
      <c r="AD4" s="142"/>
      <c r="AE4" s="142"/>
      <c r="AF4" s="142"/>
      <c r="AG4" s="142"/>
      <c r="AH4" s="142"/>
      <c r="AI4" s="141"/>
      <c r="AK4" s="209" t="s">
        <v>223</v>
      </c>
      <c r="AL4" s="209">
        <v>17</v>
      </c>
      <c r="AM4" s="211">
        <v>0</v>
      </c>
      <c r="AN4" s="229"/>
      <c r="AO4" s="204"/>
      <c r="AP4" s="204"/>
      <c r="AQ4" s="207">
        <v>2</v>
      </c>
      <c r="AR4" s="207">
        <v>3.99</v>
      </c>
      <c r="AS4" s="206">
        <v>7</v>
      </c>
      <c r="AT4" s="206">
        <v>7</v>
      </c>
      <c r="AU4" s="205">
        <v>3</v>
      </c>
      <c r="AV4" s="205">
        <v>3.99</v>
      </c>
      <c r="AW4" s="210">
        <v>3</v>
      </c>
      <c r="AX4" s="210">
        <v>3.99</v>
      </c>
      <c r="AY4" s="205">
        <v>4</v>
      </c>
      <c r="AZ4" s="205">
        <v>4.99</v>
      </c>
      <c r="BA4" s="204"/>
      <c r="BB4" s="204"/>
      <c r="BC4" s="208">
        <v>41371</v>
      </c>
      <c r="BD4" s="3"/>
    </row>
    <row r="5" spans="1:56" x14ac:dyDescent="0.25">
      <c r="A5" s="143" t="s">
        <v>224</v>
      </c>
      <c r="B5" s="143"/>
      <c r="C5" s="143"/>
      <c r="D5" s="144"/>
      <c r="E5" s="143"/>
      <c r="F5" s="145"/>
      <c r="G5" s="146"/>
      <c r="H5" s="145"/>
      <c r="I5" s="145"/>
      <c r="J5" s="147" t="s">
        <v>225</v>
      </c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5"/>
      <c r="Y5" s="145"/>
      <c r="Z5" s="145"/>
      <c r="AA5" s="145"/>
      <c r="AB5" s="145"/>
      <c r="AC5" s="148" t="s">
        <v>226</v>
      </c>
      <c r="AD5" s="148"/>
      <c r="AE5" s="148"/>
      <c r="AF5" s="148"/>
      <c r="AG5" s="148"/>
      <c r="AH5" s="148"/>
      <c r="AI5" s="149"/>
      <c r="AK5" s="209" t="s">
        <v>227</v>
      </c>
      <c r="AL5" s="209">
        <v>19</v>
      </c>
      <c r="AM5" s="211">
        <v>1709</v>
      </c>
      <c r="AN5" s="229"/>
      <c r="AO5" s="204"/>
      <c r="AP5" s="204"/>
      <c r="AQ5" s="204"/>
      <c r="AR5" s="207">
        <v>2.99</v>
      </c>
      <c r="AS5" s="205">
        <v>6</v>
      </c>
      <c r="AT5" s="206">
        <v>6.1</v>
      </c>
      <c r="AU5" s="204"/>
      <c r="AV5" s="207">
        <v>2.99</v>
      </c>
      <c r="AW5" s="207">
        <v>2</v>
      </c>
      <c r="AX5" s="207">
        <v>3.99</v>
      </c>
      <c r="AY5" s="205">
        <v>3</v>
      </c>
      <c r="AZ5" s="205">
        <v>3.99</v>
      </c>
      <c r="BA5" s="205">
        <v>1</v>
      </c>
      <c r="BB5" s="205">
        <v>1.99</v>
      </c>
      <c r="BC5" s="208">
        <v>41391</v>
      </c>
      <c r="BD5" s="3"/>
    </row>
    <row r="6" spans="1:56" x14ac:dyDescent="0.25">
      <c r="A6" s="150" t="s">
        <v>183</v>
      </c>
      <c r="B6" s="150" t="s">
        <v>184</v>
      </c>
      <c r="C6" s="150" t="s">
        <v>113</v>
      </c>
      <c r="D6" s="151" t="s">
        <v>185</v>
      </c>
      <c r="E6" s="150" t="s">
        <v>186</v>
      </c>
      <c r="F6" s="151" t="str">
        <f>F2</f>
        <v>Promoción</v>
      </c>
      <c r="G6" s="152" t="str">
        <f>G2</f>
        <v>Gen</v>
      </c>
      <c r="H6" s="151" t="str">
        <f>H2</f>
        <v>u20</v>
      </c>
      <c r="I6" s="151" t="str">
        <f>I2</f>
        <v>Lid</v>
      </c>
      <c r="J6" s="150" t="s">
        <v>153</v>
      </c>
      <c r="K6" s="150" t="str">
        <f t="shared" ref="K6:Z6" si="0">K2</f>
        <v>Pot</v>
      </c>
      <c r="L6" s="153" t="str">
        <f t="shared" si="0"/>
        <v>DEF</v>
      </c>
      <c r="M6" s="153" t="str">
        <f t="shared" si="0"/>
        <v>Pot</v>
      </c>
      <c r="N6" s="150" t="str">
        <f t="shared" si="0"/>
        <v>JUG</v>
      </c>
      <c r="O6" s="150" t="str">
        <f t="shared" si="0"/>
        <v>Pot</v>
      </c>
      <c r="P6" s="153" t="str">
        <f t="shared" si="0"/>
        <v>LAT</v>
      </c>
      <c r="Q6" s="153" t="str">
        <f t="shared" si="0"/>
        <v>Pot</v>
      </c>
      <c r="R6" s="150" t="str">
        <f t="shared" si="0"/>
        <v>PAS</v>
      </c>
      <c r="S6" s="150" t="str">
        <f t="shared" si="0"/>
        <v>Pot</v>
      </c>
      <c r="T6" s="153" t="str">
        <f t="shared" si="0"/>
        <v>ANO</v>
      </c>
      <c r="U6" s="153" t="str">
        <f t="shared" si="0"/>
        <v>Pot</v>
      </c>
      <c r="V6" s="150" t="str">
        <f t="shared" si="0"/>
        <v>BP</v>
      </c>
      <c r="W6" s="150" t="str">
        <f t="shared" si="0"/>
        <v>Pot</v>
      </c>
      <c r="X6" s="154" t="str">
        <f t="shared" si="0"/>
        <v>HAB</v>
      </c>
      <c r="Y6" s="154" t="str">
        <f t="shared" si="0"/>
        <v>POT</v>
      </c>
      <c r="Z6" s="151" t="str">
        <f t="shared" si="0"/>
        <v>Cap</v>
      </c>
      <c r="AA6" s="151" t="s">
        <v>196</v>
      </c>
      <c r="AB6" s="151" t="str">
        <f t="shared" ref="AB6:AI6" si="1">AB2</f>
        <v>HTMS</v>
      </c>
      <c r="AC6" s="155" t="str">
        <f t="shared" si="1"/>
        <v>PR</v>
      </c>
      <c r="AD6" s="155" t="str">
        <f t="shared" si="1"/>
        <v>DL</v>
      </c>
      <c r="AE6" s="155" t="str">
        <f t="shared" si="1"/>
        <v>DC</v>
      </c>
      <c r="AF6" s="155" t="str">
        <f t="shared" si="1"/>
        <v>In</v>
      </c>
      <c r="AG6" s="155" t="str">
        <f t="shared" si="1"/>
        <v>ExO</v>
      </c>
      <c r="AH6" s="155" t="str">
        <f t="shared" si="1"/>
        <v>DV</v>
      </c>
      <c r="AI6" s="152" t="str">
        <f t="shared" si="1"/>
        <v>Atributs</v>
      </c>
      <c r="AK6" s="209" t="s">
        <v>228</v>
      </c>
      <c r="AL6" s="209">
        <v>17</v>
      </c>
      <c r="AM6" s="211">
        <v>1799</v>
      </c>
      <c r="AN6" s="229"/>
      <c r="AO6" s="212"/>
      <c r="AP6" s="213">
        <v>1.99</v>
      </c>
      <c r="AQ6" s="212"/>
      <c r="AR6" s="213">
        <v>2.99</v>
      </c>
      <c r="AS6" s="214">
        <v>4</v>
      </c>
      <c r="AT6" s="214">
        <v>4.99</v>
      </c>
      <c r="AU6" s="214">
        <v>5</v>
      </c>
      <c r="AV6" s="215">
        <v>5.99</v>
      </c>
      <c r="AW6" s="216">
        <v>3</v>
      </c>
      <c r="AX6" s="216">
        <v>3.99</v>
      </c>
      <c r="AY6" s="214">
        <v>3</v>
      </c>
      <c r="AZ6" s="214">
        <v>3.99</v>
      </c>
      <c r="BA6" s="212"/>
      <c r="BB6" s="212"/>
      <c r="BC6" s="232"/>
      <c r="BD6" s="3"/>
    </row>
    <row r="7" spans="1:56" x14ac:dyDescent="0.25">
      <c r="A7" s="161" t="s">
        <v>229</v>
      </c>
      <c r="B7" s="125">
        <v>16</v>
      </c>
      <c r="C7" s="126">
        <f ca="1">A33-2700+25</f>
        <v>590</v>
      </c>
      <c r="D7" s="127"/>
      <c r="E7" s="128">
        <f ca="1">F7-TODAY()</f>
        <v>-436</v>
      </c>
      <c r="F7" s="129">
        <v>43827</v>
      </c>
      <c r="G7" s="130"/>
      <c r="H7" s="130"/>
      <c r="I7" s="130" t="s">
        <v>219</v>
      </c>
      <c r="J7" s="125"/>
      <c r="K7" s="136">
        <v>1.99</v>
      </c>
      <c r="L7" s="125"/>
      <c r="M7" s="136">
        <v>2.99</v>
      </c>
      <c r="N7" s="158">
        <v>4</v>
      </c>
      <c r="O7" s="160">
        <v>6.99</v>
      </c>
      <c r="P7" s="125"/>
      <c r="Q7" s="136">
        <v>4.99</v>
      </c>
      <c r="R7" s="158">
        <v>2</v>
      </c>
      <c r="S7" s="136">
        <v>3.99</v>
      </c>
      <c r="T7" s="125"/>
      <c r="U7" s="136">
        <v>3.99</v>
      </c>
      <c r="V7" s="125"/>
      <c r="W7" s="136">
        <v>4.99</v>
      </c>
      <c r="X7" s="137">
        <f>7-(COUNTBLANK(J7)+COUNTBLANK(L7)+COUNTBLANK(N7)+COUNTBLANK(P7)+COUNTBLANK(R7)+COUNTBLANK(T7)+COUNTBLANK(V7))</f>
        <v>2</v>
      </c>
      <c r="Y7" s="130">
        <f>COUNT(W7,S7,U7,Q7,O7,M7,K7)</f>
        <v>7</v>
      </c>
      <c r="Z7" s="130"/>
      <c r="AA7" s="130"/>
      <c r="AB7" s="130"/>
      <c r="AC7" s="138"/>
      <c r="AD7" s="138"/>
      <c r="AE7" s="138"/>
      <c r="AF7" s="138"/>
      <c r="AG7" s="138"/>
      <c r="AH7" s="138"/>
      <c r="AI7" s="138" t="s">
        <v>230</v>
      </c>
      <c r="AK7" s="209" t="s">
        <v>231</v>
      </c>
      <c r="AL7" s="209">
        <v>17</v>
      </c>
      <c r="AM7" s="211">
        <v>1723</v>
      </c>
      <c r="AN7" s="229" t="s">
        <v>232</v>
      </c>
      <c r="AO7" s="212"/>
      <c r="AP7" s="212"/>
      <c r="AQ7" s="214">
        <v>2</v>
      </c>
      <c r="AR7" s="214">
        <v>2.99</v>
      </c>
      <c r="AS7" s="214">
        <v>5</v>
      </c>
      <c r="AT7" s="215">
        <v>5.99</v>
      </c>
      <c r="AU7" s="214">
        <v>5</v>
      </c>
      <c r="AV7" s="215">
        <v>5.99</v>
      </c>
      <c r="AW7" s="212"/>
      <c r="AX7" s="213">
        <v>2.99</v>
      </c>
      <c r="AY7" s="214">
        <v>5</v>
      </c>
      <c r="AZ7" s="215">
        <v>5.99</v>
      </c>
      <c r="BA7" s="212"/>
      <c r="BB7" s="213">
        <v>3.99</v>
      </c>
      <c r="BC7" s="232"/>
      <c r="BD7" s="3"/>
    </row>
    <row r="8" spans="1:56" x14ac:dyDescent="0.25">
      <c r="A8" s="124" t="s">
        <v>233</v>
      </c>
      <c r="B8" s="125">
        <v>16</v>
      </c>
      <c r="C8" s="126">
        <f ca="1">A32-43375-230-112</f>
        <v>546</v>
      </c>
      <c r="D8" s="127"/>
      <c r="E8" s="128">
        <f ca="1">F8-TODAY()</f>
        <v>-434</v>
      </c>
      <c r="F8" s="129">
        <v>43829</v>
      </c>
      <c r="G8" s="180" t="s">
        <v>217</v>
      </c>
      <c r="H8" s="130" t="s">
        <v>218</v>
      </c>
      <c r="I8" s="130" t="s">
        <v>219</v>
      </c>
      <c r="J8" s="125"/>
      <c r="K8" s="125"/>
      <c r="L8" s="125"/>
      <c r="M8" s="136">
        <v>2.99</v>
      </c>
      <c r="N8" s="125"/>
      <c r="O8" s="136">
        <v>2.99</v>
      </c>
      <c r="P8" s="158">
        <v>3</v>
      </c>
      <c r="Q8" s="160">
        <v>6.99</v>
      </c>
      <c r="R8" s="421">
        <v>5</v>
      </c>
      <c r="S8" s="357">
        <v>5.99</v>
      </c>
      <c r="T8" s="158">
        <v>3</v>
      </c>
      <c r="U8" s="159">
        <v>5.99</v>
      </c>
      <c r="V8" s="125"/>
      <c r="W8" s="125"/>
      <c r="X8" s="137">
        <f>7-(COUNTBLANK(J8)+COUNTBLANK(L8)+COUNTBLANK(N8)+COUNTBLANK(P8)+COUNTBLANK(R8)+COUNTBLANK(T8)+COUNTBLANK(V8))</f>
        <v>3</v>
      </c>
      <c r="Y8" s="130">
        <f>COUNT(W8,S8,U8,Q8,O8,M8,K8)</f>
        <v>5</v>
      </c>
      <c r="Z8" s="130"/>
      <c r="AA8" s="130"/>
      <c r="AB8" s="130"/>
      <c r="AC8" s="138"/>
      <c r="AD8" s="138"/>
      <c r="AE8" s="138"/>
      <c r="AF8" s="138"/>
      <c r="AG8" s="138"/>
      <c r="AH8" s="138">
        <v>6.5</v>
      </c>
      <c r="AI8" s="138" t="s">
        <v>220</v>
      </c>
      <c r="AK8" s="209" t="s">
        <v>234</v>
      </c>
      <c r="AL8" s="209">
        <v>17</v>
      </c>
      <c r="AM8" s="211">
        <v>1795</v>
      </c>
      <c r="AN8" s="229"/>
      <c r="AO8" s="212"/>
      <c r="AP8" s="212"/>
      <c r="AQ8" s="214">
        <v>4</v>
      </c>
      <c r="AR8" s="214">
        <v>4.99</v>
      </c>
      <c r="AS8" s="216">
        <v>6</v>
      </c>
      <c r="AT8" s="217">
        <v>6.99</v>
      </c>
      <c r="AU8" s="216">
        <v>3</v>
      </c>
      <c r="AV8" s="216">
        <v>3.99</v>
      </c>
      <c r="AW8" s="212"/>
      <c r="AX8" s="212"/>
      <c r="AY8" s="214">
        <v>2</v>
      </c>
      <c r="AZ8" s="214">
        <v>2.99</v>
      </c>
      <c r="BA8" s="212"/>
      <c r="BB8" s="218"/>
      <c r="BC8" s="232"/>
      <c r="BD8" s="3"/>
    </row>
    <row r="9" spans="1:56" x14ac:dyDescent="0.25">
      <c r="A9" s="163" t="s">
        <v>235</v>
      </c>
      <c r="B9" s="163"/>
      <c r="C9" s="163"/>
      <c r="D9" s="164"/>
      <c r="E9" s="163"/>
      <c r="F9" s="164"/>
      <c r="G9" s="165"/>
      <c r="H9" s="164"/>
      <c r="I9" s="164"/>
      <c r="J9" s="163"/>
      <c r="K9" s="163"/>
      <c r="L9" s="163"/>
      <c r="M9" s="163"/>
      <c r="N9" s="163"/>
      <c r="O9" s="163"/>
      <c r="P9" s="163"/>
      <c r="Q9" s="163"/>
      <c r="R9" s="163"/>
      <c r="S9" s="163"/>
      <c r="T9" s="163"/>
      <c r="U9" s="163"/>
      <c r="V9" s="163"/>
      <c r="W9" s="163"/>
      <c r="X9" s="164"/>
      <c r="Y9" s="164"/>
      <c r="Z9" s="164"/>
      <c r="AA9" s="164"/>
      <c r="AB9" s="164"/>
      <c r="AC9" s="166"/>
      <c r="AD9" s="166"/>
      <c r="AE9" s="166"/>
      <c r="AF9" s="166"/>
      <c r="AG9" s="166"/>
      <c r="AH9" s="166"/>
      <c r="AI9" s="165"/>
      <c r="AK9" s="209" t="s">
        <v>236</v>
      </c>
      <c r="AL9" s="209">
        <v>17</v>
      </c>
      <c r="AM9" s="211">
        <v>1729</v>
      </c>
      <c r="AN9" s="229" t="s">
        <v>190</v>
      </c>
      <c r="AO9" s="212"/>
      <c r="AP9" s="212"/>
      <c r="AQ9" s="214">
        <v>6</v>
      </c>
      <c r="AR9" s="215">
        <v>6.99</v>
      </c>
      <c r="AS9" s="214">
        <v>5</v>
      </c>
      <c r="AT9" s="215">
        <v>5.99</v>
      </c>
      <c r="AU9" s="214">
        <v>3</v>
      </c>
      <c r="AV9" s="214">
        <v>3.99</v>
      </c>
      <c r="AW9" s="212"/>
      <c r="AX9" s="213">
        <v>2.99</v>
      </c>
      <c r="AY9" s="212"/>
      <c r="AZ9" s="213">
        <v>2.99</v>
      </c>
      <c r="BA9" s="212"/>
      <c r="BB9" s="213">
        <v>3.99</v>
      </c>
      <c r="BC9" s="232"/>
      <c r="BD9" s="3"/>
    </row>
    <row r="10" spans="1:56" x14ac:dyDescent="0.25">
      <c r="A10" s="167" t="s">
        <v>224</v>
      </c>
      <c r="B10" s="167"/>
      <c r="C10" s="167"/>
      <c r="D10" s="168"/>
      <c r="E10" s="167"/>
      <c r="F10" s="169"/>
      <c r="G10" s="170"/>
      <c r="H10" s="169"/>
      <c r="I10" s="169"/>
      <c r="J10" s="171" t="s">
        <v>225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69"/>
      <c r="Y10" s="169"/>
      <c r="Z10" s="169"/>
      <c r="AA10" s="169"/>
      <c r="AB10" s="169"/>
      <c r="AC10" s="172" t="s">
        <v>226</v>
      </c>
      <c r="AD10" s="172"/>
      <c r="AE10" s="172"/>
      <c r="AF10" s="172"/>
      <c r="AG10" s="172"/>
      <c r="AH10" s="172"/>
      <c r="AI10" s="173"/>
      <c r="AK10" s="209" t="s">
        <v>237</v>
      </c>
      <c r="AL10" s="209">
        <v>17</v>
      </c>
      <c r="AM10" s="211">
        <v>1764</v>
      </c>
      <c r="AN10" s="229" t="s">
        <v>238</v>
      </c>
      <c r="AO10" s="212"/>
      <c r="AP10" s="212"/>
      <c r="AQ10" s="214">
        <v>3</v>
      </c>
      <c r="AR10" s="214">
        <v>3.99</v>
      </c>
      <c r="AS10" s="216">
        <v>5</v>
      </c>
      <c r="AT10" s="217">
        <v>5.99</v>
      </c>
      <c r="AU10" s="214">
        <v>2</v>
      </c>
      <c r="AV10" s="214">
        <v>2.99</v>
      </c>
      <c r="AW10" s="212"/>
      <c r="AX10" s="213">
        <v>3.99</v>
      </c>
      <c r="AY10" s="216">
        <v>4</v>
      </c>
      <c r="AZ10" s="216">
        <v>4.99</v>
      </c>
      <c r="BA10" s="212"/>
      <c r="BB10" s="212"/>
      <c r="BC10" s="221"/>
      <c r="BD10" s="3"/>
    </row>
    <row r="11" spans="1:56" x14ac:dyDescent="0.25">
      <c r="A11" s="174" t="s">
        <v>183</v>
      </c>
      <c r="B11" s="174" t="s">
        <v>184</v>
      </c>
      <c r="C11" s="174" t="s">
        <v>113</v>
      </c>
      <c r="D11" s="175" t="s">
        <v>185</v>
      </c>
      <c r="E11" s="174" t="s">
        <v>186</v>
      </c>
      <c r="F11" s="175" t="str">
        <f>F6</f>
        <v>Promoción</v>
      </c>
      <c r="G11" s="176" t="str">
        <f>G6</f>
        <v>Gen</v>
      </c>
      <c r="H11" s="175" t="str">
        <f>H6</f>
        <v>u20</v>
      </c>
      <c r="I11" s="175" t="str">
        <f>I6</f>
        <v>Lid</v>
      </c>
      <c r="J11" s="174" t="s">
        <v>153</v>
      </c>
      <c r="K11" s="174" t="str">
        <f t="shared" ref="K11:Z11" si="2">K6</f>
        <v>Pot</v>
      </c>
      <c r="L11" s="177" t="str">
        <f t="shared" si="2"/>
        <v>DEF</v>
      </c>
      <c r="M11" s="177" t="str">
        <f t="shared" si="2"/>
        <v>Pot</v>
      </c>
      <c r="N11" s="174" t="str">
        <f t="shared" si="2"/>
        <v>JUG</v>
      </c>
      <c r="O11" s="174" t="str">
        <f t="shared" si="2"/>
        <v>Pot</v>
      </c>
      <c r="P11" s="177" t="str">
        <f t="shared" si="2"/>
        <v>LAT</v>
      </c>
      <c r="Q11" s="177" t="str">
        <f t="shared" si="2"/>
        <v>Pot</v>
      </c>
      <c r="R11" s="174" t="str">
        <f t="shared" si="2"/>
        <v>PAS</v>
      </c>
      <c r="S11" s="174" t="str">
        <f t="shared" si="2"/>
        <v>Pot</v>
      </c>
      <c r="T11" s="177" t="str">
        <f t="shared" si="2"/>
        <v>ANO</v>
      </c>
      <c r="U11" s="177" t="str">
        <f t="shared" si="2"/>
        <v>Pot</v>
      </c>
      <c r="V11" s="174" t="str">
        <f t="shared" si="2"/>
        <v>BP</v>
      </c>
      <c r="W11" s="174" t="str">
        <f t="shared" si="2"/>
        <v>Pot</v>
      </c>
      <c r="X11" s="178" t="str">
        <f t="shared" si="2"/>
        <v>HAB</v>
      </c>
      <c r="Y11" s="178" t="str">
        <f t="shared" si="2"/>
        <v>POT</v>
      </c>
      <c r="Z11" s="175" t="str">
        <f t="shared" si="2"/>
        <v>Cap</v>
      </c>
      <c r="AA11" s="175" t="s">
        <v>196</v>
      </c>
      <c r="AB11" s="175" t="str">
        <f t="shared" ref="AB11:AI11" si="3">AB6</f>
        <v>HTMS</v>
      </c>
      <c r="AC11" s="179" t="str">
        <f t="shared" si="3"/>
        <v>PR</v>
      </c>
      <c r="AD11" s="179" t="str">
        <f t="shared" si="3"/>
        <v>DL</v>
      </c>
      <c r="AE11" s="179" t="str">
        <f t="shared" si="3"/>
        <v>DC</v>
      </c>
      <c r="AF11" s="179" t="str">
        <f t="shared" si="3"/>
        <v>In</v>
      </c>
      <c r="AG11" s="179" t="str">
        <f t="shared" si="3"/>
        <v>ExO</v>
      </c>
      <c r="AH11" s="179" t="str">
        <f t="shared" si="3"/>
        <v>DV</v>
      </c>
      <c r="AI11" s="176" t="str">
        <f t="shared" si="3"/>
        <v>Atributs</v>
      </c>
      <c r="AK11" s="209" t="s">
        <v>239</v>
      </c>
      <c r="AL11" s="209">
        <v>17</v>
      </c>
      <c r="AM11" s="211">
        <v>1789</v>
      </c>
      <c r="AN11" s="229" t="s">
        <v>240</v>
      </c>
      <c r="AO11" s="212"/>
      <c r="AP11" s="213">
        <v>1.99</v>
      </c>
      <c r="AQ11" s="212"/>
      <c r="AR11" s="213">
        <v>3.99</v>
      </c>
      <c r="AS11" s="216">
        <v>5</v>
      </c>
      <c r="AT11" s="217">
        <v>5.99</v>
      </c>
      <c r="AU11" s="214">
        <v>4</v>
      </c>
      <c r="AV11" s="214">
        <v>4.99</v>
      </c>
      <c r="AW11" s="212"/>
      <c r="AX11" s="213">
        <v>3.99</v>
      </c>
      <c r="AY11" s="212"/>
      <c r="AZ11" s="213">
        <v>2.99</v>
      </c>
      <c r="BA11" s="212"/>
      <c r="BB11" s="213">
        <v>3.99</v>
      </c>
      <c r="BC11" s="232"/>
      <c r="BD11" s="3"/>
    </row>
    <row r="12" spans="1:56" x14ac:dyDescent="0.25">
      <c r="A12" s="124" t="s">
        <v>241</v>
      </c>
      <c r="B12" s="125">
        <v>16</v>
      </c>
      <c r="C12" s="126">
        <f ca="1">86+A33-2516-112-112</f>
        <v>611</v>
      </c>
      <c r="D12" s="127" t="s">
        <v>163</v>
      </c>
      <c r="E12" s="128">
        <f t="shared" ref="E12:E17" ca="1" si="4">F12-TODAY()</f>
        <v>-499</v>
      </c>
      <c r="F12" s="129">
        <v>43764</v>
      </c>
      <c r="G12" s="162" t="s">
        <v>242</v>
      </c>
      <c r="H12" s="131" t="s">
        <v>243</v>
      </c>
      <c r="I12" s="130" t="s">
        <v>219</v>
      </c>
      <c r="J12" s="130"/>
      <c r="K12" s="136">
        <v>0.99</v>
      </c>
      <c r="L12" s="130"/>
      <c r="M12" s="136">
        <v>3.99</v>
      </c>
      <c r="N12" s="158">
        <v>5</v>
      </c>
      <c r="O12" s="160">
        <v>6.99</v>
      </c>
      <c r="P12" s="132">
        <v>4</v>
      </c>
      <c r="Q12" s="133">
        <v>4.99</v>
      </c>
      <c r="R12" s="134">
        <v>2</v>
      </c>
      <c r="S12" s="135">
        <v>2.99</v>
      </c>
      <c r="T12" s="134">
        <v>2</v>
      </c>
      <c r="U12" s="135">
        <v>2.99</v>
      </c>
      <c r="V12" s="130"/>
      <c r="W12" s="160">
        <v>6.99</v>
      </c>
      <c r="X12" s="137">
        <f t="shared" ref="X12:X17" si="5">7-(COUNTBLANK(J12)+COUNTBLANK(L12)+COUNTBLANK(N12)+COUNTBLANK(P12)+COUNTBLANK(R12)+COUNTBLANK(T12)+COUNTBLANK(V12))</f>
        <v>4</v>
      </c>
      <c r="Y12" s="130">
        <f t="shared" ref="Y12:Y17" si="6">COUNT(W12,S12,U12,Q12,O12,M12,K12)</f>
        <v>7</v>
      </c>
      <c r="Z12" s="130"/>
      <c r="AA12" s="130"/>
      <c r="AB12" s="130"/>
      <c r="AC12" s="138"/>
      <c r="AD12" s="138"/>
      <c r="AE12" s="138"/>
      <c r="AF12" s="138">
        <v>4.5</v>
      </c>
      <c r="AG12" s="138">
        <v>4</v>
      </c>
      <c r="AH12" s="138">
        <v>3.5</v>
      </c>
      <c r="AI12" s="138" t="s">
        <v>220</v>
      </c>
      <c r="AK12" s="209" t="s">
        <v>244</v>
      </c>
      <c r="AL12" s="209">
        <v>17</v>
      </c>
      <c r="AM12" s="211">
        <v>0</v>
      </c>
      <c r="AN12" s="229" t="s">
        <v>240</v>
      </c>
      <c r="AO12" s="204"/>
      <c r="AP12" s="207">
        <v>1.99</v>
      </c>
      <c r="AQ12" s="204"/>
      <c r="AR12" s="207">
        <v>2.99</v>
      </c>
      <c r="AS12" s="205">
        <v>4</v>
      </c>
      <c r="AT12" s="205">
        <v>4.99</v>
      </c>
      <c r="AU12" s="210">
        <v>5</v>
      </c>
      <c r="AV12" s="231">
        <v>5.99</v>
      </c>
      <c r="AW12" s="204"/>
      <c r="AX12" s="207">
        <v>1.99</v>
      </c>
      <c r="AY12" s="210">
        <v>5</v>
      </c>
      <c r="AZ12" s="231">
        <v>5.99</v>
      </c>
      <c r="BA12" s="204"/>
      <c r="BB12" s="204"/>
      <c r="BC12" s="208">
        <v>41412</v>
      </c>
      <c r="BD12" s="3"/>
    </row>
    <row r="13" spans="1:56" x14ac:dyDescent="0.25">
      <c r="A13" s="124" t="s">
        <v>245</v>
      </c>
      <c r="B13" s="125">
        <v>16</v>
      </c>
      <c r="C13" s="126">
        <f ca="1">A32-43400+6-112-110-112</f>
        <v>535</v>
      </c>
      <c r="D13" s="127" t="s">
        <v>163</v>
      </c>
      <c r="E13" s="128">
        <f t="shared" ca="1" si="4"/>
        <v>-423</v>
      </c>
      <c r="F13" s="129">
        <v>43840</v>
      </c>
      <c r="G13" s="162" t="s">
        <v>242</v>
      </c>
      <c r="H13" s="157" t="s">
        <v>218</v>
      </c>
      <c r="I13" s="130" t="s">
        <v>219</v>
      </c>
      <c r="J13" s="125"/>
      <c r="K13" s="136">
        <v>1.99</v>
      </c>
      <c r="L13" s="125"/>
      <c r="M13" s="136">
        <v>4.99</v>
      </c>
      <c r="N13" s="132">
        <v>3</v>
      </c>
      <c r="O13" s="133">
        <v>3.99</v>
      </c>
      <c r="P13" s="158">
        <v>3</v>
      </c>
      <c r="Q13" s="159">
        <v>5.99</v>
      </c>
      <c r="R13" s="134">
        <v>3</v>
      </c>
      <c r="S13" s="135">
        <v>3.99</v>
      </c>
      <c r="T13" s="125"/>
      <c r="U13" s="136">
        <v>3.99</v>
      </c>
      <c r="V13" s="125"/>
      <c r="W13" s="125"/>
      <c r="X13" s="137">
        <f t="shared" si="5"/>
        <v>3</v>
      </c>
      <c r="Y13" s="130">
        <f t="shared" si="6"/>
        <v>6</v>
      </c>
      <c r="Z13" s="130"/>
      <c r="AA13" s="130"/>
      <c r="AB13" s="130"/>
      <c r="AC13" s="138"/>
      <c r="AD13" s="138"/>
      <c r="AE13" s="138"/>
      <c r="AF13" s="138"/>
      <c r="AG13" s="138">
        <v>5</v>
      </c>
      <c r="AH13" s="138">
        <v>5.5</v>
      </c>
      <c r="AI13" s="138" t="s">
        <v>220</v>
      </c>
      <c r="AK13" s="209" t="s">
        <v>246</v>
      </c>
      <c r="AL13" s="209">
        <v>18</v>
      </c>
      <c r="AM13" s="211">
        <v>1781</v>
      </c>
      <c r="AN13" s="229"/>
      <c r="AO13" s="212"/>
      <c r="AP13" s="212"/>
      <c r="AQ13" s="216">
        <v>6</v>
      </c>
      <c r="AR13" s="217">
        <v>6.99</v>
      </c>
      <c r="AS13" s="214">
        <v>3</v>
      </c>
      <c r="AT13" s="214">
        <v>3.99</v>
      </c>
      <c r="AU13" s="216">
        <v>5</v>
      </c>
      <c r="AV13" s="217">
        <v>5.99</v>
      </c>
      <c r="AW13" s="213">
        <v>4</v>
      </c>
      <c r="AX13" s="219">
        <v>5.99</v>
      </c>
      <c r="AY13" s="212"/>
      <c r="AZ13" s="213">
        <v>3.99</v>
      </c>
      <c r="BA13" s="212"/>
      <c r="BB13" s="212"/>
      <c r="BC13" s="232"/>
      <c r="BD13" s="3"/>
    </row>
    <row r="14" spans="1:56" x14ac:dyDescent="0.25">
      <c r="A14" s="161" t="s">
        <v>247</v>
      </c>
      <c r="B14" s="125">
        <v>15</v>
      </c>
      <c r="C14" s="126">
        <f ca="1">-2679+A33</f>
        <v>586</v>
      </c>
      <c r="D14" s="127"/>
      <c r="E14" s="128">
        <f t="shared" ca="1" si="4"/>
        <v>-362</v>
      </c>
      <c r="F14" s="129">
        <v>43901</v>
      </c>
      <c r="G14" s="162" t="s">
        <v>242</v>
      </c>
      <c r="H14" s="131" t="s">
        <v>248</v>
      </c>
      <c r="I14" s="130" t="s">
        <v>219</v>
      </c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32">
        <v>3</v>
      </c>
      <c r="U14" s="133">
        <v>3.99</v>
      </c>
      <c r="V14" s="125"/>
      <c r="W14" s="160">
        <v>6.99</v>
      </c>
      <c r="X14" s="137">
        <f t="shared" si="5"/>
        <v>1</v>
      </c>
      <c r="Y14" s="130">
        <f t="shared" si="6"/>
        <v>2</v>
      </c>
      <c r="Z14" s="130"/>
      <c r="AA14" s="130"/>
      <c r="AB14" s="130"/>
      <c r="AC14" s="138"/>
      <c r="AD14" s="138"/>
      <c r="AE14" s="138"/>
      <c r="AF14" s="138"/>
      <c r="AG14" s="138"/>
      <c r="AH14" s="138"/>
      <c r="AI14" s="138"/>
      <c r="AK14" s="209" t="s">
        <v>249</v>
      </c>
      <c r="AL14" s="209">
        <v>16</v>
      </c>
      <c r="AM14" s="211">
        <v>1807</v>
      </c>
      <c r="AN14" s="229" t="s">
        <v>240</v>
      </c>
      <c r="AO14" s="212"/>
      <c r="AP14" s="212"/>
      <c r="AQ14" s="220">
        <v>3</v>
      </c>
      <c r="AR14" s="214">
        <v>3.99</v>
      </c>
      <c r="AS14" s="216">
        <v>5</v>
      </c>
      <c r="AT14" s="217">
        <v>5.99</v>
      </c>
      <c r="AU14" s="214">
        <v>7</v>
      </c>
      <c r="AV14" s="215">
        <v>7</v>
      </c>
      <c r="AW14" s="212"/>
      <c r="AX14" s="213">
        <v>1.99</v>
      </c>
      <c r="AY14" s="216">
        <v>3</v>
      </c>
      <c r="AZ14" s="216">
        <v>3.99</v>
      </c>
      <c r="BA14" s="212"/>
      <c r="BB14" s="212"/>
      <c r="BC14" s="221"/>
      <c r="BD14" s="3"/>
    </row>
    <row r="15" spans="1:56" x14ac:dyDescent="0.25">
      <c r="A15" s="124" t="s">
        <v>250</v>
      </c>
      <c r="B15" s="125">
        <v>17</v>
      </c>
      <c r="C15" s="126">
        <f ca="1">A33-2100-6-93-112+2-62-112-112-112</f>
        <v>558</v>
      </c>
      <c r="D15" s="127" t="s">
        <v>175</v>
      </c>
      <c r="E15" s="128">
        <f t="shared" ca="1" si="4"/>
        <v>-558</v>
      </c>
      <c r="F15" s="129">
        <v>43705</v>
      </c>
      <c r="G15" s="180"/>
      <c r="H15" s="131" t="s">
        <v>251</v>
      </c>
      <c r="I15" s="130" t="s">
        <v>219</v>
      </c>
      <c r="J15" s="125"/>
      <c r="K15" s="125"/>
      <c r="L15" s="134">
        <v>3</v>
      </c>
      <c r="M15" s="135">
        <v>3.99</v>
      </c>
      <c r="N15" s="132">
        <v>4</v>
      </c>
      <c r="O15" s="133">
        <v>4.99</v>
      </c>
      <c r="P15" s="125"/>
      <c r="Q15" s="159">
        <v>5.99</v>
      </c>
      <c r="R15" s="134">
        <v>4</v>
      </c>
      <c r="S15" s="135">
        <v>4.99</v>
      </c>
      <c r="T15" s="125"/>
      <c r="U15" s="136">
        <v>3.99</v>
      </c>
      <c r="V15" s="125"/>
      <c r="W15" s="136">
        <v>3.99</v>
      </c>
      <c r="X15" s="137">
        <f t="shared" si="5"/>
        <v>3</v>
      </c>
      <c r="Y15" s="130">
        <f t="shared" si="6"/>
        <v>6</v>
      </c>
      <c r="Z15" s="130"/>
      <c r="AA15" s="130"/>
      <c r="AB15" s="130"/>
      <c r="AC15" s="138"/>
      <c r="AD15" s="138"/>
      <c r="AE15" s="138"/>
      <c r="AF15" s="138"/>
      <c r="AG15" s="138"/>
      <c r="AH15" s="138"/>
      <c r="AI15" s="138" t="s">
        <v>230</v>
      </c>
      <c r="AK15" s="209" t="s">
        <v>252</v>
      </c>
      <c r="AL15" s="209">
        <v>18</v>
      </c>
      <c r="AM15" s="211">
        <v>1778</v>
      </c>
      <c r="AN15" s="229" t="s">
        <v>190</v>
      </c>
      <c r="AO15" s="212"/>
      <c r="AP15" s="213">
        <v>1.99</v>
      </c>
      <c r="AQ15" s="214">
        <v>2</v>
      </c>
      <c r="AR15" s="214">
        <v>2.99</v>
      </c>
      <c r="AS15" s="214">
        <v>1</v>
      </c>
      <c r="AT15" s="214">
        <v>1.99</v>
      </c>
      <c r="AU15" s="212"/>
      <c r="AV15" s="213">
        <v>1.99</v>
      </c>
      <c r="AW15" s="212"/>
      <c r="AX15" s="219">
        <v>5.99</v>
      </c>
      <c r="AY15" s="214">
        <v>4</v>
      </c>
      <c r="AZ15" s="214">
        <v>4.99</v>
      </c>
      <c r="BA15" s="214">
        <v>5</v>
      </c>
      <c r="BB15" s="215">
        <v>5.99</v>
      </c>
      <c r="BC15" s="232"/>
      <c r="BD15" s="3"/>
    </row>
    <row r="16" spans="1:56" x14ac:dyDescent="0.25">
      <c r="A16" s="161" t="s">
        <v>253</v>
      </c>
      <c r="B16" s="125">
        <v>17</v>
      </c>
      <c r="C16" s="126">
        <f ca="1">A33-2100-5-93-112+6-36-112-112-12-112</f>
        <v>577</v>
      </c>
      <c r="D16" s="127"/>
      <c r="E16" s="128">
        <f t="shared" ca="1" si="4"/>
        <v>-577</v>
      </c>
      <c r="F16" s="129">
        <v>43686</v>
      </c>
      <c r="G16" s="130"/>
      <c r="H16" s="131" t="s">
        <v>248</v>
      </c>
      <c r="I16" s="130" t="s">
        <v>219</v>
      </c>
      <c r="J16" s="125"/>
      <c r="K16" s="125"/>
      <c r="L16" s="134">
        <v>4</v>
      </c>
      <c r="M16" s="135">
        <v>4.99</v>
      </c>
      <c r="N16" s="132">
        <v>2</v>
      </c>
      <c r="O16" s="133">
        <v>2.99</v>
      </c>
      <c r="P16" s="125"/>
      <c r="Q16" s="136">
        <v>3.99</v>
      </c>
      <c r="R16" s="125"/>
      <c r="S16" s="136">
        <v>2.99</v>
      </c>
      <c r="T16" s="125"/>
      <c r="U16" s="159">
        <v>5.99</v>
      </c>
      <c r="V16" s="125"/>
      <c r="W16" s="125"/>
      <c r="X16" s="137">
        <f t="shared" si="5"/>
        <v>2</v>
      </c>
      <c r="Y16" s="130">
        <f t="shared" si="6"/>
        <v>5</v>
      </c>
      <c r="Z16" s="130"/>
      <c r="AA16" s="130"/>
      <c r="AB16" s="130"/>
      <c r="AC16" s="138"/>
      <c r="AD16" s="138"/>
      <c r="AE16" s="138"/>
      <c r="AF16" s="138">
        <v>3.5</v>
      </c>
      <c r="AG16" s="138"/>
      <c r="AH16" s="138"/>
      <c r="AI16" s="138" t="s">
        <v>230</v>
      </c>
      <c r="AK16" s="209" t="s">
        <v>254</v>
      </c>
      <c r="AL16" s="209">
        <v>17</v>
      </c>
      <c r="AM16" s="211">
        <v>1683</v>
      </c>
      <c r="AN16" s="229"/>
      <c r="AO16" s="212"/>
      <c r="AP16" s="212"/>
      <c r="AQ16" s="216">
        <v>6</v>
      </c>
      <c r="AR16" s="217">
        <v>6.99</v>
      </c>
      <c r="AS16" s="214">
        <v>1</v>
      </c>
      <c r="AT16" s="214">
        <v>1.99</v>
      </c>
      <c r="AU16" s="214">
        <v>2</v>
      </c>
      <c r="AV16" s="214">
        <v>2.99</v>
      </c>
      <c r="AW16" s="213">
        <v>3</v>
      </c>
      <c r="AX16" s="213">
        <v>4.99</v>
      </c>
      <c r="AY16" s="212"/>
      <c r="AZ16" s="213">
        <v>2.99</v>
      </c>
      <c r="BA16" s="214">
        <v>4</v>
      </c>
      <c r="BB16" s="214">
        <v>4.99</v>
      </c>
      <c r="BC16" s="232"/>
      <c r="BD16" s="3"/>
    </row>
    <row r="17" spans="1:56" x14ac:dyDescent="0.25">
      <c r="A17" s="161" t="s">
        <v>255</v>
      </c>
      <c r="B17" s="125">
        <v>17</v>
      </c>
      <c r="C17" s="126">
        <f ca="1">A33-2100-6-116+4-112-112-6-112-112</f>
        <v>593</v>
      </c>
      <c r="D17" s="127"/>
      <c r="E17" s="128">
        <f t="shared" ca="1" si="4"/>
        <v>-593</v>
      </c>
      <c r="F17" s="129">
        <v>43670</v>
      </c>
      <c r="G17" s="162" t="s">
        <v>242</v>
      </c>
      <c r="H17" s="131" t="s">
        <v>248</v>
      </c>
      <c r="I17" s="130" t="s">
        <v>219</v>
      </c>
      <c r="J17" s="125"/>
      <c r="K17" s="136">
        <v>1.99</v>
      </c>
      <c r="L17" s="125"/>
      <c r="M17" s="136">
        <v>2.99</v>
      </c>
      <c r="N17" s="132">
        <v>4</v>
      </c>
      <c r="O17" s="133">
        <v>4.99</v>
      </c>
      <c r="P17" s="125"/>
      <c r="Q17" s="136">
        <v>4.99</v>
      </c>
      <c r="R17" s="158">
        <v>4</v>
      </c>
      <c r="S17" s="159">
        <v>5.99</v>
      </c>
      <c r="T17" s="134">
        <v>2</v>
      </c>
      <c r="U17" s="135">
        <v>2.99</v>
      </c>
      <c r="V17" s="125"/>
      <c r="W17" s="160">
        <v>6.99</v>
      </c>
      <c r="X17" s="137">
        <f t="shared" si="5"/>
        <v>3</v>
      </c>
      <c r="Y17" s="130">
        <f t="shared" si="6"/>
        <v>7</v>
      </c>
      <c r="Z17" s="130"/>
      <c r="AA17" s="130">
        <v>11</v>
      </c>
      <c r="AB17" s="130"/>
      <c r="AC17" s="138"/>
      <c r="AD17" s="138"/>
      <c r="AE17" s="138"/>
      <c r="AF17" s="138">
        <v>4.5</v>
      </c>
      <c r="AG17" s="138">
        <v>4.5</v>
      </c>
      <c r="AH17" s="138"/>
      <c r="AI17" s="138" t="s">
        <v>230</v>
      </c>
      <c r="AK17" s="209" t="s">
        <v>256</v>
      </c>
      <c r="AL17" s="209">
        <v>16</v>
      </c>
      <c r="AM17" s="211">
        <v>1772</v>
      </c>
      <c r="AN17" s="229"/>
      <c r="AO17" s="212"/>
      <c r="AP17" s="213">
        <v>1.99</v>
      </c>
      <c r="AQ17" s="220">
        <v>3</v>
      </c>
      <c r="AR17" s="214">
        <v>3.99</v>
      </c>
      <c r="AS17" s="216">
        <v>4</v>
      </c>
      <c r="AT17" s="216">
        <v>4.99</v>
      </c>
      <c r="AU17" s="214">
        <v>5</v>
      </c>
      <c r="AV17" s="215">
        <v>5.99</v>
      </c>
      <c r="AW17" s="212"/>
      <c r="AX17" s="213">
        <v>4.99</v>
      </c>
      <c r="AY17" s="214">
        <v>2</v>
      </c>
      <c r="AZ17" s="214">
        <v>2.99</v>
      </c>
      <c r="BA17" s="214">
        <v>4</v>
      </c>
      <c r="BB17" s="214">
        <v>4.99</v>
      </c>
      <c r="BC17" s="232"/>
      <c r="BD17" s="3"/>
    </row>
    <row r="18" spans="1:56" x14ac:dyDescent="0.25">
      <c r="A18" s="181" t="s">
        <v>224</v>
      </c>
      <c r="B18" s="181"/>
      <c r="C18" s="181"/>
      <c r="D18" s="182"/>
      <c r="E18" s="181"/>
      <c r="F18" s="183"/>
      <c r="G18" s="184"/>
      <c r="H18" s="183"/>
      <c r="I18" s="183"/>
      <c r="J18" s="185" t="s">
        <v>225</v>
      </c>
      <c r="K18" s="185"/>
      <c r="L18" s="185"/>
      <c r="M18" s="185"/>
      <c r="N18" s="185"/>
      <c r="O18" s="185"/>
      <c r="P18" s="185"/>
      <c r="Q18" s="185"/>
      <c r="R18" s="185"/>
      <c r="S18" s="185"/>
      <c r="T18" s="185"/>
      <c r="U18" s="185"/>
      <c r="V18" s="185"/>
      <c r="W18" s="185"/>
      <c r="X18" s="183"/>
      <c r="Y18" s="183"/>
      <c r="Z18" s="183"/>
      <c r="AA18" s="183"/>
      <c r="AB18" s="183"/>
      <c r="AC18" s="186" t="s">
        <v>226</v>
      </c>
      <c r="AD18" s="186"/>
      <c r="AE18" s="186"/>
      <c r="AF18" s="186"/>
      <c r="AG18" s="186"/>
      <c r="AH18" s="186"/>
      <c r="AI18" s="187"/>
      <c r="AK18" s="209" t="s">
        <v>257</v>
      </c>
      <c r="AL18" s="209">
        <v>17</v>
      </c>
      <c r="AM18" s="211">
        <v>1733</v>
      </c>
      <c r="AN18" s="229" t="s">
        <v>258</v>
      </c>
      <c r="AO18" s="212"/>
      <c r="AP18" s="213">
        <v>1.99</v>
      </c>
      <c r="AQ18" s="216">
        <v>4</v>
      </c>
      <c r="AR18" s="216">
        <v>4.99</v>
      </c>
      <c r="AS18" s="216">
        <v>3</v>
      </c>
      <c r="AT18" s="216">
        <v>3.99</v>
      </c>
      <c r="AU18" s="216">
        <v>6</v>
      </c>
      <c r="AV18" s="217">
        <v>6.99</v>
      </c>
      <c r="AW18" s="212"/>
      <c r="AX18" s="213">
        <v>4.99</v>
      </c>
      <c r="AY18" s="212"/>
      <c r="AZ18" s="213">
        <v>2.99</v>
      </c>
      <c r="BA18" s="212"/>
      <c r="BB18" s="213">
        <v>4.99</v>
      </c>
      <c r="BC18" s="232"/>
      <c r="BD18" s="3"/>
    </row>
    <row r="19" spans="1:56" x14ac:dyDescent="0.25">
      <c r="A19" s="188" t="s">
        <v>183</v>
      </c>
      <c r="B19" s="188" t="s">
        <v>184</v>
      </c>
      <c r="C19" s="188" t="s">
        <v>113</v>
      </c>
      <c r="D19" s="189" t="s">
        <v>185</v>
      </c>
      <c r="E19" s="188" t="s">
        <v>186</v>
      </c>
      <c r="F19" s="189" t="str">
        <f>F11</f>
        <v>Promoción</v>
      </c>
      <c r="G19" s="190" t="str">
        <f>G11</f>
        <v>Gen</v>
      </c>
      <c r="H19" s="189" t="str">
        <f>H11</f>
        <v>u20</v>
      </c>
      <c r="I19" s="189" t="str">
        <f>I11</f>
        <v>Lid</v>
      </c>
      <c r="J19" s="188" t="s">
        <v>153</v>
      </c>
      <c r="K19" s="188" t="str">
        <f t="shared" ref="K19:Z19" si="7">K11</f>
        <v>Pot</v>
      </c>
      <c r="L19" s="191" t="str">
        <f t="shared" si="7"/>
        <v>DEF</v>
      </c>
      <c r="M19" s="191" t="str">
        <f t="shared" si="7"/>
        <v>Pot</v>
      </c>
      <c r="N19" s="188" t="str">
        <f t="shared" si="7"/>
        <v>JUG</v>
      </c>
      <c r="O19" s="188" t="str">
        <f t="shared" si="7"/>
        <v>Pot</v>
      </c>
      <c r="P19" s="191" t="str">
        <f t="shared" si="7"/>
        <v>LAT</v>
      </c>
      <c r="Q19" s="191" t="str">
        <f t="shared" si="7"/>
        <v>Pot</v>
      </c>
      <c r="R19" s="188" t="str">
        <f t="shared" si="7"/>
        <v>PAS</v>
      </c>
      <c r="S19" s="188" t="str">
        <f t="shared" si="7"/>
        <v>Pot</v>
      </c>
      <c r="T19" s="191" t="str">
        <f t="shared" si="7"/>
        <v>ANO</v>
      </c>
      <c r="U19" s="191" t="str">
        <f t="shared" si="7"/>
        <v>Pot</v>
      </c>
      <c r="V19" s="188" t="str">
        <f t="shared" si="7"/>
        <v>BP</v>
      </c>
      <c r="W19" s="188" t="str">
        <f t="shared" si="7"/>
        <v>Pot</v>
      </c>
      <c r="X19" s="192" t="str">
        <f t="shared" si="7"/>
        <v>HAB</v>
      </c>
      <c r="Y19" s="192" t="str">
        <f t="shared" si="7"/>
        <v>POT</v>
      </c>
      <c r="Z19" s="189" t="str">
        <f t="shared" si="7"/>
        <v>Cap</v>
      </c>
      <c r="AA19" s="189" t="s">
        <v>196</v>
      </c>
      <c r="AB19" s="189" t="str">
        <f t="shared" ref="AB19:AI19" si="8">AB11</f>
        <v>HTMS</v>
      </c>
      <c r="AC19" s="193" t="str">
        <f t="shared" si="8"/>
        <v>PR</v>
      </c>
      <c r="AD19" s="193" t="str">
        <f t="shared" si="8"/>
        <v>DL</v>
      </c>
      <c r="AE19" s="193" t="str">
        <f t="shared" si="8"/>
        <v>DC</v>
      </c>
      <c r="AF19" s="193" t="str">
        <f t="shared" si="8"/>
        <v>In</v>
      </c>
      <c r="AG19" s="193" t="str">
        <f t="shared" si="8"/>
        <v>ExO</v>
      </c>
      <c r="AH19" s="193" t="str">
        <f t="shared" si="8"/>
        <v>DV</v>
      </c>
      <c r="AI19" s="190" t="str">
        <f t="shared" si="8"/>
        <v>Atributs</v>
      </c>
      <c r="AK19" s="209" t="s">
        <v>259</v>
      </c>
      <c r="AL19" s="209">
        <v>17</v>
      </c>
      <c r="AM19" s="211">
        <v>1665</v>
      </c>
      <c r="AN19" s="229"/>
      <c r="AO19" s="216">
        <v>1</v>
      </c>
      <c r="AP19" s="216">
        <v>1.99</v>
      </c>
      <c r="AQ19" s="216">
        <v>2</v>
      </c>
      <c r="AR19" s="216">
        <v>2.99</v>
      </c>
      <c r="AS19" s="214">
        <v>5</v>
      </c>
      <c r="AT19" s="215">
        <v>5.99</v>
      </c>
      <c r="AU19" s="214">
        <v>3</v>
      </c>
      <c r="AV19" s="214">
        <v>3.99</v>
      </c>
      <c r="AW19" s="212"/>
      <c r="AX19" s="213">
        <v>4.99</v>
      </c>
      <c r="AY19" s="214">
        <v>2</v>
      </c>
      <c r="AZ19" s="214">
        <v>2.99</v>
      </c>
      <c r="BA19" s="212"/>
      <c r="BB19" s="213">
        <v>2.99</v>
      </c>
      <c r="BC19" s="232"/>
      <c r="BD19" s="3"/>
    </row>
    <row r="20" spans="1:56" x14ac:dyDescent="0.25">
      <c r="A20" s="124"/>
      <c r="B20" s="125">
        <v>17</v>
      </c>
      <c r="C20" s="156">
        <f ca="1">A33-2100-6-93+31-112-29-112-112-87-112</f>
        <v>533</v>
      </c>
      <c r="D20" s="127"/>
      <c r="E20" s="128">
        <f t="shared" ref="E20:E25" ca="1" si="9">F20-TODAY()</f>
        <v>-44263</v>
      </c>
      <c r="F20" s="129"/>
      <c r="G20" s="157"/>
      <c r="H20" s="130" t="s">
        <v>218</v>
      </c>
      <c r="I20" s="130" t="s">
        <v>219</v>
      </c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37">
        <f t="shared" ref="X20:X28" si="10">7-(COUNTBLANK(J20)+COUNTBLANK(L20)+COUNTBLANK(N20)+COUNTBLANK(P20)+COUNTBLANK(R20)+COUNTBLANK(T20)+COUNTBLANK(V20))</f>
        <v>0</v>
      </c>
      <c r="Y20" s="130">
        <f t="shared" ref="Y20:Y28" si="11">COUNT(W20,S20,U20,Q20,O20,M20,K20)</f>
        <v>0</v>
      </c>
      <c r="Z20" s="130"/>
      <c r="AA20" s="130"/>
      <c r="AB20" s="130"/>
      <c r="AC20" s="138"/>
      <c r="AD20" s="138"/>
      <c r="AE20" s="138"/>
      <c r="AF20" s="138"/>
      <c r="AG20" s="138"/>
      <c r="AH20" s="138"/>
      <c r="AI20" s="138"/>
      <c r="AK20" s="209" t="s">
        <v>260</v>
      </c>
      <c r="AL20" s="209">
        <v>17</v>
      </c>
      <c r="AM20" s="211">
        <v>1585</v>
      </c>
      <c r="AN20" s="229" t="s">
        <v>238</v>
      </c>
      <c r="AO20" s="221"/>
      <c r="AP20" s="221"/>
      <c r="AQ20" s="214">
        <v>4</v>
      </c>
      <c r="AR20" s="214">
        <v>4.99</v>
      </c>
      <c r="AS20" s="221"/>
      <c r="AT20" s="213">
        <v>2.99</v>
      </c>
      <c r="AU20" s="216">
        <v>5</v>
      </c>
      <c r="AV20" s="217">
        <v>5.99</v>
      </c>
      <c r="AW20" s="221"/>
      <c r="AX20" s="213">
        <v>1.99</v>
      </c>
      <c r="AY20" s="221"/>
      <c r="AZ20" s="213">
        <v>3.99</v>
      </c>
      <c r="BA20" s="221"/>
      <c r="BB20" s="213">
        <v>2.99</v>
      </c>
      <c r="BC20" s="221"/>
      <c r="BD20" s="3"/>
    </row>
    <row r="21" spans="1:56" x14ac:dyDescent="0.25">
      <c r="A21" s="161" t="s">
        <v>261</v>
      </c>
      <c r="B21" s="125">
        <v>16</v>
      </c>
      <c r="C21" s="156">
        <f ca="1">A33-2700</f>
        <v>565</v>
      </c>
      <c r="D21" s="127"/>
      <c r="E21" s="128">
        <f t="shared" ca="1" si="9"/>
        <v>-408</v>
      </c>
      <c r="F21" s="129">
        <v>43855</v>
      </c>
      <c r="G21" s="157"/>
      <c r="H21" s="130" t="s">
        <v>218</v>
      </c>
      <c r="I21" s="130" t="s">
        <v>219</v>
      </c>
      <c r="J21" s="125"/>
      <c r="K21" s="125"/>
      <c r="L21" s="125"/>
      <c r="M21" s="125"/>
      <c r="N21" s="125"/>
      <c r="O21" s="125"/>
      <c r="P21" s="158">
        <v>1</v>
      </c>
      <c r="Q21" s="125"/>
      <c r="R21" s="125"/>
      <c r="S21" s="125"/>
      <c r="T21" s="125"/>
      <c r="U21" s="159">
        <v>5.99</v>
      </c>
      <c r="V21" s="125"/>
      <c r="W21" s="125"/>
      <c r="X21" s="137">
        <f t="shared" si="10"/>
        <v>1</v>
      </c>
      <c r="Y21" s="130">
        <f t="shared" si="11"/>
        <v>1</v>
      </c>
      <c r="Z21" s="130"/>
      <c r="AA21" s="130"/>
      <c r="AB21" s="130"/>
      <c r="AC21" s="138"/>
      <c r="AD21" s="138"/>
      <c r="AE21" s="138"/>
      <c r="AF21" s="138"/>
      <c r="AG21" s="138"/>
      <c r="AH21" s="138"/>
      <c r="AI21" s="138"/>
      <c r="AK21" s="209" t="s">
        <v>262</v>
      </c>
      <c r="AL21" s="209">
        <v>16</v>
      </c>
      <c r="AM21" s="211">
        <v>1687</v>
      </c>
      <c r="AN21" s="229" t="s">
        <v>232</v>
      </c>
      <c r="AO21" s="221"/>
      <c r="AP21" s="213">
        <v>1.99</v>
      </c>
      <c r="AQ21" s="216">
        <v>5</v>
      </c>
      <c r="AR21" s="217">
        <v>5.99</v>
      </c>
      <c r="AS21" s="214">
        <v>5</v>
      </c>
      <c r="AT21" s="215">
        <v>5.99</v>
      </c>
      <c r="AU21" s="221"/>
      <c r="AV21" s="213">
        <v>3.99</v>
      </c>
      <c r="AW21" s="221"/>
      <c r="AX21" s="213">
        <v>4.99</v>
      </c>
      <c r="AY21" s="214">
        <v>2</v>
      </c>
      <c r="AZ21" s="214">
        <v>2.99</v>
      </c>
      <c r="BA21" s="221"/>
      <c r="BB21" s="213">
        <v>4.99</v>
      </c>
      <c r="BC21" s="221"/>
      <c r="BD21" s="3"/>
    </row>
    <row r="22" spans="1:56" x14ac:dyDescent="0.25">
      <c r="A22" s="161" t="s">
        <v>263</v>
      </c>
      <c r="B22" s="125">
        <v>16</v>
      </c>
      <c r="C22" s="126">
        <f ca="1">A33-2679</f>
        <v>586</v>
      </c>
      <c r="D22" s="127"/>
      <c r="E22" s="128">
        <f t="shared" ca="1" si="9"/>
        <v>-443</v>
      </c>
      <c r="F22" s="129">
        <v>43820</v>
      </c>
      <c r="G22" s="130"/>
      <c r="H22" s="157" t="s">
        <v>218</v>
      </c>
      <c r="I22" s="130" t="s">
        <v>219</v>
      </c>
      <c r="J22" s="125"/>
      <c r="K22" s="125"/>
      <c r="L22" s="158">
        <v>4</v>
      </c>
      <c r="M22" s="125"/>
      <c r="N22" s="125"/>
      <c r="O22" s="125"/>
      <c r="P22" s="125"/>
      <c r="Q22" s="125"/>
      <c r="R22" s="125"/>
      <c r="S22" s="136">
        <v>3.99</v>
      </c>
      <c r="T22" s="125"/>
      <c r="U22" s="125"/>
      <c r="V22" s="125"/>
      <c r="W22" s="125"/>
      <c r="X22" s="137">
        <f t="shared" si="10"/>
        <v>1</v>
      </c>
      <c r="Y22" s="130">
        <f t="shared" si="11"/>
        <v>1</v>
      </c>
      <c r="Z22" s="130"/>
      <c r="AA22" s="130"/>
      <c r="AB22" s="130"/>
      <c r="AC22" s="138"/>
      <c r="AD22" s="138"/>
      <c r="AE22" s="138"/>
      <c r="AF22" s="138"/>
      <c r="AG22" s="138"/>
      <c r="AH22" s="138"/>
      <c r="AI22" s="138" t="s">
        <v>220</v>
      </c>
      <c r="AK22" s="209" t="s">
        <v>264</v>
      </c>
      <c r="AL22" s="209">
        <v>16</v>
      </c>
      <c r="AM22" s="211">
        <v>1596</v>
      </c>
      <c r="AN22" s="229"/>
      <c r="AO22" s="221"/>
      <c r="AP22" s="221"/>
      <c r="AQ22" s="216">
        <v>1</v>
      </c>
      <c r="AR22" s="216">
        <v>1.99</v>
      </c>
      <c r="AS22" s="214">
        <v>6</v>
      </c>
      <c r="AT22" s="215">
        <v>6.99</v>
      </c>
      <c r="AU22" s="214">
        <v>3</v>
      </c>
      <c r="AV22" s="214">
        <v>3.99</v>
      </c>
      <c r="AW22" s="214">
        <v>3</v>
      </c>
      <c r="AX22" s="214">
        <v>3.99</v>
      </c>
      <c r="AY22" s="214">
        <v>4</v>
      </c>
      <c r="AZ22" s="214">
        <v>4.99</v>
      </c>
      <c r="BA22" s="221"/>
      <c r="BB22" s="213">
        <v>4.99</v>
      </c>
      <c r="BC22" s="221"/>
      <c r="BD22" s="3"/>
    </row>
    <row r="23" spans="1:56" x14ac:dyDescent="0.25">
      <c r="A23" s="124" t="s">
        <v>265</v>
      </c>
      <c r="B23" s="125">
        <v>16</v>
      </c>
      <c r="C23" s="126">
        <f ca="1">A33-2100-6-116+4-112-112-113-112</f>
        <v>598</v>
      </c>
      <c r="D23" s="127" t="s">
        <v>266</v>
      </c>
      <c r="E23" s="128">
        <f t="shared" ca="1" si="9"/>
        <v>-486</v>
      </c>
      <c r="F23" s="129">
        <v>43777</v>
      </c>
      <c r="G23" s="157"/>
      <c r="H23" s="131" t="s">
        <v>243</v>
      </c>
      <c r="I23" s="130" t="s">
        <v>219</v>
      </c>
      <c r="J23" s="125"/>
      <c r="K23" s="125"/>
      <c r="L23" s="158">
        <v>3</v>
      </c>
      <c r="M23" s="125"/>
      <c r="N23" s="125"/>
      <c r="O23" s="136">
        <v>2.99</v>
      </c>
      <c r="P23" s="125"/>
      <c r="Q23" s="136">
        <v>4.99</v>
      </c>
      <c r="R23" s="125"/>
      <c r="S23" s="136">
        <v>4.99</v>
      </c>
      <c r="T23" s="134">
        <v>2</v>
      </c>
      <c r="U23" s="135">
        <v>2.99</v>
      </c>
      <c r="V23" s="125"/>
      <c r="W23" s="125"/>
      <c r="X23" s="137">
        <f t="shared" si="10"/>
        <v>2</v>
      </c>
      <c r="Y23" s="130">
        <f t="shared" si="11"/>
        <v>4</v>
      </c>
      <c r="Z23" s="130"/>
      <c r="AA23" s="130"/>
      <c r="AB23" s="130"/>
      <c r="AC23" s="138"/>
      <c r="AD23" s="138"/>
      <c r="AE23" s="138"/>
      <c r="AF23" s="138"/>
      <c r="AG23" s="138">
        <v>4.5</v>
      </c>
      <c r="AH23" s="138"/>
      <c r="AI23" s="138" t="s">
        <v>230</v>
      </c>
      <c r="AK23" s="209" t="s">
        <v>267</v>
      </c>
      <c r="AL23" s="209">
        <v>18</v>
      </c>
      <c r="AM23" s="211">
        <v>1648</v>
      </c>
      <c r="AN23" s="229" t="s">
        <v>240</v>
      </c>
      <c r="AO23" s="221"/>
      <c r="AP23" s="213">
        <v>2.99</v>
      </c>
      <c r="AQ23" s="216">
        <v>4</v>
      </c>
      <c r="AR23" s="216">
        <v>4.99</v>
      </c>
      <c r="AS23" s="213">
        <v>3</v>
      </c>
      <c r="AT23" s="213">
        <v>4.99</v>
      </c>
      <c r="AU23" s="214">
        <v>1</v>
      </c>
      <c r="AV23" s="214">
        <v>1.99</v>
      </c>
      <c r="AW23" s="221"/>
      <c r="AX23" s="213">
        <v>1.99</v>
      </c>
      <c r="AY23" s="221"/>
      <c r="AZ23" s="213">
        <v>4.99</v>
      </c>
      <c r="BA23" s="214">
        <v>4</v>
      </c>
      <c r="BB23" s="214">
        <v>4.99</v>
      </c>
      <c r="BC23" s="221"/>
      <c r="BD23" s="3"/>
    </row>
    <row r="24" spans="1:56" x14ac:dyDescent="0.25">
      <c r="A24" s="161" t="s">
        <v>268</v>
      </c>
      <c r="B24" s="125">
        <v>18</v>
      </c>
      <c r="C24" s="126">
        <f ca="1">A33-2150+2-112+7-112-78-112-112</f>
        <v>598</v>
      </c>
      <c r="D24" s="127" t="s">
        <v>198</v>
      </c>
      <c r="E24" s="128">
        <f t="shared" ca="1" si="9"/>
        <v>0</v>
      </c>
      <c r="F24" s="129">
        <f ca="1">TODAY()</f>
        <v>44263</v>
      </c>
      <c r="G24" s="162" t="s">
        <v>242</v>
      </c>
      <c r="H24" s="157" t="s">
        <v>218</v>
      </c>
      <c r="I24" s="130" t="s">
        <v>219</v>
      </c>
      <c r="J24" s="125"/>
      <c r="K24" s="136">
        <v>1.99</v>
      </c>
      <c r="L24" s="125"/>
      <c r="M24" s="136">
        <v>3.99</v>
      </c>
      <c r="N24" s="134">
        <v>2</v>
      </c>
      <c r="O24" s="135">
        <v>2.99</v>
      </c>
      <c r="P24" s="158">
        <v>4</v>
      </c>
      <c r="Q24" s="160">
        <v>6.99</v>
      </c>
      <c r="R24" s="132">
        <v>4</v>
      </c>
      <c r="S24" s="133">
        <v>4.99</v>
      </c>
      <c r="T24" s="125"/>
      <c r="U24" s="136">
        <v>3.99</v>
      </c>
      <c r="V24" s="125"/>
      <c r="W24" s="159">
        <v>5.99</v>
      </c>
      <c r="X24" s="137">
        <f t="shared" si="10"/>
        <v>3</v>
      </c>
      <c r="Y24" s="130">
        <f t="shared" si="11"/>
        <v>7</v>
      </c>
      <c r="Z24" s="130"/>
      <c r="AA24" s="130"/>
      <c r="AB24" s="130"/>
      <c r="AC24" s="138"/>
      <c r="AD24" s="138">
        <v>3.5</v>
      </c>
      <c r="AE24" s="138"/>
      <c r="AF24" s="138"/>
      <c r="AG24" s="138"/>
      <c r="AH24" s="138"/>
      <c r="AI24" s="138" t="s">
        <v>230</v>
      </c>
      <c r="AK24" s="209" t="s">
        <v>269</v>
      </c>
      <c r="AL24" s="209">
        <v>19</v>
      </c>
      <c r="AM24" s="211">
        <v>1525</v>
      </c>
      <c r="AN24" s="229"/>
      <c r="AO24" s="212"/>
      <c r="AP24" s="213">
        <v>0.99</v>
      </c>
      <c r="AQ24" s="214">
        <v>4</v>
      </c>
      <c r="AR24" s="214">
        <v>4.99</v>
      </c>
      <c r="AS24" s="212"/>
      <c r="AT24" s="213">
        <v>2.99</v>
      </c>
      <c r="AU24" s="216">
        <v>4</v>
      </c>
      <c r="AV24" s="216">
        <v>4.99</v>
      </c>
      <c r="AW24" s="212"/>
      <c r="AX24" s="213">
        <v>2.99</v>
      </c>
      <c r="AY24" s="212"/>
      <c r="AZ24" s="213">
        <v>4.99</v>
      </c>
      <c r="BA24" s="214">
        <v>4</v>
      </c>
      <c r="BB24" s="214">
        <v>4.99</v>
      </c>
      <c r="BC24" s="221"/>
      <c r="BD24" s="3"/>
    </row>
    <row r="25" spans="1:56" x14ac:dyDescent="0.25">
      <c r="A25" s="161" t="s">
        <v>270</v>
      </c>
      <c r="B25" s="125">
        <v>18</v>
      </c>
      <c r="C25" s="126">
        <f ca="1">A33-2150+2-112+7-112-72-112-112</f>
        <v>604</v>
      </c>
      <c r="D25" s="127"/>
      <c r="E25" s="128">
        <f t="shared" ca="1" si="9"/>
        <v>0</v>
      </c>
      <c r="F25" s="129">
        <f ca="1">TODAY()</f>
        <v>44263</v>
      </c>
      <c r="G25" s="180" t="s">
        <v>217</v>
      </c>
      <c r="H25" s="157" t="s">
        <v>218</v>
      </c>
      <c r="I25" s="130" t="s">
        <v>219</v>
      </c>
      <c r="J25" s="125"/>
      <c r="K25" s="136">
        <v>1.99</v>
      </c>
      <c r="L25" s="134">
        <v>2</v>
      </c>
      <c r="M25" s="135">
        <v>2.99</v>
      </c>
      <c r="N25" s="132">
        <v>3</v>
      </c>
      <c r="O25" s="133">
        <v>3.99</v>
      </c>
      <c r="P25" s="134">
        <v>4</v>
      </c>
      <c r="Q25" s="135">
        <v>4.99</v>
      </c>
      <c r="R25" s="125"/>
      <c r="S25" s="160">
        <v>6.99</v>
      </c>
      <c r="T25" s="134">
        <v>2</v>
      </c>
      <c r="U25" s="135">
        <v>2.99</v>
      </c>
      <c r="V25" s="125"/>
      <c r="W25" s="125"/>
      <c r="X25" s="137">
        <f t="shared" si="10"/>
        <v>4</v>
      </c>
      <c r="Y25" s="130">
        <f t="shared" si="11"/>
        <v>6</v>
      </c>
      <c r="Z25" s="130"/>
      <c r="AA25" s="130"/>
      <c r="AB25" s="130"/>
      <c r="AC25" s="138"/>
      <c r="AD25" s="138">
        <v>2</v>
      </c>
      <c r="AE25" s="138">
        <v>3</v>
      </c>
      <c r="AF25" s="138">
        <v>5</v>
      </c>
      <c r="AG25" s="138">
        <v>5.5</v>
      </c>
      <c r="AH25" s="138">
        <v>4.5</v>
      </c>
      <c r="AI25" s="138" t="s">
        <v>220</v>
      </c>
      <c r="AK25" s="209" t="s">
        <v>271</v>
      </c>
      <c r="AL25" s="209">
        <v>16</v>
      </c>
      <c r="AM25" s="211">
        <v>-624</v>
      </c>
      <c r="AN25" s="229"/>
      <c r="AO25" s="221"/>
      <c r="AP25" s="221"/>
      <c r="AQ25" s="214">
        <v>2</v>
      </c>
      <c r="AR25" s="214">
        <v>2.99</v>
      </c>
      <c r="AS25" s="214">
        <v>5</v>
      </c>
      <c r="AT25" s="215">
        <v>5.99</v>
      </c>
      <c r="AU25" s="216">
        <v>6</v>
      </c>
      <c r="AV25" s="217">
        <v>6.99</v>
      </c>
      <c r="AW25" s="216">
        <v>4</v>
      </c>
      <c r="AX25" s="216">
        <v>4.99</v>
      </c>
      <c r="AY25" s="214">
        <v>4</v>
      </c>
      <c r="AZ25" s="214">
        <v>4.99</v>
      </c>
      <c r="BA25" s="214">
        <v>3</v>
      </c>
      <c r="BB25" s="214">
        <v>3.99</v>
      </c>
      <c r="BC25" s="221"/>
      <c r="BD25" s="3"/>
    </row>
    <row r="26" spans="1:56" x14ac:dyDescent="0.25">
      <c r="A26" s="161" t="s">
        <v>272</v>
      </c>
      <c r="B26" s="125">
        <v>17</v>
      </c>
      <c r="C26" s="126">
        <f ca="1">88+A33-2516-112-112</f>
        <v>613</v>
      </c>
      <c r="D26" s="127"/>
      <c r="E26" s="128">
        <v>0</v>
      </c>
      <c r="F26" s="129">
        <v>43650</v>
      </c>
      <c r="G26" s="162" t="s">
        <v>242</v>
      </c>
      <c r="H26" s="131" t="s">
        <v>248</v>
      </c>
      <c r="I26" s="130" t="s">
        <v>219</v>
      </c>
      <c r="J26" s="158">
        <v>3</v>
      </c>
      <c r="K26" s="136">
        <v>4.99</v>
      </c>
      <c r="L26" s="158">
        <v>3</v>
      </c>
      <c r="M26" s="136">
        <v>4.99</v>
      </c>
      <c r="N26" s="125"/>
      <c r="O26" s="136">
        <v>0.99</v>
      </c>
      <c r="P26" s="125"/>
      <c r="Q26" s="136">
        <v>1.99</v>
      </c>
      <c r="R26" s="125"/>
      <c r="S26" s="136">
        <v>1.99</v>
      </c>
      <c r="T26" s="134">
        <v>0</v>
      </c>
      <c r="U26" s="135">
        <v>0.99</v>
      </c>
      <c r="V26" s="125"/>
      <c r="W26" s="136">
        <v>1.99</v>
      </c>
      <c r="X26" s="137">
        <f t="shared" si="10"/>
        <v>3</v>
      </c>
      <c r="Y26" s="130">
        <f t="shared" si="11"/>
        <v>7</v>
      </c>
      <c r="Z26" s="130">
        <v>1</v>
      </c>
      <c r="AA26" s="130"/>
      <c r="AB26" s="130"/>
      <c r="AC26" s="138">
        <v>4</v>
      </c>
      <c r="AD26" s="138"/>
      <c r="AE26" s="138"/>
      <c r="AF26" s="138"/>
      <c r="AG26" s="138"/>
      <c r="AH26" s="138">
        <v>6.5</v>
      </c>
      <c r="AI26" s="138" t="s">
        <v>230</v>
      </c>
      <c r="AK26" s="209" t="s">
        <v>273</v>
      </c>
      <c r="AL26" s="209">
        <v>16</v>
      </c>
      <c r="AM26" s="211">
        <v>1566</v>
      </c>
      <c r="AN26" s="229" t="s">
        <v>240</v>
      </c>
      <c r="AO26" s="221"/>
      <c r="AP26" s="221"/>
      <c r="AQ26" s="213">
        <v>2</v>
      </c>
      <c r="AR26" s="221"/>
      <c r="AS26" s="216">
        <v>4</v>
      </c>
      <c r="AT26" s="216">
        <v>4.99</v>
      </c>
      <c r="AU26" s="214">
        <v>4</v>
      </c>
      <c r="AV26" s="214">
        <v>4.99</v>
      </c>
      <c r="AW26" s="216">
        <v>6</v>
      </c>
      <c r="AX26" s="217">
        <v>6.99</v>
      </c>
      <c r="AY26" s="214">
        <v>4</v>
      </c>
      <c r="AZ26" s="214">
        <v>4.99</v>
      </c>
      <c r="BA26" s="221"/>
      <c r="BB26" s="213">
        <v>3.99</v>
      </c>
      <c r="BC26" s="221"/>
      <c r="BD26" s="3"/>
    </row>
    <row r="27" spans="1:56" x14ac:dyDescent="0.25">
      <c r="A27" s="161" t="s">
        <v>274</v>
      </c>
      <c r="B27" s="125">
        <v>18</v>
      </c>
      <c r="C27" s="126">
        <f ca="1">A32-43400+6-112-112-112</f>
        <v>533</v>
      </c>
      <c r="D27" s="127"/>
      <c r="E27" s="128">
        <f ca="1">F27-TODAY()</f>
        <v>0</v>
      </c>
      <c r="F27" s="129">
        <f ca="1">TODAY()</f>
        <v>44263</v>
      </c>
      <c r="G27" s="157" t="s">
        <v>242</v>
      </c>
      <c r="H27" s="130" t="s">
        <v>218</v>
      </c>
      <c r="I27" s="130" t="s">
        <v>219</v>
      </c>
      <c r="J27" s="125"/>
      <c r="K27" s="136">
        <v>1.99</v>
      </c>
      <c r="L27" s="134">
        <v>2</v>
      </c>
      <c r="M27" s="135">
        <v>2.99</v>
      </c>
      <c r="N27" s="125"/>
      <c r="O27" s="136">
        <v>4.99</v>
      </c>
      <c r="P27" s="134">
        <v>4</v>
      </c>
      <c r="Q27" s="135">
        <v>4.99</v>
      </c>
      <c r="R27" s="125"/>
      <c r="S27" s="136">
        <v>4.99</v>
      </c>
      <c r="T27" s="125"/>
      <c r="U27" s="136">
        <v>3.99</v>
      </c>
      <c r="V27" s="125"/>
      <c r="W27" s="125"/>
      <c r="X27" s="137">
        <f t="shared" si="10"/>
        <v>2</v>
      </c>
      <c r="Y27" s="130">
        <f t="shared" si="11"/>
        <v>6</v>
      </c>
      <c r="Z27" s="130"/>
      <c r="AA27" s="130"/>
      <c r="AB27" s="130"/>
      <c r="AC27" s="138"/>
      <c r="AD27" s="138"/>
      <c r="AE27" s="138">
        <v>3</v>
      </c>
      <c r="AF27" s="138">
        <v>4.5</v>
      </c>
      <c r="AG27" s="138">
        <v>4.5</v>
      </c>
      <c r="AH27" s="138">
        <v>5</v>
      </c>
      <c r="AI27" s="138" t="s">
        <v>220</v>
      </c>
      <c r="AK27" s="209" t="s">
        <v>275</v>
      </c>
      <c r="AL27" s="209">
        <v>19</v>
      </c>
      <c r="AM27" s="211">
        <v>1449</v>
      </c>
      <c r="AN27" s="229" t="s">
        <v>232</v>
      </c>
      <c r="AO27" s="212"/>
      <c r="AP27" s="213">
        <v>1.99</v>
      </c>
      <c r="AQ27" s="214">
        <v>4</v>
      </c>
      <c r="AR27" s="214">
        <v>4.99</v>
      </c>
      <c r="AS27" s="214">
        <v>2</v>
      </c>
      <c r="AT27" s="214">
        <v>2.99</v>
      </c>
      <c r="AU27" s="214">
        <v>4</v>
      </c>
      <c r="AV27" s="214">
        <v>4.99</v>
      </c>
      <c r="AW27" s="216">
        <v>3</v>
      </c>
      <c r="AX27" s="216">
        <v>3.99</v>
      </c>
      <c r="AY27" s="213">
        <v>5</v>
      </c>
      <c r="AZ27" s="222">
        <v>6.99</v>
      </c>
      <c r="BA27" s="220">
        <v>0</v>
      </c>
      <c r="BB27" s="214">
        <v>0.99</v>
      </c>
      <c r="BC27" s="232"/>
      <c r="BD27" s="3"/>
    </row>
    <row r="28" spans="1:56" x14ac:dyDescent="0.25">
      <c r="A28" s="161" t="s">
        <v>276</v>
      </c>
      <c r="B28" s="125">
        <v>18</v>
      </c>
      <c r="C28" s="126">
        <f ca="1">A33-2100-6-93-112+6-36-112-112-112</f>
        <v>588</v>
      </c>
      <c r="D28" s="127"/>
      <c r="E28" s="128">
        <f ca="1">F28-TODAY()</f>
        <v>0</v>
      </c>
      <c r="F28" s="129">
        <f ca="1">TODAY()</f>
        <v>44263</v>
      </c>
      <c r="G28" s="157" t="s">
        <v>277</v>
      </c>
      <c r="H28" s="130" t="s">
        <v>218</v>
      </c>
      <c r="I28" s="130" t="s">
        <v>219</v>
      </c>
      <c r="J28" s="125"/>
      <c r="K28" s="125"/>
      <c r="L28" s="125"/>
      <c r="M28" s="136">
        <v>2.99</v>
      </c>
      <c r="N28" s="125"/>
      <c r="O28" s="136">
        <v>3.99</v>
      </c>
      <c r="P28" s="132">
        <v>4</v>
      </c>
      <c r="Q28" s="133">
        <v>4.99</v>
      </c>
      <c r="R28" s="134">
        <v>2</v>
      </c>
      <c r="S28" s="135">
        <v>2.99</v>
      </c>
      <c r="T28" s="125"/>
      <c r="U28" s="136">
        <v>2.99</v>
      </c>
      <c r="V28" s="125"/>
      <c r="W28" s="125"/>
      <c r="X28" s="137">
        <f t="shared" si="10"/>
        <v>2</v>
      </c>
      <c r="Y28" s="130">
        <f t="shared" si="11"/>
        <v>5</v>
      </c>
      <c r="Z28" s="130"/>
      <c r="AA28" s="130"/>
      <c r="AB28" s="130"/>
      <c r="AC28" s="138">
        <v>1</v>
      </c>
      <c r="AD28" s="138"/>
      <c r="AE28" s="138">
        <v>3.5</v>
      </c>
      <c r="AF28" s="138">
        <v>4</v>
      </c>
      <c r="AG28" s="138">
        <v>4</v>
      </c>
      <c r="AH28" s="138"/>
      <c r="AI28" s="138" t="s">
        <v>230</v>
      </c>
      <c r="AK28" s="209" t="s">
        <v>278</v>
      </c>
      <c r="AL28" s="209">
        <v>16</v>
      </c>
      <c r="AM28" s="211">
        <v>1524</v>
      </c>
      <c r="AN28" s="229"/>
      <c r="AO28" s="212"/>
      <c r="AP28" s="213">
        <v>1.99</v>
      </c>
      <c r="AQ28" s="212"/>
      <c r="AR28" s="213">
        <v>2.99</v>
      </c>
      <c r="AS28" s="214">
        <v>4</v>
      </c>
      <c r="AT28" s="214">
        <v>4.99</v>
      </c>
      <c r="AU28" s="214">
        <v>1</v>
      </c>
      <c r="AV28" s="214">
        <v>1.99</v>
      </c>
      <c r="AW28" s="216">
        <v>6</v>
      </c>
      <c r="AX28" s="217">
        <v>6.99</v>
      </c>
      <c r="AY28" s="214">
        <v>3</v>
      </c>
      <c r="AZ28" s="214">
        <v>3.99</v>
      </c>
      <c r="BA28" s="212"/>
      <c r="BB28" s="212"/>
      <c r="BC28" s="232"/>
      <c r="BD28" s="3"/>
    </row>
    <row r="29" spans="1:56" x14ac:dyDescent="0.25">
      <c r="A29" s="125"/>
      <c r="B29" s="125"/>
      <c r="C29" s="125"/>
      <c r="D29" s="130"/>
      <c r="E29" s="125"/>
      <c r="F29" s="130"/>
      <c r="G29" s="162"/>
      <c r="H29" s="130"/>
      <c r="I29" s="130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25"/>
      <c r="U29" s="125"/>
      <c r="V29" s="125"/>
      <c r="W29" s="125"/>
      <c r="X29" s="130"/>
      <c r="Y29" s="130"/>
      <c r="Z29" s="130"/>
      <c r="AA29" s="130"/>
      <c r="AB29" s="130"/>
      <c r="AC29" s="194"/>
      <c r="AD29" s="194"/>
      <c r="AE29" s="194"/>
      <c r="AF29" s="194"/>
      <c r="AG29" s="194"/>
      <c r="AH29" s="194"/>
      <c r="AI29" s="162"/>
      <c r="AK29" s="209" t="s">
        <v>279</v>
      </c>
      <c r="AL29" s="209">
        <v>18</v>
      </c>
      <c r="AM29" s="211">
        <v>1507</v>
      </c>
      <c r="AN29" s="229" t="s">
        <v>190</v>
      </c>
      <c r="AO29" s="212"/>
      <c r="AP29" s="213">
        <v>1.99</v>
      </c>
      <c r="AQ29" s="212"/>
      <c r="AR29" s="213">
        <v>1.99</v>
      </c>
      <c r="AS29" s="213">
        <v>5</v>
      </c>
      <c r="AT29" s="222">
        <v>6.99</v>
      </c>
      <c r="AU29" s="214">
        <v>2</v>
      </c>
      <c r="AV29" s="214">
        <v>2.99</v>
      </c>
      <c r="AW29" s="214">
        <v>2</v>
      </c>
      <c r="AX29" s="214">
        <v>2.99</v>
      </c>
      <c r="AY29" s="214">
        <v>4</v>
      </c>
      <c r="AZ29" s="214">
        <v>4.99</v>
      </c>
      <c r="BA29" s="214">
        <v>4</v>
      </c>
      <c r="BB29" s="214">
        <v>4.99</v>
      </c>
      <c r="BC29" s="221"/>
      <c r="BD29" s="3"/>
    </row>
    <row r="30" spans="1:56" x14ac:dyDescent="0.25">
      <c r="A30" s="125"/>
      <c r="B30" s="125"/>
      <c r="C30" s="156"/>
      <c r="D30" s="130"/>
      <c r="E30" s="125"/>
      <c r="F30" s="130"/>
      <c r="G30" s="162"/>
      <c r="H30" s="130"/>
      <c r="I30" s="130"/>
      <c r="J30" s="3"/>
      <c r="K30" s="3"/>
      <c r="L30" s="3"/>
      <c r="M30" s="3"/>
      <c r="N30" s="3"/>
      <c r="O30" s="3"/>
      <c r="P30" s="125"/>
      <c r="Q30" s="125"/>
      <c r="R30" s="125"/>
      <c r="S30" s="125"/>
      <c r="T30" s="125"/>
      <c r="U30" s="125"/>
      <c r="V30" s="125"/>
      <c r="W30" s="125"/>
      <c r="X30" s="130"/>
      <c r="Y30" s="130"/>
      <c r="Z30" s="130"/>
      <c r="AA30" s="130"/>
      <c r="AB30" s="130"/>
      <c r="AC30" s="194"/>
      <c r="AD30" s="194"/>
      <c r="AE30" s="194"/>
      <c r="AF30" s="194"/>
      <c r="AG30" s="195"/>
      <c r="AH30" s="195"/>
      <c r="AI30" s="196"/>
      <c r="AK30" s="209" t="s">
        <v>280</v>
      </c>
      <c r="AL30" s="209">
        <v>19</v>
      </c>
      <c r="AM30" s="211">
        <v>1392</v>
      </c>
      <c r="AN30" s="229" t="s">
        <v>281</v>
      </c>
      <c r="AO30" s="221"/>
      <c r="AP30" s="213">
        <v>1.99</v>
      </c>
      <c r="AQ30" s="213">
        <v>4</v>
      </c>
      <c r="AR30" s="219">
        <v>5.99</v>
      </c>
      <c r="AS30" s="216">
        <v>4</v>
      </c>
      <c r="AT30" s="216">
        <v>4.99</v>
      </c>
      <c r="AU30" s="214">
        <v>1</v>
      </c>
      <c r="AV30" s="214">
        <v>1.99</v>
      </c>
      <c r="AW30" s="214">
        <v>5</v>
      </c>
      <c r="AX30" s="214">
        <v>5.99</v>
      </c>
      <c r="AY30" s="214">
        <v>2</v>
      </c>
      <c r="AZ30" s="214">
        <v>2.99</v>
      </c>
      <c r="BA30" s="221"/>
      <c r="BB30" s="221"/>
      <c r="BC30" s="221"/>
      <c r="BD30" s="3"/>
    </row>
    <row r="31" spans="1:56" x14ac:dyDescent="0.25">
      <c r="A31" s="197" t="s">
        <v>282</v>
      </c>
      <c r="B31" s="125"/>
      <c r="C31" s="125"/>
      <c r="D31" s="130"/>
      <c r="E31" s="125"/>
      <c r="F31" s="130"/>
      <c r="G31" s="576"/>
      <c r="H31" s="576"/>
      <c r="I31" s="576"/>
      <c r="J31" s="576"/>
      <c r="K31" s="576"/>
      <c r="L31" s="576"/>
      <c r="M31" s="576"/>
      <c r="N31" s="576"/>
      <c r="O31" s="3"/>
      <c r="P31" s="125"/>
      <c r="Q31" s="125"/>
      <c r="R31" s="125"/>
      <c r="S31" s="125"/>
      <c r="T31" s="125"/>
      <c r="U31" s="125"/>
      <c r="V31" s="125"/>
      <c r="W31" s="125"/>
      <c r="X31" s="130"/>
      <c r="Y31" s="130"/>
      <c r="Z31" s="130"/>
      <c r="AA31" s="130"/>
      <c r="AB31" s="130"/>
      <c r="AC31" s="194"/>
      <c r="AD31" s="194"/>
      <c r="AE31" s="194"/>
      <c r="AF31" s="194"/>
      <c r="AG31" s="194"/>
      <c r="AH31" s="194"/>
      <c r="AI31" s="162"/>
      <c r="AK31" s="209" t="s">
        <v>283</v>
      </c>
      <c r="AL31" s="209">
        <v>18</v>
      </c>
      <c r="AM31" s="211">
        <v>1470</v>
      </c>
      <c r="AN31" s="229"/>
      <c r="AO31" s="221"/>
      <c r="AP31" s="213">
        <v>1.99</v>
      </c>
      <c r="AQ31" s="214">
        <v>3</v>
      </c>
      <c r="AR31" s="214">
        <v>3.99</v>
      </c>
      <c r="AS31" s="214">
        <v>3</v>
      </c>
      <c r="AT31" s="214">
        <v>3.99</v>
      </c>
      <c r="AU31" s="216">
        <v>6</v>
      </c>
      <c r="AV31" s="217">
        <v>6.99</v>
      </c>
      <c r="AW31" s="214">
        <v>2</v>
      </c>
      <c r="AX31" s="214">
        <v>2.99</v>
      </c>
      <c r="AY31" s="214">
        <v>4</v>
      </c>
      <c r="AZ31" s="214">
        <v>4.99</v>
      </c>
      <c r="BA31" s="221"/>
      <c r="BB31" s="213">
        <v>3.99</v>
      </c>
      <c r="BC31" s="223" t="s">
        <v>284</v>
      </c>
    </row>
    <row r="32" spans="1:56" x14ac:dyDescent="0.25">
      <c r="A32" s="198">
        <f ca="1">TODAY()</f>
        <v>44263</v>
      </c>
      <c r="B32" s="125"/>
      <c r="C32" s="125"/>
      <c r="D32" s="137"/>
      <c r="E32" s="125"/>
      <c r="F32" s="199"/>
      <c r="G32" s="200"/>
      <c r="H32" s="199"/>
      <c r="I32" s="199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99"/>
      <c r="W32" s="199"/>
      <c r="X32" s="199"/>
      <c r="Y32" s="199"/>
      <c r="Z32" s="199"/>
      <c r="AA32" s="199"/>
      <c r="AB32" s="199"/>
      <c r="AC32" s="194"/>
      <c r="AD32" s="194"/>
      <c r="AE32" s="194"/>
      <c r="AF32" s="194"/>
      <c r="AG32" s="194"/>
      <c r="AH32" s="194"/>
      <c r="AI32" s="162"/>
      <c r="AK32" s="209" t="s">
        <v>285</v>
      </c>
      <c r="AL32" s="209">
        <v>17</v>
      </c>
      <c r="AM32" s="211">
        <v>1357</v>
      </c>
      <c r="AN32" s="229" t="s">
        <v>238</v>
      </c>
      <c r="AO32" s="221"/>
      <c r="AP32" s="221"/>
      <c r="AQ32" s="221"/>
      <c r="AR32" s="213">
        <v>2.99</v>
      </c>
      <c r="AS32" s="216">
        <v>5</v>
      </c>
      <c r="AT32" s="217">
        <v>5.99</v>
      </c>
      <c r="AU32" s="216">
        <v>6</v>
      </c>
      <c r="AV32" s="217">
        <v>6.99</v>
      </c>
      <c r="AW32" s="214">
        <v>3</v>
      </c>
      <c r="AX32" s="214">
        <v>3.99</v>
      </c>
      <c r="AY32" s="214">
        <v>3</v>
      </c>
      <c r="AZ32" s="214">
        <v>3.99</v>
      </c>
      <c r="BA32" s="221"/>
      <c r="BB32" s="213">
        <v>2.99</v>
      </c>
      <c r="BC32" s="223">
        <v>42287</v>
      </c>
    </row>
    <row r="33" spans="1:55" x14ac:dyDescent="0.25">
      <c r="A33" s="156">
        <f ca="1">411+A36</f>
        <v>3265</v>
      </c>
      <c r="B33" s="125"/>
      <c r="C33" s="125"/>
      <c r="D33" s="130"/>
      <c r="E33" s="125"/>
      <c r="F33" s="199"/>
      <c r="G33" s="200"/>
      <c r="H33" s="199"/>
      <c r="I33" s="199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99"/>
      <c r="X33" s="199"/>
      <c r="Y33" s="199"/>
      <c r="Z33" s="199"/>
      <c r="AA33" s="199"/>
      <c r="AB33" s="199"/>
      <c r="AC33" s="201"/>
      <c r="AD33" s="201"/>
      <c r="AE33" s="194"/>
      <c r="AF33" s="194"/>
      <c r="AG33" s="194"/>
      <c r="AH33" s="194"/>
      <c r="AI33" s="162"/>
      <c r="AK33" s="209" t="s">
        <v>286</v>
      </c>
      <c r="AL33" s="209">
        <v>17</v>
      </c>
      <c r="AM33" s="211">
        <v>1358</v>
      </c>
      <c r="AN33" s="229" t="s">
        <v>232</v>
      </c>
      <c r="AO33" s="221"/>
      <c r="AP33" s="221"/>
      <c r="AQ33" s="216">
        <v>4</v>
      </c>
      <c r="AR33" s="216">
        <v>4.99</v>
      </c>
      <c r="AS33" s="216">
        <v>5</v>
      </c>
      <c r="AT33" s="217">
        <v>5.99</v>
      </c>
      <c r="AU33" s="214">
        <v>2</v>
      </c>
      <c r="AV33" s="214">
        <v>2.99</v>
      </c>
      <c r="AW33" s="214">
        <v>3</v>
      </c>
      <c r="AX33" s="214">
        <v>3.99</v>
      </c>
      <c r="AY33" s="214">
        <v>3</v>
      </c>
      <c r="AZ33" s="214">
        <v>3.99</v>
      </c>
      <c r="BA33" s="214">
        <v>3</v>
      </c>
      <c r="BB33" s="214">
        <v>3.99</v>
      </c>
      <c r="BC33" s="223" t="s">
        <v>284</v>
      </c>
    </row>
    <row r="34" spans="1:55" x14ac:dyDescent="0.25">
      <c r="A34" s="125"/>
      <c r="B34" s="125"/>
      <c r="C34" s="125"/>
      <c r="D34" s="130"/>
      <c r="E34" s="125"/>
      <c r="F34" s="130"/>
      <c r="G34" s="162"/>
      <c r="H34" s="130"/>
      <c r="I34" s="130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30"/>
      <c r="Y34" s="130"/>
      <c r="Z34" s="130"/>
      <c r="AA34" s="130"/>
      <c r="AB34" s="130"/>
      <c r="AC34" s="194"/>
      <c r="AD34" s="194"/>
      <c r="AE34" s="194"/>
      <c r="AF34" s="194"/>
      <c r="AG34" s="194"/>
      <c r="AH34" s="194"/>
      <c r="AI34" s="162"/>
      <c r="AK34" s="209" t="s">
        <v>287</v>
      </c>
      <c r="AL34" s="209">
        <v>17</v>
      </c>
      <c r="AM34" s="211">
        <v>1417</v>
      </c>
      <c r="AN34" s="229" t="s">
        <v>258</v>
      </c>
      <c r="AO34" s="212"/>
      <c r="AP34" s="212"/>
      <c r="AQ34" s="212"/>
      <c r="AR34" s="213">
        <v>2.99</v>
      </c>
      <c r="AS34" s="216">
        <v>5</v>
      </c>
      <c r="AT34" s="217">
        <v>5.99</v>
      </c>
      <c r="AU34" s="214">
        <v>3</v>
      </c>
      <c r="AV34" s="214">
        <v>3.99</v>
      </c>
      <c r="AW34" s="214">
        <v>3</v>
      </c>
      <c r="AX34" s="214">
        <v>3.99</v>
      </c>
      <c r="AY34" s="212"/>
      <c r="AZ34" s="213">
        <v>4.99</v>
      </c>
      <c r="BA34" s="212"/>
      <c r="BB34" s="213">
        <v>3.99</v>
      </c>
      <c r="BC34" s="223" t="s">
        <v>284</v>
      </c>
    </row>
    <row r="35" spans="1:55" x14ac:dyDescent="0.25">
      <c r="A35" s="202">
        <v>41409</v>
      </c>
      <c r="B35" s="125"/>
      <c r="C35" s="125"/>
      <c r="D35" s="130"/>
      <c r="E35" s="125"/>
      <c r="F35" s="130"/>
      <c r="G35" s="162"/>
      <c r="H35" s="130"/>
      <c r="I35" s="130"/>
      <c r="J35" s="125"/>
      <c r="K35" s="125"/>
      <c r="L35" s="125"/>
      <c r="M35" s="125"/>
      <c r="N35" s="125"/>
      <c r="O35" s="125"/>
      <c r="P35" s="125"/>
      <c r="Q35" s="125"/>
      <c r="R35" s="125"/>
      <c r="S35" s="125"/>
      <c r="T35" s="125"/>
      <c r="U35" s="125"/>
      <c r="V35" s="125"/>
      <c r="W35" s="125"/>
      <c r="X35" s="130"/>
      <c r="Y35" s="130"/>
      <c r="Z35" s="130"/>
      <c r="AA35" s="130"/>
      <c r="AB35" s="130"/>
      <c r="AC35" s="194"/>
      <c r="AD35" s="194"/>
      <c r="AE35" s="194"/>
      <c r="AF35" s="194"/>
      <c r="AG35" s="194"/>
      <c r="AH35" s="194"/>
      <c r="AI35" s="162"/>
      <c r="AK35" s="209" t="s">
        <v>288</v>
      </c>
      <c r="AL35" s="209">
        <v>17</v>
      </c>
      <c r="AM35" s="211">
        <v>1296</v>
      </c>
      <c r="AN35" s="229"/>
      <c r="AO35" s="221"/>
      <c r="AP35" s="213">
        <v>1.99</v>
      </c>
      <c r="AQ35" s="221"/>
      <c r="AR35" s="213">
        <v>2.99</v>
      </c>
      <c r="AS35" s="214">
        <v>6</v>
      </c>
      <c r="AT35" s="215">
        <v>6.99</v>
      </c>
      <c r="AU35" s="214">
        <v>3</v>
      </c>
      <c r="AV35" s="214">
        <v>3.99</v>
      </c>
      <c r="AW35" s="216">
        <v>5</v>
      </c>
      <c r="AX35" s="217">
        <v>5.99</v>
      </c>
      <c r="AY35" s="214">
        <v>4</v>
      </c>
      <c r="AZ35" s="214">
        <v>4.99</v>
      </c>
      <c r="BA35" s="214">
        <v>1</v>
      </c>
      <c r="BB35" s="214">
        <v>1.99</v>
      </c>
      <c r="BC35" s="223">
        <v>42348</v>
      </c>
    </row>
    <row r="36" spans="1:55" x14ac:dyDescent="0.25">
      <c r="A36" s="202">
        <f ca="1">A32-A35</f>
        <v>2854</v>
      </c>
      <c r="B36" s="125"/>
      <c r="C36" s="156"/>
      <c r="D36" s="130"/>
      <c r="E36" s="125"/>
      <c r="F36" s="129"/>
      <c r="G36" s="162"/>
      <c r="H36" s="130"/>
      <c r="I36" s="130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30"/>
      <c r="Y36" s="130"/>
      <c r="Z36" s="130"/>
      <c r="AA36" s="130"/>
      <c r="AB36" s="130"/>
      <c r="AC36" s="194"/>
      <c r="AD36" s="194"/>
      <c r="AE36" s="194"/>
      <c r="AF36" s="194"/>
      <c r="AG36" s="194"/>
      <c r="AH36" s="194"/>
      <c r="AI36" s="162"/>
      <c r="AK36" s="209" t="s">
        <v>289</v>
      </c>
      <c r="AL36" s="209">
        <v>17</v>
      </c>
      <c r="AM36" s="211">
        <v>1312</v>
      </c>
      <c r="AN36" s="229" t="s">
        <v>281</v>
      </c>
      <c r="AO36" s="221"/>
      <c r="AP36" s="213">
        <v>1.99</v>
      </c>
      <c r="AQ36" s="216">
        <v>2</v>
      </c>
      <c r="AR36" s="216">
        <v>2.99</v>
      </c>
      <c r="AS36" s="216">
        <v>6</v>
      </c>
      <c r="AT36" s="217">
        <v>6.99</v>
      </c>
      <c r="AU36" s="221"/>
      <c r="AV36" s="221">
        <v>2.99</v>
      </c>
      <c r="AW36" s="213">
        <v>3</v>
      </c>
      <c r="AX36" s="221">
        <v>3.99</v>
      </c>
      <c r="AY36" s="214">
        <v>4</v>
      </c>
      <c r="AZ36" s="214">
        <v>4.99</v>
      </c>
      <c r="BA36" s="221"/>
      <c r="BB36" s="221"/>
      <c r="BC36" s="223">
        <v>42358</v>
      </c>
    </row>
    <row r="37" spans="1:55" x14ac:dyDescent="0.25">
      <c r="A37" s="125"/>
      <c r="B37" s="125"/>
      <c r="C37" s="125"/>
      <c r="D37" s="130"/>
      <c r="E37" s="125"/>
      <c r="F37" s="130"/>
      <c r="G37" s="162"/>
      <c r="H37" s="130"/>
      <c r="I37" s="130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  <c r="W37" s="125"/>
      <c r="X37" s="130"/>
      <c r="Y37" s="130"/>
      <c r="Z37" s="130"/>
      <c r="AA37" s="130"/>
      <c r="AB37" s="130"/>
      <c r="AC37" s="194"/>
      <c r="AD37" s="194"/>
      <c r="AE37" s="194"/>
      <c r="AF37" s="194"/>
      <c r="AG37" s="194"/>
      <c r="AH37" s="194"/>
      <c r="AI37" s="162"/>
      <c r="AK37" s="209" t="s">
        <v>290</v>
      </c>
      <c r="AL37" s="209">
        <v>17</v>
      </c>
      <c r="AM37" s="211">
        <v>1277</v>
      </c>
      <c r="AN37" s="229"/>
      <c r="AO37" s="221"/>
      <c r="AP37" s="221"/>
      <c r="AQ37" s="221"/>
      <c r="AR37" s="213">
        <v>2.99</v>
      </c>
      <c r="AS37" s="216">
        <v>5</v>
      </c>
      <c r="AT37" s="217">
        <v>5.99</v>
      </c>
      <c r="AU37" s="221"/>
      <c r="AV37" s="213">
        <v>3.99</v>
      </c>
      <c r="AW37" s="216">
        <v>5</v>
      </c>
      <c r="AX37" s="217">
        <v>5.99</v>
      </c>
      <c r="AY37" s="216">
        <v>5</v>
      </c>
      <c r="AZ37" s="217">
        <v>5.99</v>
      </c>
      <c r="BA37" s="221"/>
      <c r="BB37" s="221"/>
      <c r="BC37" s="223">
        <v>42369</v>
      </c>
    </row>
    <row r="38" spans="1:55" x14ac:dyDescent="0.25">
      <c r="A38" s="125"/>
      <c r="B38" s="125"/>
      <c r="C38" s="125"/>
      <c r="D38" s="130"/>
      <c r="E38" s="125"/>
      <c r="F38" s="130"/>
      <c r="G38" s="162"/>
      <c r="H38" s="130"/>
      <c r="I38" s="130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30"/>
      <c r="Y38" s="130"/>
      <c r="Z38" s="130"/>
      <c r="AA38" s="130"/>
      <c r="AB38" s="130"/>
      <c r="AC38" s="194"/>
      <c r="AD38" s="194"/>
      <c r="AE38" s="194"/>
      <c r="AF38" s="194"/>
      <c r="AG38" s="194"/>
      <c r="AH38" s="194"/>
      <c r="AI38" s="162"/>
      <c r="AK38" s="209" t="s">
        <v>291</v>
      </c>
      <c r="AL38" s="209">
        <v>18</v>
      </c>
      <c r="AM38" s="211">
        <v>1366</v>
      </c>
      <c r="AN38" s="229"/>
      <c r="AO38" s="212"/>
      <c r="AP38" s="213">
        <v>0.99</v>
      </c>
      <c r="AQ38" s="213">
        <v>4</v>
      </c>
      <c r="AR38" s="222">
        <v>6.99</v>
      </c>
      <c r="AS38" s="216">
        <v>5</v>
      </c>
      <c r="AT38" s="217">
        <v>5.99</v>
      </c>
      <c r="AU38" s="212"/>
      <c r="AV38" s="213">
        <v>3.99</v>
      </c>
      <c r="AW38" s="214">
        <v>3</v>
      </c>
      <c r="AX38" s="214">
        <v>3.99</v>
      </c>
      <c r="AY38" s="214">
        <v>6</v>
      </c>
      <c r="AZ38" s="215">
        <v>6.99</v>
      </c>
      <c r="BA38" s="212"/>
      <c r="BB38" s="213">
        <v>4.99</v>
      </c>
      <c r="BC38" s="223" t="s">
        <v>284</v>
      </c>
    </row>
    <row r="39" spans="1:55" x14ac:dyDescent="0.25">
      <c r="A39" s="125"/>
      <c r="B39" s="125"/>
      <c r="C39" s="125"/>
      <c r="D39" s="130"/>
      <c r="E39" s="125"/>
      <c r="F39" s="130"/>
      <c r="G39" s="162"/>
      <c r="H39" s="130"/>
      <c r="I39" s="130"/>
      <c r="J39" s="125"/>
      <c r="K39" s="125"/>
      <c r="L39" s="125"/>
      <c r="M39" s="125"/>
      <c r="N39" s="125"/>
      <c r="O39" s="125"/>
      <c r="P39" s="125"/>
      <c r="Q39" s="125"/>
      <c r="R39" s="125"/>
      <c r="S39" s="125"/>
      <c r="T39" s="125"/>
      <c r="U39" s="125"/>
      <c r="V39" s="125"/>
      <c r="W39" s="125"/>
      <c r="X39" s="130"/>
      <c r="Y39" s="130"/>
      <c r="Z39" s="130"/>
      <c r="AA39" s="130"/>
      <c r="AB39" s="130"/>
      <c r="AC39" s="194"/>
      <c r="AD39" s="194"/>
      <c r="AE39" s="194"/>
      <c r="AF39" s="194"/>
      <c r="AG39" s="194"/>
      <c r="AH39" s="194"/>
      <c r="AI39" s="162"/>
      <c r="AK39" s="209" t="s">
        <v>292</v>
      </c>
      <c r="AL39" s="209">
        <v>17</v>
      </c>
      <c r="AM39" s="211">
        <v>1283</v>
      </c>
      <c r="AN39" s="229"/>
      <c r="AO39" s="221"/>
      <c r="AP39" s="213">
        <v>1.99</v>
      </c>
      <c r="AQ39" s="216">
        <v>4</v>
      </c>
      <c r="AR39" s="216">
        <v>4.99</v>
      </c>
      <c r="AS39" s="214">
        <v>2</v>
      </c>
      <c r="AT39" s="214">
        <v>2.99</v>
      </c>
      <c r="AU39" s="214">
        <v>3</v>
      </c>
      <c r="AV39" s="214">
        <v>3.99</v>
      </c>
      <c r="AW39" s="216">
        <v>6</v>
      </c>
      <c r="AX39" s="217">
        <v>6.99</v>
      </c>
      <c r="AY39" s="214">
        <v>3</v>
      </c>
      <c r="AZ39" s="214">
        <v>3.99</v>
      </c>
      <c r="BA39" s="221"/>
      <c r="BB39" s="213">
        <v>2.99</v>
      </c>
      <c r="BC39" s="223">
        <v>42361</v>
      </c>
    </row>
    <row r="40" spans="1:55" x14ac:dyDescent="0.25">
      <c r="AK40" s="209" t="s">
        <v>293</v>
      </c>
      <c r="AL40" s="209">
        <v>16</v>
      </c>
      <c r="AM40" s="211">
        <v>1347</v>
      </c>
      <c r="AN40" s="229"/>
      <c r="AO40" s="221"/>
      <c r="AP40" s="221"/>
      <c r="AQ40" s="213">
        <v>4</v>
      </c>
      <c r="AR40" s="219">
        <v>5.99</v>
      </c>
      <c r="AS40" s="216">
        <v>2</v>
      </c>
      <c r="AT40" s="216">
        <v>2.99</v>
      </c>
      <c r="AU40" s="214">
        <v>4</v>
      </c>
      <c r="AV40" s="214">
        <v>4.99</v>
      </c>
      <c r="AW40" s="216">
        <v>6</v>
      </c>
      <c r="AX40" s="217">
        <v>6.99</v>
      </c>
      <c r="AY40" s="214">
        <v>4</v>
      </c>
      <c r="AZ40" s="214">
        <v>4.99</v>
      </c>
      <c r="BA40" s="221"/>
      <c r="BB40" s="221"/>
      <c r="BC40" s="223">
        <v>42409</v>
      </c>
    </row>
    <row r="41" spans="1:55" x14ac:dyDescent="0.25">
      <c r="AK41" s="209" t="s">
        <v>294</v>
      </c>
      <c r="AL41" s="209">
        <v>17</v>
      </c>
      <c r="AM41" s="211">
        <v>1269</v>
      </c>
      <c r="AN41" s="229" t="s">
        <v>232</v>
      </c>
      <c r="AO41" s="212"/>
      <c r="AP41" s="213">
        <v>1.99</v>
      </c>
      <c r="AQ41" s="216">
        <v>5</v>
      </c>
      <c r="AR41" s="217">
        <v>5.99</v>
      </c>
      <c r="AS41" s="214">
        <v>5</v>
      </c>
      <c r="AT41" s="215">
        <v>5.99</v>
      </c>
      <c r="AU41" s="216">
        <v>3</v>
      </c>
      <c r="AV41" s="216">
        <v>3.99</v>
      </c>
      <c r="AW41" s="214">
        <v>2</v>
      </c>
      <c r="AX41" s="214">
        <v>2.99</v>
      </c>
      <c r="AY41" s="214">
        <v>2</v>
      </c>
      <c r="AZ41" s="214">
        <v>2.99</v>
      </c>
      <c r="BA41" s="212"/>
      <c r="BB41" s="212"/>
      <c r="BC41" s="223">
        <v>42375</v>
      </c>
    </row>
    <row r="42" spans="1:55" x14ac:dyDescent="0.25">
      <c r="AK42" s="209" t="s">
        <v>295</v>
      </c>
      <c r="AL42" s="209">
        <v>17</v>
      </c>
      <c r="AM42" s="211">
        <v>1213</v>
      </c>
      <c r="AN42" s="229" t="s">
        <v>232</v>
      </c>
      <c r="AO42" s="221"/>
      <c r="AP42" s="221"/>
      <c r="AQ42" s="221"/>
      <c r="AR42" s="213">
        <v>2.99</v>
      </c>
      <c r="AS42" s="216">
        <v>5</v>
      </c>
      <c r="AT42" s="217">
        <v>5.99</v>
      </c>
      <c r="AU42" s="221"/>
      <c r="AV42" s="213">
        <v>2.99</v>
      </c>
      <c r="AW42" s="216">
        <v>3</v>
      </c>
      <c r="AX42" s="221">
        <v>3.99</v>
      </c>
      <c r="AY42" s="216">
        <v>6</v>
      </c>
      <c r="AZ42" s="217">
        <v>6.99</v>
      </c>
      <c r="BA42" s="214">
        <v>2</v>
      </c>
      <c r="BB42" s="214">
        <v>2.99</v>
      </c>
      <c r="BC42" s="223">
        <v>42431</v>
      </c>
    </row>
    <row r="43" spans="1:55" x14ac:dyDescent="0.25">
      <c r="AK43" s="209" t="s">
        <v>296</v>
      </c>
      <c r="AL43" s="209">
        <v>17</v>
      </c>
      <c r="AM43" s="211">
        <v>1214</v>
      </c>
      <c r="AN43" s="229"/>
      <c r="AO43" s="221"/>
      <c r="AP43" s="213">
        <v>1.99</v>
      </c>
      <c r="AQ43" s="216">
        <v>4</v>
      </c>
      <c r="AR43" s="216">
        <v>4.99</v>
      </c>
      <c r="AS43" s="214">
        <v>5</v>
      </c>
      <c r="AT43" s="215">
        <v>5.99</v>
      </c>
      <c r="AU43" s="221"/>
      <c r="AV43" s="213">
        <v>4.99</v>
      </c>
      <c r="AW43" s="216">
        <v>5</v>
      </c>
      <c r="AX43" s="217">
        <v>5.99</v>
      </c>
      <c r="AY43" s="214">
        <v>3</v>
      </c>
      <c r="AZ43" s="214">
        <v>3.99</v>
      </c>
      <c r="BA43" s="214">
        <v>2</v>
      </c>
      <c r="BB43" s="214">
        <v>2.99</v>
      </c>
      <c r="BC43" s="223">
        <v>42430</v>
      </c>
    </row>
    <row r="44" spans="1:55" x14ac:dyDescent="0.25">
      <c r="AK44" s="209" t="s">
        <v>297</v>
      </c>
      <c r="AL44" s="209">
        <v>17</v>
      </c>
      <c r="AM44" s="211">
        <v>1221</v>
      </c>
      <c r="AN44" s="229"/>
      <c r="AO44" s="221"/>
      <c r="AP44" s="221"/>
      <c r="AQ44" s="214">
        <v>3</v>
      </c>
      <c r="AR44" s="214">
        <v>3.99</v>
      </c>
      <c r="AS44" s="216">
        <v>4</v>
      </c>
      <c r="AT44" s="216">
        <v>4.99</v>
      </c>
      <c r="AU44" s="216">
        <v>4</v>
      </c>
      <c r="AV44" s="216">
        <v>4.99</v>
      </c>
      <c r="AW44" s="221"/>
      <c r="AX44" s="213">
        <v>4.99</v>
      </c>
      <c r="AY44" s="216">
        <v>5</v>
      </c>
      <c r="AZ44" s="217">
        <v>5.99</v>
      </c>
      <c r="BA44" s="214">
        <v>1</v>
      </c>
      <c r="BB44" s="214">
        <v>1.99</v>
      </c>
      <c r="BC44" s="223">
        <v>42516</v>
      </c>
    </row>
    <row r="45" spans="1:55" x14ac:dyDescent="0.25">
      <c r="AK45" s="209" t="s">
        <v>298</v>
      </c>
      <c r="AL45" s="209">
        <v>16</v>
      </c>
      <c r="AM45" s="211">
        <v>1228</v>
      </c>
      <c r="AN45" s="229" t="s">
        <v>238</v>
      </c>
      <c r="AO45" s="221"/>
      <c r="AP45" s="213">
        <v>1.99</v>
      </c>
      <c r="AQ45" s="216">
        <v>5</v>
      </c>
      <c r="AR45" s="217">
        <v>5.99</v>
      </c>
      <c r="AS45" s="216">
        <v>5</v>
      </c>
      <c r="AT45" s="217">
        <v>5.99</v>
      </c>
      <c r="AU45" s="216">
        <v>3</v>
      </c>
      <c r="AV45" s="216">
        <v>3.99</v>
      </c>
      <c r="AW45" s="216">
        <v>3</v>
      </c>
      <c r="AX45" s="216">
        <v>3.99</v>
      </c>
      <c r="AY45" s="214">
        <v>1</v>
      </c>
      <c r="AZ45" s="214">
        <v>1.99</v>
      </c>
      <c r="BA45" s="221"/>
      <c r="BB45" s="221"/>
      <c r="BC45" s="223">
        <v>42528</v>
      </c>
    </row>
    <row r="46" spans="1:55" x14ac:dyDescent="0.25">
      <c r="AK46" s="209" t="s">
        <v>299</v>
      </c>
      <c r="AL46" s="209">
        <v>18</v>
      </c>
      <c r="AM46" s="211">
        <v>1205</v>
      </c>
      <c r="AN46" s="229"/>
      <c r="AO46" s="221"/>
      <c r="AP46" s="221"/>
      <c r="AQ46" s="216">
        <v>6</v>
      </c>
      <c r="AR46" s="217">
        <v>6.99</v>
      </c>
      <c r="AS46" s="214">
        <v>4</v>
      </c>
      <c r="AT46" s="214">
        <v>4.99</v>
      </c>
      <c r="AU46" s="221"/>
      <c r="AV46" s="213">
        <v>2.99</v>
      </c>
      <c r="AW46" s="216">
        <v>3</v>
      </c>
      <c r="AX46" s="216">
        <v>3.99</v>
      </c>
      <c r="AY46" s="214">
        <v>2</v>
      </c>
      <c r="AZ46" s="214">
        <v>2.99</v>
      </c>
      <c r="BA46" s="214">
        <v>2</v>
      </c>
      <c r="BB46" s="214">
        <v>2.99</v>
      </c>
      <c r="BC46" s="223">
        <v>42327</v>
      </c>
    </row>
    <row r="47" spans="1:55" x14ac:dyDescent="0.25">
      <c r="AK47" s="209" t="s">
        <v>300</v>
      </c>
      <c r="AL47" s="209">
        <v>17</v>
      </c>
      <c r="AM47" s="211">
        <v>1042</v>
      </c>
      <c r="AN47" s="229"/>
      <c r="AO47" s="221"/>
      <c r="AP47" s="221"/>
      <c r="AQ47" s="214">
        <v>4</v>
      </c>
      <c r="AR47" s="214">
        <v>4.99</v>
      </c>
      <c r="AS47" s="214">
        <v>5</v>
      </c>
      <c r="AT47" s="215">
        <v>5.99</v>
      </c>
      <c r="AU47" s="221"/>
      <c r="AV47" s="213">
        <v>2.99</v>
      </c>
      <c r="AW47" s="221"/>
      <c r="AX47" s="213">
        <v>3.99</v>
      </c>
      <c r="AY47" s="214">
        <v>3</v>
      </c>
      <c r="AZ47" s="214">
        <v>3.99</v>
      </c>
      <c r="BA47" s="221"/>
      <c r="BB47" s="221"/>
      <c r="BC47" s="223">
        <v>42602</v>
      </c>
    </row>
    <row r="48" spans="1:55" x14ac:dyDescent="0.25">
      <c r="AK48" s="209" t="s">
        <v>301</v>
      </c>
      <c r="AL48" s="209">
        <v>19</v>
      </c>
      <c r="AM48" s="211">
        <v>1021</v>
      </c>
      <c r="AN48" s="229"/>
      <c r="AO48" s="221"/>
      <c r="AP48" s="221"/>
      <c r="AQ48" s="214">
        <v>4</v>
      </c>
      <c r="AR48" s="214">
        <v>4.99</v>
      </c>
      <c r="AS48" s="216">
        <v>4</v>
      </c>
      <c r="AT48" s="216">
        <v>4.99</v>
      </c>
      <c r="AU48" s="221"/>
      <c r="AV48" s="213">
        <v>4.99</v>
      </c>
      <c r="AW48" s="213">
        <v>3</v>
      </c>
      <c r="AX48" s="213">
        <v>4.99</v>
      </c>
      <c r="AY48" s="214">
        <v>2</v>
      </c>
      <c r="AZ48" s="214">
        <v>2.99</v>
      </c>
      <c r="BA48" s="221"/>
      <c r="BB48" s="213">
        <v>2.99</v>
      </c>
      <c r="BC48" s="223">
        <v>42429</v>
      </c>
    </row>
    <row r="49" spans="37:55" x14ac:dyDescent="0.25">
      <c r="AK49" s="209" t="s">
        <v>302</v>
      </c>
      <c r="AL49" s="209">
        <v>18</v>
      </c>
      <c r="AM49" s="211">
        <v>1127</v>
      </c>
      <c r="AN49" s="229"/>
      <c r="AO49" s="221"/>
      <c r="AP49" s="221"/>
      <c r="AQ49" s="214">
        <v>4</v>
      </c>
      <c r="AR49" s="214">
        <v>4.99</v>
      </c>
      <c r="AS49" s="214">
        <v>4</v>
      </c>
      <c r="AT49" s="214">
        <v>4.99</v>
      </c>
      <c r="AU49" s="221"/>
      <c r="AV49" s="213">
        <v>3.99</v>
      </c>
      <c r="AW49" s="213">
        <v>4</v>
      </c>
      <c r="AX49" s="219">
        <v>5.99</v>
      </c>
      <c r="AY49" s="214">
        <v>4</v>
      </c>
      <c r="AZ49" s="214">
        <v>4.99</v>
      </c>
      <c r="BA49" s="221"/>
      <c r="BB49" s="222">
        <v>6.99</v>
      </c>
      <c r="BC49" s="223">
        <v>42405</v>
      </c>
    </row>
    <row r="50" spans="37:55" x14ac:dyDescent="0.25">
      <c r="AK50" s="209" t="s">
        <v>303</v>
      </c>
      <c r="AL50" s="209">
        <v>17</v>
      </c>
      <c r="AM50" s="211">
        <v>1013</v>
      </c>
      <c r="AN50" s="229"/>
      <c r="AO50" s="221"/>
      <c r="AP50" s="213">
        <v>1.99</v>
      </c>
      <c r="AQ50" s="214">
        <v>6</v>
      </c>
      <c r="AR50" s="215">
        <v>6.99</v>
      </c>
      <c r="AS50" s="216">
        <v>4</v>
      </c>
      <c r="AT50" s="216">
        <v>4.99</v>
      </c>
      <c r="AU50" s="214">
        <v>3</v>
      </c>
      <c r="AV50" s="214">
        <v>3.99</v>
      </c>
      <c r="AW50" s="221"/>
      <c r="AX50" s="221"/>
      <c r="AY50" s="214">
        <v>4</v>
      </c>
      <c r="AZ50" s="214">
        <v>4.99</v>
      </c>
      <c r="BA50" s="221"/>
      <c r="BB50" s="213">
        <v>3.99</v>
      </c>
      <c r="BC50" s="223">
        <v>42631</v>
      </c>
    </row>
    <row r="51" spans="37:55" x14ac:dyDescent="0.25">
      <c r="AK51" s="209" t="s">
        <v>304</v>
      </c>
      <c r="AL51" s="209">
        <v>18</v>
      </c>
      <c r="AM51" s="211">
        <v>1024</v>
      </c>
      <c r="AN51" s="229" t="s">
        <v>190</v>
      </c>
      <c r="AO51" s="221"/>
      <c r="AP51" s="221">
        <v>1.99</v>
      </c>
      <c r="AQ51" s="214">
        <v>4</v>
      </c>
      <c r="AR51" s="214">
        <v>4.99</v>
      </c>
      <c r="AS51" s="216">
        <v>3</v>
      </c>
      <c r="AT51" s="216">
        <v>3.99</v>
      </c>
      <c r="AU51" s="221"/>
      <c r="AV51" s="222">
        <v>6.99</v>
      </c>
      <c r="AW51" s="221"/>
      <c r="AX51" s="221">
        <v>5.99</v>
      </c>
      <c r="AY51" s="221"/>
      <c r="AZ51" s="213">
        <v>2.99</v>
      </c>
      <c r="BA51" s="221"/>
      <c r="BB51" s="221"/>
      <c r="BC51" s="223">
        <v>42610</v>
      </c>
    </row>
    <row r="52" spans="37:55" x14ac:dyDescent="0.25">
      <c r="AK52" s="209" t="s">
        <v>305</v>
      </c>
      <c r="AL52" s="209">
        <v>18</v>
      </c>
      <c r="AM52" s="211">
        <v>1049</v>
      </c>
      <c r="AN52" s="229"/>
      <c r="AO52" s="221"/>
      <c r="AP52" s="213">
        <v>0.99</v>
      </c>
      <c r="AQ52" s="214">
        <v>1</v>
      </c>
      <c r="AR52" s="214">
        <v>1.99</v>
      </c>
      <c r="AS52" s="216">
        <v>6</v>
      </c>
      <c r="AT52" s="217">
        <v>6.99</v>
      </c>
      <c r="AU52" s="216">
        <v>4</v>
      </c>
      <c r="AV52" s="216">
        <v>4.99</v>
      </c>
      <c r="AW52" s="221"/>
      <c r="AX52" s="213">
        <v>4.99</v>
      </c>
      <c r="AY52" s="214">
        <v>4</v>
      </c>
      <c r="AZ52" s="214">
        <v>4.99</v>
      </c>
      <c r="BA52" s="221"/>
      <c r="BB52" s="213">
        <v>1.99</v>
      </c>
      <c r="BC52" s="223">
        <v>42597</v>
      </c>
    </row>
    <row r="53" spans="37:55" x14ac:dyDescent="0.25">
      <c r="AK53" s="209" t="s">
        <v>306</v>
      </c>
      <c r="AL53" s="209">
        <v>17</v>
      </c>
      <c r="AM53" s="211">
        <v>1042</v>
      </c>
      <c r="AN53" s="229"/>
      <c r="AO53" s="221"/>
      <c r="AP53" s="213">
        <v>1.99</v>
      </c>
      <c r="AQ53" s="213">
        <v>2</v>
      </c>
      <c r="AR53" s="213">
        <v>3.99</v>
      </c>
      <c r="AS53" s="214">
        <v>5</v>
      </c>
      <c r="AT53" s="215">
        <v>5.99</v>
      </c>
      <c r="AU53" s="221"/>
      <c r="AV53" s="213">
        <v>2.99</v>
      </c>
      <c r="AW53" s="221"/>
      <c r="AX53" s="213">
        <v>3.99</v>
      </c>
      <c r="AY53" s="216">
        <v>5</v>
      </c>
      <c r="AZ53" s="217">
        <v>5.99</v>
      </c>
      <c r="BA53" s="221"/>
      <c r="BB53" s="221"/>
      <c r="BC53" s="223">
        <v>42667</v>
      </c>
    </row>
    <row r="54" spans="37:55" x14ac:dyDescent="0.25">
      <c r="AK54" s="209" t="s">
        <v>307</v>
      </c>
      <c r="AL54" s="209">
        <v>18</v>
      </c>
      <c r="AM54" s="211">
        <v>1049</v>
      </c>
      <c r="AN54" s="229"/>
      <c r="AO54" s="213">
        <v>4</v>
      </c>
      <c r="AP54" s="222">
        <v>6.99</v>
      </c>
      <c r="AQ54" s="214">
        <v>4</v>
      </c>
      <c r="AR54" s="214">
        <v>4.99</v>
      </c>
      <c r="AS54" s="221"/>
      <c r="AT54" s="213">
        <v>0.99</v>
      </c>
      <c r="AU54" s="221"/>
      <c r="AV54" s="213">
        <v>1.99</v>
      </c>
      <c r="AW54" s="216">
        <v>1</v>
      </c>
      <c r="AX54" s="216">
        <v>1.99</v>
      </c>
      <c r="AY54" s="214">
        <v>1</v>
      </c>
      <c r="AZ54" s="214">
        <v>1.99</v>
      </c>
      <c r="BA54" s="214">
        <v>2</v>
      </c>
      <c r="BB54" s="214">
        <v>2.99</v>
      </c>
      <c r="BC54" s="223">
        <v>42483</v>
      </c>
    </row>
    <row r="55" spans="37:55" x14ac:dyDescent="0.25">
      <c r="AK55" s="209" t="s">
        <v>308</v>
      </c>
      <c r="AL55" s="209">
        <v>17</v>
      </c>
      <c r="AM55" s="211">
        <v>911</v>
      </c>
      <c r="AN55" s="229"/>
      <c r="AO55" s="221"/>
      <c r="AP55" s="213">
        <v>1.99</v>
      </c>
      <c r="AQ55" s="216">
        <v>4</v>
      </c>
      <c r="AR55" s="216">
        <v>4.99</v>
      </c>
      <c r="AS55" s="216">
        <v>6</v>
      </c>
      <c r="AT55" s="217">
        <v>6.99</v>
      </c>
      <c r="AU55" s="214">
        <v>5</v>
      </c>
      <c r="AV55" s="215">
        <v>5.99</v>
      </c>
      <c r="AW55" s="216">
        <v>4</v>
      </c>
      <c r="AX55" s="216">
        <v>4.99</v>
      </c>
      <c r="AY55" s="214">
        <v>3</v>
      </c>
      <c r="AZ55" s="214">
        <v>3.99</v>
      </c>
      <c r="BA55" s="221"/>
      <c r="BB55" s="221"/>
      <c r="BC55" s="223">
        <v>42733</v>
      </c>
    </row>
    <row r="56" spans="37:55" x14ac:dyDescent="0.25">
      <c r="AK56" s="209" t="s">
        <v>309</v>
      </c>
      <c r="AL56" s="209">
        <v>17</v>
      </c>
      <c r="AM56" s="211">
        <v>914</v>
      </c>
      <c r="AN56" s="229" t="s">
        <v>240</v>
      </c>
      <c r="AO56" s="221"/>
      <c r="AP56" s="213">
        <v>1.99</v>
      </c>
      <c r="AQ56" s="221"/>
      <c r="AR56" s="221">
        <v>4.99</v>
      </c>
      <c r="AS56" s="216">
        <v>5</v>
      </c>
      <c r="AT56" s="217">
        <v>5.99</v>
      </c>
      <c r="AU56" s="216">
        <v>2</v>
      </c>
      <c r="AV56" s="216">
        <v>2.99</v>
      </c>
      <c r="AW56" s="221"/>
      <c r="AX56" s="221"/>
      <c r="AY56" s="214">
        <v>2</v>
      </c>
      <c r="AZ56" s="214">
        <v>2.99</v>
      </c>
      <c r="BA56" s="221"/>
      <c r="BB56" s="221"/>
      <c r="BC56" s="223">
        <v>42737</v>
      </c>
    </row>
    <row r="57" spans="37:55" x14ac:dyDescent="0.25">
      <c r="AK57" s="209" t="s">
        <v>310</v>
      </c>
      <c r="AL57" s="209">
        <v>17</v>
      </c>
      <c r="AM57" s="211">
        <v>954</v>
      </c>
      <c r="AN57" s="229"/>
      <c r="AO57" s="221"/>
      <c r="AP57" s="221"/>
      <c r="AQ57" s="216">
        <v>5</v>
      </c>
      <c r="AR57" s="217">
        <v>5.99</v>
      </c>
      <c r="AS57" s="214">
        <v>2</v>
      </c>
      <c r="AT57" s="214">
        <v>2.99</v>
      </c>
      <c r="AU57" s="214">
        <v>3</v>
      </c>
      <c r="AV57" s="214">
        <v>3.99</v>
      </c>
      <c r="AW57" s="213">
        <v>2</v>
      </c>
      <c r="AX57" s="213">
        <v>3.99</v>
      </c>
      <c r="AY57" s="214">
        <v>2</v>
      </c>
      <c r="AZ57" s="214">
        <v>2.99</v>
      </c>
      <c r="BA57" s="221"/>
      <c r="BB57" s="221"/>
      <c r="BC57" s="223">
        <v>42690</v>
      </c>
    </row>
    <row r="58" spans="37:55" x14ac:dyDescent="0.25">
      <c r="AK58" s="209" t="s">
        <v>311</v>
      </c>
      <c r="AL58" s="209">
        <v>19</v>
      </c>
      <c r="AM58" s="211">
        <v>909</v>
      </c>
      <c r="AN58" s="229" t="s">
        <v>258</v>
      </c>
      <c r="AO58" s="221"/>
      <c r="AP58" s="213">
        <v>1.99</v>
      </c>
      <c r="AQ58" s="214">
        <v>2</v>
      </c>
      <c r="AR58" s="214">
        <v>2.99</v>
      </c>
      <c r="AS58" s="214">
        <v>5</v>
      </c>
      <c r="AT58" s="215">
        <v>5.99</v>
      </c>
      <c r="AU58" s="221"/>
      <c r="AV58" s="213">
        <v>2.99</v>
      </c>
      <c r="AW58" s="213">
        <v>4</v>
      </c>
      <c r="AX58" s="222">
        <v>7</v>
      </c>
      <c r="AY58" s="214">
        <v>1</v>
      </c>
      <c r="AZ58" s="214">
        <v>1.99</v>
      </c>
      <c r="BA58" s="221"/>
      <c r="BB58" s="221"/>
      <c r="BC58" s="223">
        <v>42654</v>
      </c>
    </row>
    <row r="59" spans="37:55" x14ac:dyDescent="0.25">
      <c r="AK59" s="209" t="s">
        <v>312</v>
      </c>
      <c r="AL59" s="209">
        <v>16</v>
      </c>
      <c r="AM59" s="211">
        <v>992</v>
      </c>
      <c r="AN59" s="229"/>
      <c r="AO59" s="221"/>
      <c r="AP59" s="213">
        <v>1.99</v>
      </c>
      <c r="AQ59" s="216">
        <v>2</v>
      </c>
      <c r="AR59" s="216">
        <v>2.99</v>
      </c>
      <c r="AS59" s="216">
        <v>4</v>
      </c>
      <c r="AT59" s="216">
        <v>4.99</v>
      </c>
      <c r="AU59" s="214">
        <v>4</v>
      </c>
      <c r="AV59" s="214">
        <v>4.99</v>
      </c>
      <c r="AW59" s="216">
        <v>5</v>
      </c>
      <c r="AX59" s="217">
        <v>5.99</v>
      </c>
      <c r="AY59" s="214">
        <v>3</v>
      </c>
      <c r="AZ59" s="214">
        <v>3.99</v>
      </c>
      <c r="BA59" s="221"/>
      <c r="BB59" s="221"/>
      <c r="BC59" s="223">
        <v>42764</v>
      </c>
    </row>
    <row r="60" spans="37:55" x14ac:dyDescent="0.25">
      <c r="AK60" s="209" t="s">
        <v>313</v>
      </c>
      <c r="AL60" s="209">
        <v>16</v>
      </c>
      <c r="AM60" s="211">
        <v>980</v>
      </c>
      <c r="AN60" s="229"/>
      <c r="AO60" s="221"/>
      <c r="AP60" s="213">
        <v>1.99</v>
      </c>
      <c r="AQ60" s="214">
        <v>3</v>
      </c>
      <c r="AR60" s="214">
        <v>3.99</v>
      </c>
      <c r="AS60" s="216">
        <v>6</v>
      </c>
      <c r="AT60" s="217">
        <v>6.99</v>
      </c>
      <c r="AU60" s="214">
        <v>2</v>
      </c>
      <c r="AV60" s="214">
        <v>2.99</v>
      </c>
      <c r="AW60" s="221"/>
      <c r="AX60" s="213">
        <v>2.99</v>
      </c>
      <c r="AY60" s="214">
        <v>4</v>
      </c>
      <c r="AZ60" s="214">
        <v>4.99</v>
      </c>
      <c r="BA60" s="221"/>
      <c r="BB60" s="213">
        <v>3.99</v>
      </c>
      <c r="BC60" s="223">
        <v>42776</v>
      </c>
    </row>
    <row r="61" spans="37:55" x14ac:dyDescent="0.25">
      <c r="AK61" s="209" t="s">
        <v>314</v>
      </c>
      <c r="AL61" s="209">
        <v>17</v>
      </c>
      <c r="AM61" s="211">
        <v>936</v>
      </c>
      <c r="AN61" s="229"/>
      <c r="AO61" s="221"/>
      <c r="AP61" s="213">
        <v>1.99</v>
      </c>
      <c r="AQ61" s="216">
        <v>5</v>
      </c>
      <c r="AR61" s="217">
        <v>5.99</v>
      </c>
      <c r="AS61" s="216">
        <v>3</v>
      </c>
      <c r="AT61" s="216">
        <v>3.99</v>
      </c>
      <c r="AU61" s="221"/>
      <c r="AV61" s="213">
        <v>2.99</v>
      </c>
      <c r="AW61" s="216">
        <v>4</v>
      </c>
      <c r="AX61" s="216">
        <v>4.99</v>
      </c>
      <c r="AY61" s="221"/>
      <c r="AZ61" s="219">
        <v>5.99</v>
      </c>
      <c r="BA61" s="221"/>
      <c r="BB61" s="213">
        <v>2.99</v>
      </c>
      <c r="BC61" s="223">
        <v>42754</v>
      </c>
    </row>
    <row r="62" spans="37:55" x14ac:dyDescent="0.25">
      <c r="AK62" s="209" t="s">
        <v>315</v>
      </c>
      <c r="AL62" s="209">
        <v>17</v>
      </c>
      <c r="AM62" s="211">
        <v>840</v>
      </c>
      <c r="AN62" s="229"/>
      <c r="AO62" s="221"/>
      <c r="AP62" s="213">
        <v>1.99</v>
      </c>
      <c r="AQ62" s="213">
        <v>6</v>
      </c>
      <c r="AR62" s="222">
        <v>7</v>
      </c>
      <c r="AS62" s="221"/>
      <c r="AT62" s="213">
        <v>2.99</v>
      </c>
      <c r="AU62" s="216">
        <v>5</v>
      </c>
      <c r="AV62" s="217">
        <v>5.99</v>
      </c>
      <c r="AW62" s="216">
        <v>3</v>
      </c>
      <c r="AX62" s="216">
        <v>3.99</v>
      </c>
      <c r="AY62" s="214">
        <v>3</v>
      </c>
      <c r="AZ62" s="214">
        <v>3.99</v>
      </c>
      <c r="BA62" s="221"/>
      <c r="BB62" s="213">
        <v>3.99</v>
      </c>
      <c r="BC62" s="223">
        <v>42804</v>
      </c>
    </row>
    <row r="63" spans="37:55" x14ac:dyDescent="0.25">
      <c r="AK63" s="209" t="s">
        <v>316</v>
      </c>
      <c r="AL63" s="209">
        <v>16</v>
      </c>
      <c r="AM63" s="211">
        <v>944</v>
      </c>
      <c r="AN63" s="229"/>
      <c r="AO63" s="221"/>
      <c r="AP63" s="221">
        <v>1.99</v>
      </c>
      <c r="AQ63" s="214">
        <v>2</v>
      </c>
      <c r="AR63" s="214">
        <v>2.99</v>
      </c>
      <c r="AS63" s="216">
        <v>5</v>
      </c>
      <c r="AT63" s="217">
        <v>5.99</v>
      </c>
      <c r="AU63" s="214">
        <v>4</v>
      </c>
      <c r="AV63" s="214">
        <v>4.99</v>
      </c>
      <c r="AW63" s="214">
        <v>3</v>
      </c>
      <c r="AX63" s="214">
        <v>3.99</v>
      </c>
      <c r="AY63" s="214">
        <v>3</v>
      </c>
      <c r="AZ63" s="214">
        <v>3.99</v>
      </c>
      <c r="BA63" s="221"/>
      <c r="BB63" s="221">
        <v>4.99</v>
      </c>
      <c r="BC63" s="223">
        <v>42812</v>
      </c>
    </row>
    <row r="64" spans="37:55" x14ac:dyDescent="0.25">
      <c r="AK64" s="209" t="s">
        <v>317</v>
      </c>
      <c r="AL64" s="209">
        <v>17</v>
      </c>
      <c r="AM64" s="211">
        <v>887</v>
      </c>
      <c r="AN64" s="229"/>
      <c r="AO64" s="221"/>
      <c r="AP64" s="221"/>
      <c r="AQ64" s="214">
        <v>4</v>
      </c>
      <c r="AR64" s="214">
        <v>4.99</v>
      </c>
      <c r="AS64" s="216">
        <v>4</v>
      </c>
      <c r="AT64" s="216">
        <v>4.99</v>
      </c>
      <c r="AU64" s="221"/>
      <c r="AV64" s="213">
        <v>4.99</v>
      </c>
      <c r="AW64" s="213">
        <v>5</v>
      </c>
      <c r="AX64" s="222">
        <v>6.99</v>
      </c>
      <c r="AY64" s="214">
        <v>3</v>
      </c>
      <c r="AZ64" s="214">
        <v>3.99</v>
      </c>
      <c r="BA64" s="221"/>
      <c r="BB64" s="221"/>
      <c r="BC64" s="223">
        <v>42779</v>
      </c>
    </row>
    <row r="65" spans="37:58" x14ac:dyDescent="0.25">
      <c r="AK65" s="209" t="s">
        <v>318</v>
      </c>
      <c r="AL65" s="209">
        <v>17</v>
      </c>
      <c r="AM65" s="211">
        <v>804</v>
      </c>
      <c r="AN65" s="229" t="s">
        <v>240</v>
      </c>
      <c r="AO65" s="221"/>
      <c r="AP65" s="221"/>
      <c r="AQ65" s="214">
        <v>2</v>
      </c>
      <c r="AR65" s="214">
        <v>2.99</v>
      </c>
      <c r="AS65" s="216">
        <v>4</v>
      </c>
      <c r="AT65" s="216">
        <v>4.99</v>
      </c>
      <c r="AU65" s="214">
        <v>3</v>
      </c>
      <c r="AV65" s="214">
        <v>3.99</v>
      </c>
      <c r="AW65" s="216">
        <v>6</v>
      </c>
      <c r="AX65" s="217">
        <v>6.99</v>
      </c>
      <c r="AY65" s="214">
        <v>3</v>
      </c>
      <c r="AZ65" s="214">
        <v>3.99</v>
      </c>
      <c r="BA65" s="221"/>
      <c r="BB65" s="213">
        <v>2.99</v>
      </c>
      <c r="BC65" s="223">
        <v>42840</v>
      </c>
    </row>
    <row r="66" spans="37:58" x14ac:dyDescent="0.25">
      <c r="AK66" s="209" t="s">
        <v>319</v>
      </c>
      <c r="AL66" s="209">
        <v>17</v>
      </c>
      <c r="AM66" s="211">
        <v>886</v>
      </c>
      <c r="AN66" s="229"/>
      <c r="AO66" s="221"/>
      <c r="AP66" s="221"/>
      <c r="AQ66" s="216">
        <v>4</v>
      </c>
      <c r="AR66" s="216">
        <v>4.99</v>
      </c>
      <c r="AS66" s="216">
        <v>4</v>
      </c>
      <c r="AT66" s="216">
        <v>4.99</v>
      </c>
      <c r="AU66" s="213">
        <v>5</v>
      </c>
      <c r="AV66" s="222">
        <v>6.99</v>
      </c>
      <c r="AW66" s="221"/>
      <c r="AX66" s="213">
        <v>3.99</v>
      </c>
      <c r="AY66" s="214">
        <v>3</v>
      </c>
      <c r="AZ66" s="214">
        <v>3.99</v>
      </c>
      <c r="BA66" s="221"/>
      <c r="BB66" s="221"/>
      <c r="BC66" s="223">
        <v>42828</v>
      </c>
    </row>
    <row r="67" spans="37:58" x14ac:dyDescent="0.25">
      <c r="AK67" s="209" t="s">
        <v>320</v>
      </c>
      <c r="AL67" s="209">
        <v>17</v>
      </c>
      <c r="AM67" s="211">
        <v>785</v>
      </c>
      <c r="AN67" s="229"/>
      <c r="AO67" s="221"/>
      <c r="AP67" s="221"/>
      <c r="AQ67" s="216">
        <v>4</v>
      </c>
      <c r="AR67" s="216">
        <v>4.99</v>
      </c>
      <c r="AS67" s="216">
        <v>5</v>
      </c>
      <c r="AT67" s="217">
        <v>5.99</v>
      </c>
      <c r="AU67" s="221"/>
      <c r="AV67" s="221"/>
      <c r="AW67" s="221"/>
      <c r="AX67" s="221"/>
      <c r="AY67" s="221"/>
      <c r="AZ67" s="213">
        <v>4.99</v>
      </c>
      <c r="BA67" s="221"/>
      <c r="BB67" s="221"/>
      <c r="BC67" s="223">
        <v>42863</v>
      </c>
    </row>
    <row r="68" spans="37:58" x14ac:dyDescent="0.25">
      <c r="AK68" s="209" t="s">
        <v>321</v>
      </c>
      <c r="AL68" s="209">
        <v>16</v>
      </c>
      <c r="AM68" s="211">
        <v>883</v>
      </c>
      <c r="AN68" s="229" t="s">
        <v>240</v>
      </c>
      <c r="AO68" s="221"/>
      <c r="AP68" s="221"/>
      <c r="AQ68" s="216">
        <v>4</v>
      </c>
      <c r="AR68" s="216">
        <v>4.99</v>
      </c>
      <c r="AS68" s="216">
        <v>3</v>
      </c>
      <c r="AT68" s="216">
        <v>3.99</v>
      </c>
      <c r="AU68" s="221"/>
      <c r="AV68" s="213">
        <v>2.99</v>
      </c>
      <c r="AW68" s="216">
        <v>5</v>
      </c>
      <c r="AX68" s="217">
        <v>5.99</v>
      </c>
      <c r="AY68" s="216">
        <v>5</v>
      </c>
      <c r="AZ68" s="217">
        <v>5.99</v>
      </c>
      <c r="BA68" s="221"/>
      <c r="BB68" s="221"/>
      <c r="BC68" s="223">
        <v>42873</v>
      </c>
    </row>
    <row r="69" spans="37:58" x14ac:dyDescent="0.25">
      <c r="AK69" s="209" t="s">
        <v>322</v>
      </c>
      <c r="AL69" s="209">
        <v>17</v>
      </c>
      <c r="AM69" s="211">
        <v>787</v>
      </c>
      <c r="AN69" s="229" t="s">
        <v>323</v>
      </c>
      <c r="AO69" s="221"/>
      <c r="AP69" s="213">
        <v>1.99</v>
      </c>
      <c r="AQ69" s="216">
        <v>4</v>
      </c>
      <c r="AR69" s="216">
        <v>4.99</v>
      </c>
      <c r="AS69" s="213">
        <v>6</v>
      </c>
      <c r="AT69" s="222">
        <v>7</v>
      </c>
      <c r="AU69" s="221"/>
      <c r="AV69" s="213">
        <v>3.99</v>
      </c>
      <c r="AW69" s="216">
        <v>3</v>
      </c>
      <c r="AX69" s="216">
        <v>3.99</v>
      </c>
      <c r="AY69" s="214">
        <v>2</v>
      </c>
      <c r="AZ69" s="214">
        <v>2.99</v>
      </c>
      <c r="BA69" s="221"/>
      <c r="BB69" s="221"/>
      <c r="BC69" s="223">
        <v>42886</v>
      </c>
    </row>
    <row r="70" spans="37:58" x14ac:dyDescent="0.25">
      <c r="AK70" s="209" t="s">
        <v>324</v>
      </c>
      <c r="AL70" s="209">
        <v>17</v>
      </c>
      <c r="AM70" s="211">
        <v>812</v>
      </c>
      <c r="AN70" s="229" t="s">
        <v>190</v>
      </c>
      <c r="AO70" s="221"/>
      <c r="AP70" s="221"/>
      <c r="AQ70" s="221"/>
      <c r="AR70" s="213">
        <v>4.99</v>
      </c>
      <c r="AS70" s="216">
        <v>5</v>
      </c>
      <c r="AT70" s="217">
        <v>5.99</v>
      </c>
      <c r="AU70" s="221"/>
      <c r="AV70" s="213">
        <v>2.99</v>
      </c>
      <c r="AW70" s="221"/>
      <c r="AX70" s="221">
        <v>2.99</v>
      </c>
      <c r="AY70" s="213">
        <v>4</v>
      </c>
      <c r="AZ70" s="219">
        <v>5.99</v>
      </c>
      <c r="BA70" s="221"/>
      <c r="BB70" s="221"/>
      <c r="BC70" s="223">
        <v>42912</v>
      </c>
    </row>
    <row r="71" spans="37:58" x14ac:dyDescent="0.25">
      <c r="AK71" s="209" t="s">
        <v>325</v>
      </c>
      <c r="AL71" s="209">
        <v>17</v>
      </c>
      <c r="AM71" s="211">
        <v>-1523</v>
      </c>
      <c r="AN71" s="229" t="s">
        <v>232</v>
      </c>
      <c r="AO71" s="221"/>
      <c r="AP71" s="213">
        <v>1.99</v>
      </c>
      <c r="AQ71" s="214">
        <v>4</v>
      </c>
      <c r="AR71" s="214">
        <v>4.99</v>
      </c>
      <c r="AS71" s="221"/>
      <c r="AT71" s="221"/>
      <c r="AU71" s="221"/>
      <c r="AV71" s="213">
        <v>1.99</v>
      </c>
      <c r="AW71" s="216">
        <v>6</v>
      </c>
      <c r="AX71" s="217">
        <v>6.99</v>
      </c>
      <c r="AY71" s="214">
        <v>3</v>
      </c>
      <c r="AZ71" s="214">
        <v>3.99</v>
      </c>
      <c r="BA71" s="221"/>
      <c r="BB71" s="213">
        <v>2.99</v>
      </c>
      <c r="BC71" s="223">
        <v>45167</v>
      </c>
    </row>
    <row r="72" spans="37:58" x14ac:dyDescent="0.25">
      <c r="AK72" s="209" t="s">
        <v>326</v>
      </c>
      <c r="AL72" s="209">
        <v>18</v>
      </c>
      <c r="AM72" s="211">
        <v>793</v>
      </c>
      <c r="AN72" s="229"/>
      <c r="AO72" s="221"/>
      <c r="AP72" s="219">
        <v>5.99</v>
      </c>
      <c r="AQ72" s="216">
        <v>4</v>
      </c>
      <c r="AR72" s="216">
        <v>4.99</v>
      </c>
      <c r="AS72" s="214">
        <v>1</v>
      </c>
      <c r="AT72" s="214">
        <v>1.99</v>
      </c>
      <c r="AU72" s="214">
        <v>0</v>
      </c>
      <c r="AV72" s="214">
        <v>0.99</v>
      </c>
      <c r="AW72" s="214">
        <v>0</v>
      </c>
      <c r="AX72" s="214">
        <v>0.99</v>
      </c>
      <c r="AY72" s="214">
        <v>0</v>
      </c>
      <c r="AZ72" s="214">
        <v>0.99</v>
      </c>
      <c r="BA72" s="221"/>
      <c r="BB72" s="221"/>
      <c r="BC72" s="223">
        <v>42739</v>
      </c>
    </row>
    <row r="73" spans="37:58" x14ac:dyDescent="0.25">
      <c r="AK73" s="209" t="s">
        <v>327</v>
      </c>
      <c r="AL73" s="209">
        <v>18</v>
      </c>
      <c r="AM73" s="211">
        <v>770</v>
      </c>
      <c r="AN73" s="229" t="s">
        <v>232</v>
      </c>
      <c r="AO73" s="221"/>
      <c r="AP73" s="221"/>
      <c r="AQ73" s="214">
        <v>3</v>
      </c>
      <c r="AR73" s="214">
        <v>3.99</v>
      </c>
      <c r="AS73" s="216">
        <v>5</v>
      </c>
      <c r="AT73" s="217">
        <v>5.99</v>
      </c>
      <c r="AU73" s="221"/>
      <c r="AV73" s="222">
        <v>6.99</v>
      </c>
      <c r="AW73" s="213">
        <v>2</v>
      </c>
      <c r="AX73" s="221"/>
      <c r="AY73" s="214">
        <v>3</v>
      </c>
      <c r="AZ73" s="214">
        <v>3.99</v>
      </c>
      <c r="BA73" s="221"/>
      <c r="BB73" s="221"/>
      <c r="BC73" s="223">
        <v>42835</v>
      </c>
    </row>
    <row r="74" spans="37:58" x14ac:dyDescent="0.25">
      <c r="AK74" s="209" t="s">
        <v>328</v>
      </c>
      <c r="AL74" s="209">
        <v>16</v>
      </c>
      <c r="AM74" s="211">
        <v>778</v>
      </c>
      <c r="AN74" s="229"/>
      <c r="AO74" s="221"/>
      <c r="AP74" s="221"/>
      <c r="AQ74" s="221"/>
      <c r="AR74" s="213">
        <v>2.99</v>
      </c>
      <c r="AS74" s="216">
        <v>3</v>
      </c>
      <c r="AT74" s="221">
        <v>3.99</v>
      </c>
      <c r="AU74" s="221"/>
      <c r="AV74" s="213">
        <v>3.99</v>
      </c>
      <c r="AW74" s="216">
        <v>6</v>
      </c>
      <c r="AX74" s="217">
        <v>6.99</v>
      </c>
      <c r="AY74" s="214">
        <v>4</v>
      </c>
      <c r="AZ74" s="214">
        <v>4.99</v>
      </c>
      <c r="BA74" s="221"/>
      <c r="BB74" s="221"/>
      <c r="BC74" s="223">
        <v>42978</v>
      </c>
    </row>
    <row r="75" spans="37:58" x14ac:dyDescent="0.25">
      <c r="AK75" s="209" t="s">
        <v>329</v>
      </c>
      <c r="AL75" s="209">
        <v>16</v>
      </c>
      <c r="AM75" s="211">
        <v>745</v>
      </c>
      <c r="AN75" s="229" t="s">
        <v>232</v>
      </c>
      <c r="AO75" s="221"/>
      <c r="AP75" s="213">
        <v>1.99</v>
      </c>
      <c r="AQ75" s="221"/>
      <c r="AR75" s="213">
        <v>2.99</v>
      </c>
      <c r="AS75" s="214">
        <v>3</v>
      </c>
      <c r="AT75" s="214">
        <v>3.99</v>
      </c>
      <c r="AU75" s="216">
        <v>3</v>
      </c>
      <c r="AV75" s="225">
        <v>3.99</v>
      </c>
      <c r="AW75" s="216">
        <v>5</v>
      </c>
      <c r="AX75" s="217">
        <v>5.99</v>
      </c>
      <c r="AY75" s="216">
        <v>6</v>
      </c>
      <c r="AZ75" s="217">
        <v>6.99</v>
      </c>
      <c r="BA75" s="221"/>
      <c r="BB75" s="221"/>
      <c r="BC75" s="223">
        <v>43011</v>
      </c>
    </row>
    <row r="76" spans="37:58" x14ac:dyDescent="0.25">
      <c r="AK76" s="209" t="s">
        <v>330</v>
      </c>
      <c r="AL76" s="209">
        <v>16</v>
      </c>
      <c r="AM76" s="211">
        <v>725</v>
      </c>
      <c r="AN76" s="229"/>
      <c r="AO76" s="221"/>
      <c r="AP76" s="221"/>
      <c r="AQ76" s="221"/>
      <c r="AR76" s="213">
        <v>3.99</v>
      </c>
      <c r="AS76" s="216">
        <v>3</v>
      </c>
      <c r="AT76" s="216">
        <v>3.99</v>
      </c>
      <c r="AU76" s="216">
        <v>6</v>
      </c>
      <c r="AV76" s="217">
        <v>6.99</v>
      </c>
      <c r="AW76" s="214">
        <v>1</v>
      </c>
      <c r="AX76" s="214">
        <v>1.99</v>
      </c>
      <c r="AY76" s="213">
        <v>4</v>
      </c>
      <c r="AZ76" s="219">
        <v>5.99</v>
      </c>
      <c r="BA76" s="221"/>
      <c r="BB76" s="213">
        <v>2.99</v>
      </c>
      <c r="BC76" s="223">
        <v>43031</v>
      </c>
    </row>
    <row r="77" spans="37:58" x14ac:dyDescent="0.25">
      <c r="AK77" s="209" t="s">
        <v>331</v>
      </c>
      <c r="AL77" s="209">
        <v>18</v>
      </c>
      <c r="AM77" s="211">
        <v>706</v>
      </c>
      <c r="AN77" s="229"/>
      <c r="AO77" s="221"/>
      <c r="AP77" s="213">
        <v>1.99</v>
      </c>
      <c r="AQ77" s="213">
        <v>3</v>
      </c>
      <c r="AR77" s="213">
        <v>4.99</v>
      </c>
      <c r="AS77" s="214">
        <v>3</v>
      </c>
      <c r="AT77" s="214">
        <v>3.99</v>
      </c>
      <c r="AU77" s="213">
        <v>5</v>
      </c>
      <c r="AV77" s="222">
        <v>6.99</v>
      </c>
      <c r="AW77" s="214">
        <v>2</v>
      </c>
      <c r="AX77" s="214">
        <v>2.99</v>
      </c>
      <c r="AY77" s="221"/>
      <c r="AZ77" s="213">
        <v>2.99</v>
      </c>
      <c r="BA77" s="221"/>
      <c r="BB77" s="221">
        <v>3.99</v>
      </c>
      <c r="BC77" s="223">
        <v>42928</v>
      </c>
    </row>
    <row r="78" spans="37:58" x14ac:dyDescent="0.25">
      <c r="AK78" s="209" t="s">
        <v>332</v>
      </c>
      <c r="AL78" s="209">
        <v>17</v>
      </c>
      <c r="AM78" s="211">
        <v>585</v>
      </c>
      <c r="AN78" s="229"/>
      <c r="AO78" s="221"/>
      <c r="AP78" s="213">
        <v>1.99</v>
      </c>
      <c r="AQ78" s="221"/>
      <c r="AR78" s="213">
        <v>3.99</v>
      </c>
      <c r="AS78" s="213">
        <v>6</v>
      </c>
      <c r="AT78" s="222">
        <v>7</v>
      </c>
      <c r="AU78" s="216">
        <v>6</v>
      </c>
      <c r="AV78" s="217">
        <v>6.99</v>
      </c>
      <c r="AW78" s="216">
        <v>2</v>
      </c>
      <c r="AX78" s="216">
        <v>2.99</v>
      </c>
      <c r="AY78" s="214">
        <v>4</v>
      </c>
      <c r="AZ78" s="214">
        <v>4.99</v>
      </c>
      <c r="BA78" s="221"/>
      <c r="BB78" s="213">
        <v>4.99</v>
      </c>
      <c r="BC78" s="223">
        <v>43059</v>
      </c>
    </row>
    <row r="79" spans="37:58" x14ac:dyDescent="0.25">
      <c r="AK79" s="209" t="s">
        <v>333</v>
      </c>
      <c r="AL79" s="209">
        <v>16</v>
      </c>
      <c r="AM79" s="211">
        <v>656</v>
      </c>
      <c r="AN79" s="229"/>
      <c r="AO79" s="221"/>
      <c r="AP79" s="213">
        <v>1.99</v>
      </c>
      <c r="AQ79" s="214">
        <v>2</v>
      </c>
      <c r="AR79" s="214">
        <v>2.99</v>
      </c>
      <c r="AS79" s="214">
        <v>4</v>
      </c>
      <c r="AT79" s="214">
        <v>4.99</v>
      </c>
      <c r="AU79" s="216">
        <v>3</v>
      </c>
      <c r="AV79" s="216">
        <v>3.99</v>
      </c>
      <c r="AW79" s="216">
        <v>5</v>
      </c>
      <c r="AX79" s="217">
        <v>5.99</v>
      </c>
      <c r="AY79" s="214">
        <v>1</v>
      </c>
      <c r="AZ79" s="214">
        <v>1.99</v>
      </c>
      <c r="BA79" s="221"/>
      <c r="BB79" s="221"/>
      <c r="BC79" s="223">
        <v>43100</v>
      </c>
      <c r="BD79" s="3"/>
      <c r="BE79" s="3"/>
      <c r="BF79" s="3"/>
    </row>
    <row r="80" spans="37:58" x14ac:dyDescent="0.25">
      <c r="AK80" s="209" t="s">
        <v>334</v>
      </c>
      <c r="AL80" s="209">
        <v>17</v>
      </c>
      <c r="AM80" s="211">
        <v>535</v>
      </c>
      <c r="AN80" s="229"/>
      <c r="AO80" s="221"/>
      <c r="AP80" s="221"/>
      <c r="AQ80" s="221"/>
      <c r="AR80" s="213">
        <v>2.99</v>
      </c>
      <c r="AS80" s="216">
        <v>6</v>
      </c>
      <c r="AT80" s="217">
        <v>6.6</v>
      </c>
      <c r="AU80" s="216">
        <v>5</v>
      </c>
      <c r="AV80" s="217">
        <v>5.99</v>
      </c>
      <c r="AW80" s="216">
        <v>4</v>
      </c>
      <c r="AX80" s="216">
        <v>4.99</v>
      </c>
      <c r="AY80" s="221"/>
      <c r="AZ80" s="213">
        <v>2.99</v>
      </c>
      <c r="BA80" s="221"/>
      <c r="BB80" s="221"/>
      <c r="BC80" s="223">
        <v>43109</v>
      </c>
      <c r="BD80" s="3"/>
      <c r="BE80" s="3"/>
      <c r="BF80" s="3"/>
    </row>
    <row r="81" spans="37:58" x14ac:dyDescent="0.25">
      <c r="AK81" s="209" t="s">
        <v>335</v>
      </c>
      <c r="AL81" s="209">
        <v>16</v>
      </c>
      <c r="AM81" s="211">
        <v>581</v>
      </c>
      <c r="AN81" s="229" t="s">
        <v>336</v>
      </c>
      <c r="AO81" s="221"/>
      <c r="AP81" s="221"/>
      <c r="AQ81" s="221"/>
      <c r="AR81" s="213">
        <v>3.99</v>
      </c>
      <c r="AS81" s="214">
        <v>4</v>
      </c>
      <c r="AT81" s="214">
        <v>4.99</v>
      </c>
      <c r="AU81" s="221"/>
      <c r="AV81" s="219">
        <v>5.99</v>
      </c>
      <c r="AW81" s="216">
        <v>1</v>
      </c>
      <c r="AX81" s="216">
        <v>1.99</v>
      </c>
      <c r="AY81" s="221"/>
      <c r="AZ81" s="213">
        <v>3.99</v>
      </c>
      <c r="BA81" s="221"/>
      <c r="BB81" s="221"/>
      <c r="BC81" s="223">
        <v>43175</v>
      </c>
      <c r="BD81" s="3"/>
      <c r="BE81" s="3"/>
      <c r="BF81" s="3"/>
    </row>
    <row r="82" spans="37:58" x14ac:dyDescent="0.25">
      <c r="AK82" s="209" t="s">
        <v>337</v>
      </c>
      <c r="AL82" s="209">
        <v>17</v>
      </c>
      <c r="AM82" s="211">
        <v>473</v>
      </c>
      <c r="AN82" s="229" t="s">
        <v>336</v>
      </c>
      <c r="AO82" s="221"/>
      <c r="AP82" s="213">
        <v>0.99</v>
      </c>
      <c r="AQ82" s="214">
        <v>3</v>
      </c>
      <c r="AR82" s="214">
        <v>3.99</v>
      </c>
      <c r="AS82" s="214">
        <v>5</v>
      </c>
      <c r="AT82" s="214">
        <v>5.99</v>
      </c>
      <c r="AU82" s="221"/>
      <c r="AV82" s="213">
        <v>2.99</v>
      </c>
      <c r="AW82" s="221"/>
      <c r="AX82" s="221"/>
      <c r="AY82" s="214">
        <v>2</v>
      </c>
      <c r="AZ82" s="214">
        <v>2.99</v>
      </c>
      <c r="BA82" s="221"/>
      <c r="BB82" s="221"/>
      <c r="BC82" s="223">
        <v>43192</v>
      </c>
      <c r="BD82" s="3"/>
      <c r="BE82" s="3"/>
      <c r="BF82" s="3"/>
    </row>
    <row r="83" spans="37:58" x14ac:dyDescent="0.25">
      <c r="AK83" s="209" t="s">
        <v>338</v>
      </c>
      <c r="AL83" s="209">
        <v>18</v>
      </c>
      <c r="AM83" s="211">
        <v>539</v>
      </c>
      <c r="AN83" s="229"/>
      <c r="AO83" s="221"/>
      <c r="AP83" s="213">
        <v>1.99</v>
      </c>
      <c r="AQ83" s="214">
        <v>3</v>
      </c>
      <c r="AR83" s="214">
        <v>3.99</v>
      </c>
      <c r="AS83" s="214">
        <v>4</v>
      </c>
      <c r="AT83" s="214">
        <v>4.99</v>
      </c>
      <c r="AU83" s="214">
        <v>2</v>
      </c>
      <c r="AV83" s="214">
        <v>2.99</v>
      </c>
      <c r="AW83" s="214">
        <v>4</v>
      </c>
      <c r="AX83" s="214">
        <v>4.99</v>
      </c>
      <c r="AY83" s="216">
        <v>4</v>
      </c>
      <c r="AZ83" s="216">
        <v>4.99</v>
      </c>
      <c r="BA83" s="221"/>
      <c r="BB83" s="213">
        <v>2.99</v>
      </c>
      <c r="BC83" s="223">
        <v>42919</v>
      </c>
      <c r="BD83" s="3"/>
      <c r="BE83" s="3"/>
      <c r="BF83" s="3"/>
    </row>
    <row r="84" spans="37:58" x14ac:dyDescent="0.25">
      <c r="AK84" s="209" t="s">
        <v>339</v>
      </c>
      <c r="AL84" s="209">
        <v>18</v>
      </c>
      <c r="AM84" s="211">
        <v>539</v>
      </c>
      <c r="AN84" s="229" t="s">
        <v>198</v>
      </c>
      <c r="AO84" s="221"/>
      <c r="AP84" s="213">
        <v>0.99</v>
      </c>
      <c r="AQ84" s="216">
        <v>3</v>
      </c>
      <c r="AR84" s="216">
        <v>3.99</v>
      </c>
      <c r="AS84" s="216">
        <v>3</v>
      </c>
      <c r="AT84" s="216">
        <v>3.99</v>
      </c>
      <c r="AU84" s="216">
        <v>3</v>
      </c>
      <c r="AV84" s="216">
        <v>3.99</v>
      </c>
      <c r="AW84" s="213">
        <v>4</v>
      </c>
      <c r="AX84" s="222">
        <v>7</v>
      </c>
      <c r="AY84" s="221"/>
      <c r="AZ84" s="219">
        <v>5.99</v>
      </c>
      <c r="BA84" s="221"/>
      <c r="BB84" s="213">
        <v>1.99</v>
      </c>
      <c r="BC84" s="223">
        <v>43067</v>
      </c>
      <c r="BD84" s="3"/>
      <c r="BE84" s="3"/>
      <c r="BF84" s="3"/>
    </row>
    <row r="85" spans="37:58" x14ac:dyDescent="0.25">
      <c r="AK85" s="209" t="s">
        <v>340</v>
      </c>
      <c r="AL85" s="209">
        <v>18</v>
      </c>
      <c r="AM85" s="211">
        <v>-1718</v>
      </c>
      <c r="AN85" s="229" t="s">
        <v>240</v>
      </c>
      <c r="AO85" s="221"/>
      <c r="AP85" s="213">
        <v>1.99</v>
      </c>
      <c r="AQ85" s="214">
        <v>2</v>
      </c>
      <c r="AR85" s="214">
        <v>2.99</v>
      </c>
      <c r="AS85" s="214">
        <v>4</v>
      </c>
      <c r="AT85" s="214">
        <v>4.99</v>
      </c>
      <c r="AU85" s="221"/>
      <c r="AV85" s="213">
        <v>3.99</v>
      </c>
      <c r="AW85" s="213">
        <v>2</v>
      </c>
      <c r="AX85" s="213">
        <v>3.99</v>
      </c>
      <c r="AY85" s="221"/>
      <c r="AZ85" s="213">
        <v>2.99</v>
      </c>
      <c r="BA85" s="221"/>
      <c r="BB85" s="221"/>
      <c r="BC85" s="223">
        <v>45250</v>
      </c>
      <c r="BD85" s="3"/>
      <c r="BE85" s="3"/>
      <c r="BF85" s="3"/>
    </row>
    <row r="86" spans="37:58" x14ac:dyDescent="0.25">
      <c r="AK86" s="209" t="s">
        <v>341</v>
      </c>
      <c r="AL86" s="209">
        <v>17</v>
      </c>
      <c r="AM86" s="211">
        <v>423</v>
      </c>
      <c r="AN86" s="229"/>
      <c r="AO86" s="221"/>
      <c r="AP86" s="213">
        <v>1.99</v>
      </c>
      <c r="AQ86" s="216">
        <v>4</v>
      </c>
      <c r="AR86" s="216">
        <v>4.99</v>
      </c>
      <c r="AS86" s="214">
        <v>3</v>
      </c>
      <c r="AT86" s="214">
        <v>3.99</v>
      </c>
      <c r="AU86" s="213">
        <v>5</v>
      </c>
      <c r="AV86" s="222">
        <v>6.99</v>
      </c>
      <c r="AW86" s="214">
        <v>1</v>
      </c>
      <c r="AX86" s="214">
        <v>1.99</v>
      </c>
      <c r="AY86" s="214">
        <v>1</v>
      </c>
      <c r="AZ86" s="214">
        <v>1.99</v>
      </c>
      <c r="BA86" s="221"/>
      <c r="BB86" s="221"/>
      <c r="BC86" s="223">
        <v>43221</v>
      </c>
      <c r="BD86" s="3"/>
      <c r="BE86" s="3"/>
      <c r="BF86" s="3"/>
    </row>
    <row r="87" spans="37:58" x14ac:dyDescent="0.25">
      <c r="AK87" s="209" t="s">
        <v>342</v>
      </c>
      <c r="AL87" s="209">
        <v>18</v>
      </c>
      <c r="AM87" s="211">
        <v>413</v>
      </c>
      <c r="AN87" s="229"/>
      <c r="AO87" s="221"/>
      <c r="AP87" s="213">
        <v>0.99</v>
      </c>
      <c r="AQ87" s="216">
        <v>6</v>
      </c>
      <c r="AR87" s="217">
        <v>6.99</v>
      </c>
      <c r="AS87" s="216">
        <v>4</v>
      </c>
      <c r="AT87" s="216">
        <v>4.99</v>
      </c>
      <c r="AU87" s="213">
        <v>4</v>
      </c>
      <c r="AV87" s="219">
        <v>5.99</v>
      </c>
      <c r="AW87" s="221"/>
      <c r="AX87" s="213">
        <v>3.99</v>
      </c>
      <c r="AY87" s="221"/>
      <c r="AZ87" s="213">
        <v>4.99</v>
      </c>
      <c r="BA87" s="221"/>
      <c r="BB87" s="213">
        <v>2.99</v>
      </c>
      <c r="BC87" s="223">
        <v>43143</v>
      </c>
      <c r="BD87" s="3"/>
      <c r="BE87" s="3"/>
      <c r="BF87" s="3"/>
    </row>
    <row r="88" spans="37:58" x14ac:dyDescent="0.25">
      <c r="AK88" s="209" t="s">
        <v>343</v>
      </c>
      <c r="AL88" s="209">
        <v>16</v>
      </c>
      <c r="AM88" s="211">
        <v>467</v>
      </c>
      <c r="AN88" s="229" t="s">
        <v>175</v>
      </c>
      <c r="AO88" s="221"/>
      <c r="AP88" s="213">
        <v>0.99</v>
      </c>
      <c r="AQ88" s="216">
        <v>7</v>
      </c>
      <c r="AR88" s="217">
        <v>7</v>
      </c>
      <c r="AS88" s="216">
        <v>4</v>
      </c>
      <c r="AT88" s="216">
        <v>4.99</v>
      </c>
      <c r="AU88" s="216">
        <v>4</v>
      </c>
      <c r="AV88" s="216">
        <v>4.99</v>
      </c>
      <c r="AW88" s="214">
        <v>3</v>
      </c>
      <c r="AX88" s="214">
        <v>3.99</v>
      </c>
      <c r="AY88" s="221"/>
      <c r="AZ88" s="213">
        <v>2.99</v>
      </c>
      <c r="BA88" s="221"/>
      <c r="BB88" s="213">
        <v>3.99</v>
      </c>
      <c r="BC88" s="223">
        <v>43289</v>
      </c>
      <c r="BD88" s="3"/>
      <c r="BE88" s="3"/>
      <c r="BF88" s="3"/>
    </row>
    <row r="89" spans="37:58" x14ac:dyDescent="0.25">
      <c r="AK89" s="209" t="s">
        <v>344</v>
      </c>
      <c r="AL89" s="209">
        <v>16</v>
      </c>
      <c r="AM89" s="211">
        <v>386</v>
      </c>
      <c r="AN89" s="229"/>
      <c r="AO89" s="221"/>
      <c r="AP89" s="221"/>
      <c r="AQ89" s="213">
        <v>3</v>
      </c>
      <c r="AR89" s="221"/>
      <c r="AS89" s="221"/>
      <c r="AT89" s="221"/>
      <c r="AU89" s="221"/>
      <c r="AV89" s="213">
        <v>3.99</v>
      </c>
      <c r="AW89" s="213">
        <v>4</v>
      </c>
      <c r="AX89" s="222">
        <v>6.99</v>
      </c>
      <c r="AY89" s="221"/>
      <c r="AZ89" s="213">
        <v>4.99</v>
      </c>
      <c r="BA89" s="221"/>
      <c r="BB89" s="221"/>
      <c r="BC89" s="223">
        <v>43370</v>
      </c>
      <c r="BD89" s="3"/>
      <c r="BE89" s="3"/>
      <c r="BF89" s="3"/>
    </row>
    <row r="90" spans="37:58" x14ac:dyDescent="0.25">
      <c r="AK90" s="209" t="s">
        <v>345</v>
      </c>
      <c r="AL90" s="209">
        <v>16</v>
      </c>
      <c r="AM90" s="211">
        <v>429</v>
      </c>
      <c r="AN90" s="229"/>
      <c r="AO90" s="221"/>
      <c r="AP90" s="213">
        <v>1.99</v>
      </c>
      <c r="AQ90" s="214">
        <v>4</v>
      </c>
      <c r="AR90" s="214">
        <v>4.99</v>
      </c>
      <c r="AS90" s="221"/>
      <c r="AT90" s="213">
        <v>4.99</v>
      </c>
      <c r="AU90" s="216">
        <v>5</v>
      </c>
      <c r="AV90" s="217">
        <v>5.99</v>
      </c>
      <c r="AW90" s="221"/>
      <c r="AX90" s="213">
        <v>2.99</v>
      </c>
      <c r="AY90" s="221"/>
      <c r="AZ90" s="213">
        <v>3.99</v>
      </c>
      <c r="BA90" s="221"/>
      <c r="BB90" s="221"/>
      <c r="BC90" s="223">
        <v>43327</v>
      </c>
      <c r="BD90" s="3"/>
      <c r="BE90" s="3"/>
      <c r="BF90" s="3"/>
    </row>
    <row r="91" spans="37:58" x14ac:dyDescent="0.25">
      <c r="AK91" s="209" t="s">
        <v>14</v>
      </c>
      <c r="AL91" s="209">
        <v>17</v>
      </c>
      <c r="AM91" s="211">
        <v>211</v>
      </c>
      <c r="AN91" s="229" t="s">
        <v>166</v>
      </c>
      <c r="AO91" s="221"/>
      <c r="AP91" s="213">
        <v>1.99</v>
      </c>
      <c r="AQ91" s="233">
        <v>2</v>
      </c>
      <c r="AR91" s="214">
        <v>2.99</v>
      </c>
      <c r="AS91" s="234" t="s">
        <v>346</v>
      </c>
      <c r="AT91" s="235">
        <v>5.99</v>
      </c>
      <c r="AU91" s="234">
        <v>5.5</v>
      </c>
      <c r="AV91" s="235">
        <v>5.5</v>
      </c>
      <c r="AW91" s="234">
        <v>4.4000000000000004</v>
      </c>
      <c r="AX91" s="214">
        <v>4.4000000000000004</v>
      </c>
      <c r="AY91" s="234">
        <v>3</v>
      </c>
      <c r="AZ91" s="214">
        <v>3.99</v>
      </c>
      <c r="BA91" s="221"/>
      <c r="BB91" s="221"/>
      <c r="BC91" s="223">
        <v>43433</v>
      </c>
      <c r="BD91" s="3"/>
      <c r="BE91" s="3"/>
      <c r="BF91" s="3"/>
    </row>
    <row r="92" spans="37:58" x14ac:dyDescent="0.25">
      <c r="AK92" s="209" t="s">
        <v>347</v>
      </c>
      <c r="AL92" s="209">
        <v>17</v>
      </c>
      <c r="AM92" s="211">
        <v>172</v>
      </c>
      <c r="AN92" s="229"/>
      <c r="AO92" s="221"/>
      <c r="AP92" s="213">
        <v>0.99</v>
      </c>
      <c r="AQ92" s="221"/>
      <c r="AR92" s="213">
        <v>3.99</v>
      </c>
      <c r="AS92" s="233">
        <v>2</v>
      </c>
      <c r="AT92" s="214">
        <v>2.99</v>
      </c>
      <c r="AU92" s="236">
        <v>5</v>
      </c>
      <c r="AV92" s="222">
        <v>6.99</v>
      </c>
      <c r="AW92" s="234">
        <v>5</v>
      </c>
      <c r="AX92" s="215">
        <v>5.99</v>
      </c>
      <c r="AY92" s="237">
        <v>6</v>
      </c>
      <c r="AZ92" s="217">
        <v>6.99</v>
      </c>
      <c r="BA92" s="234">
        <v>4</v>
      </c>
      <c r="BB92" s="214">
        <v>4.99</v>
      </c>
      <c r="BC92" s="223">
        <v>43472</v>
      </c>
      <c r="BD92" s="3"/>
      <c r="BE92" s="3"/>
      <c r="BF92" s="3"/>
    </row>
    <row r="93" spans="37:58" x14ac:dyDescent="0.25">
      <c r="AK93" s="209" t="s">
        <v>348</v>
      </c>
      <c r="AL93" s="209">
        <v>16</v>
      </c>
      <c r="AM93" s="211">
        <v>271</v>
      </c>
      <c r="AN93" s="229"/>
      <c r="AO93" s="221"/>
      <c r="AP93" s="213">
        <v>1.99</v>
      </c>
      <c r="AQ93" s="234">
        <v>5.0999999999999996</v>
      </c>
      <c r="AR93" s="215">
        <v>5.99</v>
      </c>
      <c r="AS93" s="237">
        <v>6.5</v>
      </c>
      <c r="AT93" s="217">
        <v>6.99</v>
      </c>
      <c r="AU93" s="234">
        <v>3</v>
      </c>
      <c r="AV93" s="214">
        <v>3.99</v>
      </c>
      <c r="AW93" s="233">
        <v>2</v>
      </c>
      <c r="AX93" s="214">
        <v>2.99</v>
      </c>
      <c r="AY93" s="234">
        <v>3</v>
      </c>
      <c r="AZ93" s="214">
        <v>3.99</v>
      </c>
      <c r="BA93" s="221"/>
      <c r="BB93" s="221"/>
      <c r="BC93" s="223">
        <v>43485</v>
      </c>
      <c r="BD93" s="3"/>
      <c r="BE93" s="3"/>
      <c r="BF93" s="3"/>
    </row>
    <row r="94" spans="37:58" x14ac:dyDescent="0.25">
      <c r="AK94" s="209" t="s">
        <v>349</v>
      </c>
      <c r="AL94" s="209">
        <v>18</v>
      </c>
      <c r="AM94" s="211">
        <v>257</v>
      </c>
      <c r="AN94" s="229"/>
      <c r="AO94" s="221"/>
      <c r="AP94" s="213">
        <v>1.99</v>
      </c>
      <c r="AQ94" s="221"/>
      <c r="AR94" s="213">
        <v>4.99</v>
      </c>
      <c r="AS94" s="236">
        <v>5</v>
      </c>
      <c r="AT94" s="222">
        <v>6.99</v>
      </c>
      <c r="AU94" s="221"/>
      <c r="AV94" s="213">
        <v>2.99</v>
      </c>
      <c r="AW94" s="234">
        <v>3</v>
      </c>
      <c r="AX94" s="214">
        <v>3.99</v>
      </c>
      <c r="AY94" s="221"/>
      <c r="AZ94" s="222">
        <v>6.99</v>
      </c>
      <c r="BA94" s="233">
        <v>2</v>
      </c>
      <c r="BB94" s="214">
        <v>2.99</v>
      </c>
      <c r="BC94" s="223">
        <v>43644</v>
      </c>
      <c r="BD94" s="3"/>
      <c r="BE94" s="3"/>
      <c r="BF94" s="3"/>
    </row>
    <row r="95" spans="37:58" x14ac:dyDescent="0.25">
      <c r="AK95" s="209" t="s">
        <v>350</v>
      </c>
      <c r="AL95" s="209">
        <v>19</v>
      </c>
      <c r="AM95" s="211">
        <v>148</v>
      </c>
      <c r="AN95" s="229"/>
      <c r="AO95" s="221"/>
      <c r="AP95" s="213">
        <v>1.99</v>
      </c>
      <c r="AQ95" s="234">
        <v>4</v>
      </c>
      <c r="AR95" s="214">
        <v>4.99</v>
      </c>
      <c r="AS95" s="221"/>
      <c r="AT95" s="213">
        <v>4.99</v>
      </c>
      <c r="AU95" s="221"/>
      <c r="AV95" s="213">
        <v>4.99</v>
      </c>
      <c r="AW95" s="234">
        <v>3</v>
      </c>
      <c r="AX95" s="214">
        <v>3.99</v>
      </c>
      <c r="AY95" s="236">
        <v>3</v>
      </c>
      <c r="AZ95" s="213">
        <v>4.99</v>
      </c>
      <c r="BA95" s="234">
        <v>1</v>
      </c>
      <c r="BB95" s="214">
        <v>1.99</v>
      </c>
      <c r="BC95" s="223">
        <v>43644</v>
      </c>
      <c r="BD95" s="3"/>
      <c r="BE95" s="3"/>
      <c r="BF95" s="3"/>
    </row>
    <row r="96" spans="37:58" x14ac:dyDescent="0.25">
      <c r="AK96" s="209" t="s">
        <v>351</v>
      </c>
      <c r="AL96" s="209">
        <v>19</v>
      </c>
      <c r="AM96" s="211">
        <v>135</v>
      </c>
      <c r="AN96" s="229"/>
      <c r="AO96" s="221"/>
      <c r="AP96" s="213">
        <v>0.99</v>
      </c>
      <c r="AQ96" s="234">
        <v>4</v>
      </c>
      <c r="AR96" s="214">
        <v>4.99</v>
      </c>
      <c r="AS96" s="234">
        <v>4</v>
      </c>
      <c r="AT96" s="214">
        <v>4.99</v>
      </c>
      <c r="AU96" s="233">
        <v>2</v>
      </c>
      <c r="AV96" s="214">
        <v>2.99</v>
      </c>
      <c r="AW96" s="221"/>
      <c r="AX96" s="219">
        <v>5.99</v>
      </c>
      <c r="AY96" s="234">
        <v>4</v>
      </c>
      <c r="AZ96" s="214">
        <v>4.99</v>
      </c>
      <c r="BA96" s="233">
        <v>2</v>
      </c>
      <c r="BB96" s="214">
        <v>2.99</v>
      </c>
      <c r="BC96" s="223">
        <v>43644</v>
      </c>
      <c r="BD96" s="3"/>
      <c r="BE96" s="3"/>
      <c r="BF96" s="3"/>
    </row>
    <row r="97" spans="37:58" x14ac:dyDescent="0.25">
      <c r="AK97" s="209" t="s">
        <v>352</v>
      </c>
      <c r="AL97" s="209">
        <v>16</v>
      </c>
      <c r="AM97" s="211">
        <v>167</v>
      </c>
      <c r="AN97" s="229"/>
      <c r="AO97" s="221"/>
      <c r="AP97" s="213">
        <v>0.99</v>
      </c>
      <c r="AQ97" s="234">
        <v>1</v>
      </c>
      <c r="AR97" s="214">
        <v>1.99</v>
      </c>
      <c r="AS97" s="237">
        <v>5</v>
      </c>
      <c r="AT97" s="217">
        <v>5.99</v>
      </c>
      <c r="AU97" s="237">
        <v>6</v>
      </c>
      <c r="AV97" s="217">
        <v>6.99</v>
      </c>
      <c r="AW97" s="237">
        <v>4</v>
      </c>
      <c r="AX97" s="216">
        <v>4.99</v>
      </c>
      <c r="AY97" s="237" t="s">
        <v>353</v>
      </c>
      <c r="AZ97" s="216">
        <v>3.99</v>
      </c>
      <c r="BA97" s="221"/>
      <c r="BB97" s="221"/>
      <c r="BC97" s="223">
        <v>43589</v>
      </c>
      <c r="BD97" s="3"/>
      <c r="BE97" s="3"/>
      <c r="BF97" s="3"/>
    </row>
    <row r="98" spans="37:58" x14ac:dyDescent="0.25">
      <c r="AK98" s="209" t="s">
        <v>81</v>
      </c>
      <c r="AL98" s="209">
        <v>18</v>
      </c>
      <c r="AM98" s="211">
        <f>88-444+[1]Jugadores!AM33-112-112-102-6+17-112-5+3-112-35+68-112-112+88-112-8+34-80-7+47-36-112-112-112-27-70-21-2-179+69-112-112+50-112-112</f>
        <v>-2126</v>
      </c>
      <c r="AN98" s="229"/>
      <c r="AO98" s="236">
        <v>4</v>
      </c>
      <c r="AP98" s="222">
        <v>6.99</v>
      </c>
      <c r="AQ98" s="237">
        <v>3</v>
      </c>
      <c r="AR98" s="216">
        <v>3.99</v>
      </c>
      <c r="AS98" s="234">
        <v>0</v>
      </c>
      <c r="AT98" s="214">
        <v>0.99</v>
      </c>
      <c r="AU98" s="234">
        <v>0</v>
      </c>
      <c r="AV98" s="214">
        <v>0.99</v>
      </c>
      <c r="AW98" s="221"/>
      <c r="AX98" s="213">
        <v>1.99</v>
      </c>
      <c r="AY98" s="234">
        <v>1</v>
      </c>
      <c r="AZ98" s="214">
        <v>1.99</v>
      </c>
      <c r="BA98" s="221"/>
      <c r="BB98" s="221"/>
      <c r="BC98" s="223">
        <v>43644</v>
      </c>
      <c r="BD98" s="3"/>
      <c r="BE98" s="3"/>
      <c r="BF98" s="3"/>
    </row>
    <row r="99" spans="37:58" x14ac:dyDescent="0.25">
      <c r="AK99" s="209" t="s">
        <v>354</v>
      </c>
      <c r="AL99" s="209">
        <v>18</v>
      </c>
      <c r="AM99" s="211">
        <f>88-444+[1]Jugadores!AM33-112-112-102-6+17-112-5+3-112-35+68-112-112+88-112-8+34-80-7+47-36-112-112-112-27-70-21-2-179+33+39-112+43-112-112-112</f>
        <v>-2130</v>
      </c>
      <c r="AN99" s="229"/>
      <c r="AO99" s="221"/>
      <c r="AP99" s="221"/>
      <c r="AQ99" s="236">
        <v>5</v>
      </c>
      <c r="AR99" s="222">
        <v>6.99</v>
      </c>
      <c r="AS99" s="234">
        <v>2</v>
      </c>
      <c r="AT99" s="214">
        <v>2.99</v>
      </c>
      <c r="AU99" s="233">
        <v>2</v>
      </c>
      <c r="AV99" s="214">
        <v>2.99</v>
      </c>
      <c r="AW99" s="233">
        <v>2</v>
      </c>
      <c r="AX99" s="214">
        <v>2.99</v>
      </c>
      <c r="AY99" s="237">
        <v>4</v>
      </c>
      <c r="AZ99" s="216">
        <v>4.99</v>
      </c>
      <c r="BA99" s="221"/>
      <c r="BB99" s="221"/>
      <c r="BC99" s="223">
        <v>43644</v>
      </c>
      <c r="BD99" s="3"/>
      <c r="BE99" s="3"/>
      <c r="BF99" s="3"/>
    </row>
    <row r="100" spans="37:58" x14ac:dyDescent="0.25">
      <c r="AK100" s="209" t="s">
        <v>355</v>
      </c>
      <c r="AL100" s="209">
        <v>16</v>
      </c>
      <c r="AM100" s="211">
        <f>88-444+[1]Jugadores!AM33-1629-102</f>
        <v>-2087</v>
      </c>
      <c r="AN100" s="229"/>
      <c r="AO100" s="224"/>
      <c r="AP100" s="224"/>
      <c r="AQ100" s="236">
        <v>5</v>
      </c>
      <c r="AR100" s="222">
        <v>6.99</v>
      </c>
      <c r="AS100" s="234">
        <v>3.3</v>
      </c>
      <c r="AT100" s="214">
        <v>3.99</v>
      </c>
      <c r="AU100" s="237">
        <v>1</v>
      </c>
      <c r="AV100" s="216">
        <v>1.99</v>
      </c>
      <c r="AW100" s="234">
        <v>3</v>
      </c>
      <c r="AX100" s="214">
        <v>3.99</v>
      </c>
      <c r="AY100" s="224"/>
      <c r="AZ100" s="219">
        <v>5.99</v>
      </c>
      <c r="BA100" s="224"/>
      <c r="BB100" s="224"/>
      <c r="BC100" s="223">
        <v>45870</v>
      </c>
      <c r="BD100" s="3"/>
      <c r="BE100" s="3"/>
      <c r="BF100" s="3"/>
    </row>
    <row r="101" spans="37:58" x14ac:dyDescent="0.25">
      <c r="AK101" s="209" t="s">
        <v>356</v>
      </c>
      <c r="AL101" s="209">
        <v>16</v>
      </c>
      <c r="AM101" s="211">
        <f>88-444+[1]Jugadores!AM33-1629-112</f>
        <v>-2097</v>
      </c>
      <c r="AN101" s="229"/>
      <c r="AO101" s="221"/>
      <c r="AP101" s="221"/>
      <c r="AQ101" s="236">
        <v>4</v>
      </c>
      <c r="AR101" s="219">
        <v>5.99</v>
      </c>
      <c r="AS101" s="234">
        <v>3</v>
      </c>
      <c r="AT101" s="214">
        <v>3.99</v>
      </c>
      <c r="AU101" s="234">
        <v>4</v>
      </c>
      <c r="AV101" s="214">
        <v>4.99</v>
      </c>
      <c r="AW101" s="233">
        <v>2</v>
      </c>
      <c r="AX101" s="214">
        <v>2.99</v>
      </c>
      <c r="AY101" s="221"/>
      <c r="AZ101" s="213">
        <v>3.99</v>
      </c>
      <c r="BA101" s="221"/>
      <c r="BB101" s="213">
        <v>4.99</v>
      </c>
      <c r="BC101" s="223">
        <v>45853</v>
      </c>
      <c r="BD101" s="3"/>
      <c r="BE101" s="3"/>
      <c r="BF101" s="3"/>
    </row>
    <row r="102" spans="37:58" x14ac:dyDescent="0.25">
      <c r="AK102" s="209" t="s">
        <v>357</v>
      </c>
      <c r="AL102" s="209">
        <v>16</v>
      </c>
      <c r="AM102" s="211">
        <f>42-584+[1]Jugadores!AM33-112-112+6-112+3-112+21-112+67-112-6-40-34-12-105+55-75+11-112-112+4-112-30-112-112-9-112+100-103-112</f>
        <v>-2145</v>
      </c>
      <c r="AN102" s="229"/>
      <c r="AO102" s="221"/>
      <c r="AP102" s="221"/>
      <c r="AQ102" s="237">
        <v>5</v>
      </c>
      <c r="AR102" s="217">
        <v>5.99</v>
      </c>
      <c r="AS102" s="234">
        <v>4</v>
      </c>
      <c r="AT102" s="214">
        <v>4.99</v>
      </c>
      <c r="AU102" s="221"/>
      <c r="AV102" s="213">
        <v>1.99</v>
      </c>
      <c r="AW102" s="221"/>
      <c r="AX102" s="213">
        <v>3.99</v>
      </c>
      <c r="AY102" s="236">
        <v>3</v>
      </c>
      <c r="AZ102" s="221"/>
      <c r="BA102" s="221"/>
      <c r="BB102" s="221"/>
      <c r="BC102" s="223">
        <v>45901</v>
      </c>
      <c r="BD102" s="3"/>
      <c r="BE102" s="3"/>
      <c r="BF102" s="3"/>
    </row>
    <row r="103" spans="37:58" x14ac:dyDescent="0.25">
      <c r="AK103" s="209" t="s">
        <v>358</v>
      </c>
      <c r="AL103" s="209">
        <v>18</v>
      </c>
      <c r="AM103" s="211">
        <f>42-584+[1]Jugadores!AM33-112-112+6-112+3-112+21-112+67-112-6-40-34-12-105+55+11-112+1-23-112-112-112-115-42-112-112-112</f>
        <v>-2211</v>
      </c>
      <c r="AN103" s="229" t="s">
        <v>175</v>
      </c>
      <c r="AO103" s="221"/>
      <c r="AP103" s="213">
        <v>1.99</v>
      </c>
      <c r="AQ103" s="233">
        <v>2</v>
      </c>
      <c r="AR103" s="214">
        <v>2.99</v>
      </c>
      <c r="AS103" s="233">
        <v>2</v>
      </c>
      <c r="AT103" s="214">
        <v>2.99</v>
      </c>
      <c r="AU103" s="234">
        <v>3</v>
      </c>
      <c r="AV103" s="214">
        <v>3.99</v>
      </c>
      <c r="AW103" s="236">
        <v>4</v>
      </c>
      <c r="AX103" s="219">
        <v>5.99</v>
      </c>
      <c r="AY103" s="221"/>
      <c r="AZ103" s="213">
        <v>3.99</v>
      </c>
      <c r="BA103" s="221"/>
      <c r="BB103" s="213">
        <v>4.99</v>
      </c>
      <c r="BC103" s="223">
        <v>43644</v>
      </c>
      <c r="BD103" s="3"/>
      <c r="BE103" s="3"/>
      <c r="BF103" s="3"/>
    </row>
    <row r="104" spans="37:58" x14ac:dyDescent="0.25">
      <c r="AK104" s="209" t="s">
        <v>359</v>
      </c>
      <c r="AL104" s="209">
        <v>16</v>
      </c>
      <c r="AM104" s="211">
        <f>88-444+[1]Jugadores!AM33-112-112-102-6+17-112-5+3-112-35+68-112-112+88-112-8+34-80-7+47-36-112-57-112+76-112-115-6-112-70-112-112-86+1-80</f>
        <v>-2171</v>
      </c>
      <c r="AN104" s="229" t="s">
        <v>163</v>
      </c>
      <c r="AO104" s="224"/>
      <c r="AP104" s="213">
        <v>1.99</v>
      </c>
      <c r="AQ104" s="233">
        <v>2</v>
      </c>
      <c r="AR104" s="214">
        <v>2.99</v>
      </c>
      <c r="AS104" s="236">
        <v>3</v>
      </c>
      <c r="AT104" s="213">
        <v>4.99</v>
      </c>
      <c r="AU104" s="224"/>
      <c r="AV104" s="222">
        <v>6.99</v>
      </c>
      <c r="AW104" s="224"/>
      <c r="AX104" s="213">
        <v>4.99</v>
      </c>
      <c r="AY104" s="236">
        <v>3</v>
      </c>
      <c r="AZ104" s="213">
        <v>4.99</v>
      </c>
      <c r="BA104" s="224"/>
      <c r="BB104" s="224"/>
      <c r="BC104" s="223">
        <v>45934</v>
      </c>
      <c r="BD104" s="3"/>
      <c r="BE104" s="3"/>
      <c r="BF104" s="3"/>
    </row>
    <row r="105" spans="37:58" x14ac:dyDescent="0.25">
      <c r="AK105" s="209" t="s">
        <v>360</v>
      </c>
      <c r="AL105" s="209">
        <v>17</v>
      </c>
      <c r="AM105" s="211">
        <f>88-444+[1]Jugadores!AM33-112-112-102-6+17-112-5+3-112-35+68-112-112+88-112-8+34-80-7+47-36-112-112-112-27-70-21-2-179+33+15-112-75+7-112+52-28-112-36-112</f>
        <v>-2277</v>
      </c>
      <c r="AN105" s="229"/>
      <c r="AO105" s="221"/>
      <c r="AP105" s="213">
        <v>0.99</v>
      </c>
      <c r="AQ105" s="236">
        <v>4</v>
      </c>
      <c r="AR105" s="219">
        <v>5.99</v>
      </c>
      <c r="AS105" s="234">
        <v>2</v>
      </c>
      <c r="AT105" s="214">
        <v>2.99</v>
      </c>
      <c r="AU105" s="234">
        <v>4</v>
      </c>
      <c r="AV105" s="214">
        <v>4.99</v>
      </c>
      <c r="AW105" s="234">
        <v>2</v>
      </c>
      <c r="AX105" s="214">
        <v>2.99</v>
      </c>
      <c r="AY105" s="236">
        <v>5</v>
      </c>
      <c r="AZ105" s="222">
        <v>6.99</v>
      </c>
      <c r="BA105" s="221"/>
      <c r="BB105" s="221"/>
      <c r="BC105" s="223">
        <v>43644</v>
      </c>
      <c r="BD105" s="3"/>
      <c r="BE105" s="3"/>
      <c r="BF105" s="3"/>
    </row>
    <row r="106" spans="37:58" x14ac:dyDescent="0.25">
      <c r="AK106" s="209" t="s">
        <v>361</v>
      </c>
      <c r="AL106" s="209">
        <v>18</v>
      </c>
      <c r="AM106" s="211">
        <f>42-584+[1]Jugadores!AM33-112-112+6-112+3-112+21-112+67-112-6-40-34-12-105+55+11-112+1-23-112-112-112-115-52-112-112-112</f>
        <v>-2221</v>
      </c>
      <c r="AN106" s="229"/>
      <c r="AO106" s="221"/>
      <c r="AP106" s="213">
        <v>1.99</v>
      </c>
      <c r="AQ106" s="237">
        <v>5</v>
      </c>
      <c r="AR106" s="217">
        <v>5.99</v>
      </c>
      <c r="AS106" s="234">
        <v>4.0999999999999996</v>
      </c>
      <c r="AT106" s="214">
        <v>4.99</v>
      </c>
      <c r="AU106" s="233">
        <v>2</v>
      </c>
      <c r="AV106" s="214">
        <v>2.99</v>
      </c>
      <c r="AW106" s="221"/>
      <c r="AX106" s="219">
        <v>5.99</v>
      </c>
      <c r="AY106" s="237">
        <v>3</v>
      </c>
      <c r="AZ106" s="216">
        <v>3.99</v>
      </c>
      <c r="BA106" s="221"/>
      <c r="BB106" s="213">
        <v>2.99</v>
      </c>
      <c r="BC106" s="223">
        <v>43644</v>
      </c>
      <c r="BD106" s="3"/>
      <c r="BE106" s="3"/>
      <c r="BF106" s="3"/>
    </row>
    <row r="107" spans="37:58" x14ac:dyDescent="0.25">
      <c r="AK107" s="209" t="s">
        <v>362</v>
      </c>
      <c r="AL107" s="209">
        <v>18</v>
      </c>
      <c r="AM107" s="211">
        <f>[1]Jugadores!AM33-2150+2-112</f>
        <v>-2260</v>
      </c>
      <c r="AN107" s="229" t="s">
        <v>198</v>
      </c>
      <c r="AO107" s="221"/>
      <c r="AP107" s="213">
        <v>1.99</v>
      </c>
      <c r="AQ107" s="233">
        <v>2</v>
      </c>
      <c r="AR107" s="214">
        <v>2.99</v>
      </c>
      <c r="AS107" s="234">
        <v>3</v>
      </c>
      <c r="AT107" s="214">
        <v>3.99</v>
      </c>
      <c r="AU107" s="234">
        <v>3</v>
      </c>
      <c r="AV107" s="214">
        <v>3.99</v>
      </c>
      <c r="AW107" s="233">
        <v>2</v>
      </c>
      <c r="AX107" s="214">
        <v>2.99</v>
      </c>
      <c r="AY107" s="234">
        <v>5</v>
      </c>
      <c r="AZ107" s="215">
        <v>5.99</v>
      </c>
      <c r="BA107" s="221"/>
      <c r="BB107" s="221"/>
      <c r="BC107" s="223">
        <v>43644</v>
      </c>
      <c r="BD107" s="3"/>
      <c r="BE107" s="3"/>
      <c r="BF107" s="3"/>
    </row>
    <row r="108" spans="37:58" x14ac:dyDescent="0.25">
      <c r="AK108" s="209" t="s">
        <v>363</v>
      </c>
      <c r="AL108" s="209">
        <v>17</v>
      </c>
      <c r="AM108" s="211">
        <f>88+AK143-2254-112-112</f>
        <v>-2390</v>
      </c>
      <c r="AN108" s="229"/>
      <c r="AO108" s="221"/>
      <c r="AP108" s="213">
        <v>0.99</v>
      </c>
      <c r="AQ108" s="234">
        <v>2</v>
      </c>
      <c r="AR108" s="214">
        <v>2.99</v>
      </c>
      <c r="AS108" s="234">
        <v>4</v>
      </c>
      <c r="AT108" s="214">
        <v>4.99</v>
      </c>
      <c r="AU108" s="234">
        <v>2</v>
      </c>
      <c r="AV108" s="214">
        <v>2.99</v>
      </c>
      <c r="AW108" s="234">
        <v>3</v>
      </c>
      <c r="AX108" s="214">
        <v>3.99</v>
      </c>
      <c r="AY108" s="237">
        <v>5</v>
      </c>
      <c r="AZ108" s="217">
        <v>5.99</v>
      </c>
      <c r="BA108" s="221"/>
      <c r="BB108" s="221"/>
      <c r="BC108" s="223">
        <v>43644</v>
      </c>
      <c r="BD108" s="3"/>
      <c r="BE108" s="3"/>
      <c r="BF108" s="3"/>
    </row>
    <row r="109" spans="37:58" x14ac:dyDescent="0.25">
      <c r="AK109" s="209" t="s">
        <v>364</v>
      </c>
      <c r="AL109" s="209">
        <v>17</v>
      </c>
      <c r="AM109" s="211">
        <f>88-444+[1]Jugadores!AM33-112-112-102-6+17-112-5+3-112-35+68-112-112+88-112-8+34-80-7+47-36-112-112-112-27-70-21-2-179+33+39-112-112+20-112+7-69+8-212-112</f>
        <v>-2419</v>
      </c>
      <c r="AN109" s="229"/>
      <c r="AO109" s="224"/>
      <c r="AP109" s="213">
        <v>0.99</v>
      </c>
      <c r="AQ109" s="237">
        <v>3</v>
      </c>
      <c r="AR109" s="216">
        <v>3.99</v>
      </c>
      <c r="AS109" s="224"/>
      <c r="AT109" s="213">
        <v>3.99</v>
      </c>
      <c r="AU109" s="234">
        <v>6</v>
      </c>
      <c r="AV109" s="215">
        <v>6.99</v>
      </c>
      <c r="AW109" s="234">
        <v>4</v>
      </c>
      <c r="AX109" s="214">
        <v>4.99</v>
      </c>
      <c r="AY109" s="238">
        <v>1</v>
      </c>
      <c r="AZ109" s="216">
        <v>1.99</v>
      </c>
      <c r="BA109" s="224"/>
      <c r="BB109" s="224"/>
      <c r="BC109" s="223">
        <v>46063</v>
      </c>
      <c r="BD109" s="3"/>
      <c r="BE109" s="3"/>
      <c r="BF109" s="3"/>
    </row>
    <row r="110" spans="37:58" x14ac:dyDescent="0.25">
      <c r="AK110" s="209" t="s">
        <v>365</v>
      </c>
      <c r="AL110" s="209">
        <v>16</v>
      </c>
      <c r="AM110" s="211">
        <f>-1500+[1]Jugadores!AM33-770+30-112</f>
        <v>-2352</v>
      </c>
      <c r="AN110" s="229" t="s">
        <v>163</v>
      </c>
      <c r="AO110" s="221"/>
      <c r="AP110" s="213">
        <v>1.99</v>
      </c>
      <c r="AQ110" s="236">
        <v>3</v>
      </c>
      <c r="AR110" s="213">
        <v>4.99</v>
      </c>
      <c r="AS110" s="221"/>
      <c r="AT110" s="213">
        <v>2.99</v>
      </c>
      <c r="AU110" s="234">
        <v>5</v>
      </c>
      <c r="AV110" s="215">
        <v>5.99</v>
      </c>
      <c r="AW110" s="234">
        <v>4</v>
      </c>
      <c r="AX110" s="214">
        <v>4.99</v>
      </c>
      <c r="AY110" s="234">
        <v>4</v>
      </c>
      <c r="AZ110" s="214">
        <v>4.99</v>
      </c>
      <c r="BA110" s="221"/>
      <c r="BB110" s="221"/>
      <c r="BC110" s="223">
        <v>41322</v>
      </c>
      <c r="BD110" s="3"/>
      <c r="BE110" s="3"/>
      <c r="BF110" s="3"/>
    </row>
    <row r="111" spans="37:58" x14ac:dyDescent="0.25">
      <c r="AK111" s="209" t="s">
        <v>366</v>
      </c>
      <c r="AL111" s="209">
        <v>16</v>
      </c>
      <c r="AM111" s="211">
        <f>-1500+[1]Jugadores!AM33-770-112</f>
        <v>-2382</v>
      </c>
      <c r="AN111" s="229" t="s">
        <v>266</v>
      </c>
      <c r="AO111" s="221"/>
      <c r="AP111" s="213">
        <v>1.99</v>
      </c>
      <c r="AQ111" s="236">
        <v>4</v>
      </c>
      <c r="AR111" s="219">
        <v>5.99</v>
      </c>
      <c r="AS111" s="233">
        <v>2</v>
      </c>
      <c r="AT111" s="214">
        <v>2.99</v>
      </c>
      <c r="AU111" s="233">
        <v>2</v>
      </c>
      <c r="AV111" s="214">
        <v>2.99</v>
      </c>
      <c r="AW111" s="237">
        <v>4</v>
      </c>
      <c r="AX111" s="216">
        <v>4.99</v>
      </c>
      <c r="AY111" s="237">
        <v>5</v>
      </c>
      <c r="AZ111" s="217">
        <v>5.99</v>
      </c>
      <c r="BA111" s="221"/>
      <c r="BB111" s="221"/>
      <c r="BC111" s="223">
        <v>46138</v>
      </c>
      <c r="BD111" s="3"/>
      <c r="BE111" s="3"/>
      <c r="BF111" s="3"/>
    </row>
    <row r="112" spans="37:58" x14ac:dyDescent="0.25">
      <c r="AK112" s="209" t="s">
        <v>367</v>
      </c>
      <c r="AL112" s="209">
        <v>16</v>
      </c>
      <c r="AM112" s="211">
        <f>[1]Jugadores!AM33-2100-6-93+31-112-26+34-112</f>
        <v>-2384</v>
      </c>
      <c r="AN112" s="229"/>
      <c r="AO112" s="221"/>
      <c r="AP112" s="213">
        <v>1.99</v>
      </c>
      <c r="AQ112" s="234">
        <v>3</v>
      </c>
      <c r="AR112" s="214">
        <v>3.99</v>
      </c>
      <c r="AS112" s="221"/>
      <c r="AT112" s="213">
        <v>2.99</v>
      </c>
      <c r="AU112" s="237">
        <v>6</v>
      </c>
      <c r="AV112" s="217">
        <v>6.99</v>
      </c>
      <c r="AW112" s="237">
        <v>2</v>
      </c>
      <c r="AX112" s="216">
        <v>2.99</v>
      </c>
      <c r="AY112" s="236">
        <v>4</v>
      </c>
      <c r="AZ112" s="222">
        <v>6.99</v>
      </c>
      <c r="BA112" s="221"/>
      <c r="BB112" s="221"/>
      <c r="BC112" s="223">
        <v>46140</v>
      </c>
      <c r="BD112" s="3"/>
      <c r="BE112" s="3"/>
      <c r="BF112" s="3"/>
    </row>
    <row r="113" spans="37:58" x14ac:dyDescent="0.25">
      <c r="AK113" s="209" t="s">
        <v>368</v>
      </c>
      <c r="AL113" s="209">
        <v>16</v>
      </c>
      <c r="AM113" s="211">
        <f>[1]Jugadores!AM33-2100-6-93+31-112-26-44-112</f>
        <v>-2462</v>
      </c>
      <c r="AN113" s="229" t="s">
        <v>266</v>
      </c>
      <c r="AO113" s="221"/>
      <c r="AP113" s="221"/>
      <c r="AQ113" s="237">
        <v>1</v>
      </c>
      <c r="AR113" s="216">
        <v>1.99</v>
      </c>
      <c r="AS113" s="221"/>
      <c r="AT113" s="213">
        <v>2.99</v>
      </c>
      <c r="AU113" s="234">
        <v>6</v>
      </c>
      <c r="AV113" s="215">
        <v>6.99</v>
      </c>
      <c r="AW113" s="221"/>
      <c r="AX113" s="213">
        <v>2.99</v>
      </c>
      <c r="AY113" s="234">
        <v>4</v>
      </c>
      <c r="AZ113" s="214">
        <v>4.99</v>
      </c>
      <c r="BA113" s="221"/>
      <c r="BB113" s="221"/>
      <c r="BC113" s="223">
        <v>46218</v>
      </c>
      <c r="BD113" s="3"/>
      <c r="BE113" s="3"/>
      <c r="BF113" s="3"/>
    </row>
    <row r="114" spans="37:58" x14ac:dyDescent="0.25">
      <c r="AK114" s="209" t="s">
        <v>369</v>
      </c>
      <c r="AL114" s="209">
        <v>18</v>
      </c>
      <c r="AM114" s="211">
        <f>88+[1]Jugadores!AM33-2254-112-112+6-112-112</f>
        <v>-2608</v>
      </c>
      <c r="AN114" s="229" t="s">
        <v>198</v>
      </c>
      <c r="AO114" s="221"/>
      <c r="AP114" s="221"/>
      <c r="AQ114" s="236">
        <v>5</v>
      </c>
      <c r="AR114" s="222">
        <v>6.99</v>
      </c>
      <c r="AS114" s="236">
        <v>5</v>
      </c>
      <c r="AT114" s="222">
        <v>6.99</v>
      </c>
      <c r="AU114" s="234">
        <v>2</v>
      </c>
      <c r="AV114" s="214">
        <v>2.99</v>
      </c>
      <c r="AW114" s="236">
        <v>5</v>
      </c>
      <c r="AX114" s="222">
        <v>6.99</v>
      </c>
      <c r="AY114" s="234">
        <v>3</v>
      </c>
      <c r="AZ114" s="214">
        <v>3.99</v>
      </c>
      <c r="BA114" s="221"/>
      <c r="BB114" s="221"/>
      <c r="BC114" s="223">
        <v>43644</v>
      </c>
      <c r="BD114" s="3"/>
      <c r="BE114" s="3"/>
      <c r="BF114" s="3"/>
    </row>
    <row r="115" spans="37:58" x14ac:dyDescent="0.25">
      <c r="AK115" s="209" t="s">
        <v>370</v>
      </c>
      <c r="AL115" s="209">
        <v>16</v>
      </c>
      <c r="AM115" s="211">
        <f>88+[1]Jugadores!AM33-2254-112-112+6-112</f>
        <v>-2496</v>
      </c>
      <c r="AN115" s="229" t="s">
        <v>163</v>
      </c>
      <c r="AO115" s="221"/>
      <c r="AP115" s="213">
        <v>2.99</v>
      </c>
      <c r="AQ115" s="236">
        <v>4</v>
      </c>
      <c r="AR115" s="222">
        <v>6.99</v>
      </c>
      <c r="AS115" s="221"/>
      <c r="AT115" s="221"/>
      <c r="AU115" s="237">
        <v>3</v>
      </c>
      <c r="AV115" s="216">
        <v>3.99</v>
      </c>
      <c r="AW115" s="221"/>
      <c r="AX115" s="213">
        <v>4.99</v>
      </c>
      <c r="AY115" s="236">
        <v>2</v>
      </c>
      <c r="AZ115" s="221"/>
      <c r="BA115" s="221"/>
      <c r="BB115" s="221"/>
      <c r="BC115" s="223">
        <v>46252</v>
      </c>
      <c r="BD115" s="3"/>
      <c r="BE115" s="3"/>
      <c r="BF115" s="3"/>
    </row>
    <row r="116" spans="37:58" x14ac:dyDescent="0.25">
      <c r="AK116" s="209" t="s">
        <v>371</v>
      </c>
      <c r="AL116" s="209">
        <v>17</v>
      </c>
      <c r="AM116" s="211">
        <v>3</v>
      </c>
      <c r="AN116" s="229"/>
      <c r="AO116" s="221"/>
      <c r="AP116" s="221"/>
      <c r="AQ116" s="237">
        <v>5</v>
      </c>
      <c r="AR116" s="217">
        <v>5.99</v>
      </c>
      <c r="AS116" s="237">
        <v>4</v>
      </c>
      <c r="AT116" s="216">
        <v>4.99</v>
      </c>
      <c r="AU116" s="237">
        <v>5</v>
      </c>
      <c r="AV116" s="217">
        <v>5.99</v>
      </c>
      <c r="AW116" s="234">
        <v>2</v>
      </c>
      <c r="AX116" s="214">
        <v>2.99</v>
      </c>
      <c r="AY116" s="221"/>
      <c r="AZ116" s="213">
        <v>3.99</v>
      </c>
      <c r="BA116" s="221"/>
      <c r="BB116" s="221"/>
      <c r="BC116" s="223">
        <v>43648</v>
      </c>
      <c r="BD116" s="3"/>
      <c r="BE116" s="3"/>
      <c r="BF116" s="3"/>
    </row>
    <row r="117" spans="37:58" x14ac:dyDescent="0.25">
      <c r="AK117" s="348" t="s">
        <v>372</v>
      </c>
      <c r="AL117" s="221">
        <v>17</v>
      </c>
      <c r="AM117" s="349">
        <v>54</v>
      </c>
      <c r="AN117" s="350"/>
      <c r="AO117" s="221"/>
      <c r="AP117" s="213">
        <v>0.99</v>
      </c>
      <c r="AQ117" s="234">
        <v>3</v>
      </c>
      <c r="AR117" s="214">
        <v>3.99</v>
      </c>
      <c r="AS117" s="234">
        <v>4</v>
      </c>
      <c r="AT117" s="214">
        <v>4.99</v>
      </c>
      <c r="AU117" s="236">
        <v>4</v>
      </c>
      <c r="AV117" s="219">
        <v>5.99</v>
      </c>
      <c r="AW117" s="236">
        <v>4</v>
      </c>
      <c r="AX117" s="222">
        <v>6.99</v>
      </c>
      <c r="AY117" s="237">
        <v>5</v>
      </c>
      <c r="AZ117" s="217">
        <v>5.99</v>
      </c>
      <c r="BA117" s="18"/>
      <c r="BB117" s="18"/>
      <c r="BC117" s="208">
        <v>43699</v>
      </c>
      <c r="BD117" s="3"/>
      <c r="BE117" s="3"/>
      <c r="BF117" s="3"/>
    </row>
    <row r="118" spans="37:58" x14ac:dyDescent="0.25">
      <c r="AK118" s="348" t="s">
        <v>373</v>
      </c>
      <c r="AL118" s="221">
        <v>17</v>
      </c>
      <c r="AM118" s="349">
        <v>0</v>
      </c>
      <c r="AN118" s="350"/>
      <c r="AO118" s="221"/>
      <c r="AP118" s="213">
        <v>1.99</v>
      </c>
      <c r="AQ118" s="237">
        <v>5</v>
      </c>
      <c r="AR118" s="217">
        <v>5.99</v>
      </c>
      <c r="AS118" s="221"/>
      <c r="AT118" s="213">
        <v>3.99</v>
      </c>
      <c r="AU118" s="221"/>
      <c r="AV118" s="213">
        <v>2.99</v>
      </c>
      <c r="AW118" s="221"/>
      <c r="AX118" s="213">
        <v>2.99</v>
      </c>
      <c r="AY118" s="221"/>
      <c r="AZ118" s="213">
        <v>3.99</v>
      </c>
      <c r="BA118" s="221"/>
      <c r="BB118" s="213">
        <v>4.99</v>
      </c>
      <c r="BC118" s="208">
        <v>43704</v>
      </c>
      <c r="BD118" s="3"/>
      <c r="BE118" s="3"/>
      <c r="BF118" s="3"/>
    </row>
    <row r="119" spans="37:58" x14ac:dyDescent="0.25">
      <c r="AK119" s="352" t="s">
        <v>374</v>
      </c>
      <c r="AL119" s="221">
        <v>17</v>
      </c>
      <c r="AM119" s="349">
        <v>10</v>
      </c>
      <c r="AN119" s="350" t="s">
        <v>198</v>
      </c>
      <c r="AO119" s="221"/>
      <c r="AP119" s="221"/>
      <c r="AQ119" s="221"/>
      <c r="AR119" s="213">
        <v>3.99</v>
      </c>
      <c r="AS119" s="221"/>
      <c r="AT119" s="213">
        <v>4.99</v>
      </c>
      <c r="AU119" s="237">
        <v>3</v>
      </c>
      <c r="AV119" s="216">
        <v>3.99</v>
      </c>
      <c r="AW119" s="234">
        <v>2</v>
      </c>
      <c r="AX119" s="214">
        <v>2.99</v>
      </c>
      <c r="AY119" s="236">
        <v>6</v>
      </c>
      <c r="AZ119" s="222">
        <v>7</v>
      </c>
      <c r="BA119" s="221"/>
      <c r="BB119" s="221"/>
      <c r="BC119" s="208">
        <v>43730</v>
      </c>
      <c r="BD119" s="3"/>
      <c r="BE119" s="3"/>
      <c r="BF119" s="3"/>
    </row>
    <row r="120" spans="37:58" x14ac:dyDescent="0.25">
      <c r="AK120" s="348" t="s">
        <v>375</v>
      </c>
      <c r="AL120" s="221">
        <v>17</v>
      </c>
      <c r="AM120" s="355">
        <v>13</v>
      </c>
      <c r="AN120" s="350"/>
      <c r="AO120" s="221"/>
      <c r="AP120" s="221"/>
      <c r="AQ120" s="234">
        <v>3</v>
      </c>
      <c r="AR120" s="214">
        <v>3.99</v>
      </c>
      <c r="AS120" s="236">
        <v>4</v>
      </c>
      <c r="AT120" s="219">
        <v>5.99</v>
      </c>
      <c r="AU120" s="234">
        <v>1</v>
      </c>
      <c r="AV120" s="214">
        <v>1.99</v>
      </c>
      <c r="AW120" s="356">
        <v>5</v>
      </c>
      <c r="AX120" s="235">
        <v>5.99</v>
      </c>
      <c r="AY120" s="236">
        <v>6</v>
      </c>
      <c r="AZ120" s="222">
        <v>7</v>
      </c>
      <c r="BA120" s="221"/>
      <c r="BB120" s="221"/>
      <c r="BC120" s="208">
        <v>43744</v>
      </c>
      <c r="BD120" s="3"/>
      <c r="BE120" s="3"/>
      <c r="BF120" s="3"/>
    </row>
  </sheetData>
  <mergeCells count="1">
    <mergeCell ref="G31:N31"/>
  </mergeCells>
  <conditionalFormatting sqref="E13">
    <cfRule type="cellIs" dxfId="67" priority="1" stopIfTrue="1" operator="lessThan">
      <formula>1</formula>
    </cfRule>
  </conditionalFormatting>
  <conditionalFormatting sqref="E13">
    <cfRule type="cellIs" dxfId="66" priority="2" stopIfTrue="1" operator="between">
      <formula>1</formula>
      <formula>50</formula>
    </cfRule>
  </conditionalFormatting>
  <conditionalFormatting sqref="E13">
    <cfRule type="cellIs" dxfId="65" priority="3" stopIfTrue="1" operator="greaterThan">
      <formula>50</formula>
    </cfRule>
  </conditionalFormatting>
  <conditionalFormatting sqref="AC13:AH13">
    <cfRule type="cellIs" dxfId="64" priority="4" stopIfTrue="1" operator="between">
      <formula>4</formula>
      <formula>5</formula>
    </cfRule>
  </conditionalFormatting>
  <conditionalFormatting sqref="AC13:AH13">
    <cfRule type="cellIs" dxfId="63" priority="5" stopIfTrue="1" operator="lessThan">
      <formula>4</formula>
    </cfRule>
  </conditionalFormatting>
  <conditionalFormatting sqref="AC13:AH13">
    <cfRule type="cellIs" dxfId="62" priority="6" stopIfTrue="1" operator="greaterThan">
      <formula>5</formula>
    </cfRule>
  </conditionalFormatting>
  <conditionalFormatting sqref="BC31:BC43">
    <cfRule type="cellIs" dxfId="61" priority="7" stopIfTrue="1" operator="lessThan">
      <formula>4</formula>
    </cfRule>
  </conditionalFormatting>
  <conditionalFormatting sqref="BC31:BC43">
    <cfRule type="cellIs" dxfId="60" priority="8" stopIfTrue="1" operator="greaterThan">
      <formula>6.4</formula>
    </cfRule>
  </conditionalFormatting>
  <conditionalFormatting sqref="BC31:BC43">
    <cfRule type="cellIs" dxfId="59" priority="9" stopIfTrue="1" operator="lessThan">
      <formula>4</formula>
    </cfRule>
  </conditionalFormatting>
  <conditionalFormatting sqref="BC31:BC43">
    <cfRule type="cellIs" dxfId="58" priority="10" stopIfTrue="1" operator="greaterThan">
      <formula>6.4</formula>
    </cfRule>
  </conditionalFormatting>
  <conditionalFormatting sqref="BC31:BC43">
    <cfRule type="cellIs" dxfId="57" priority="11" stopIfTrue="1" operator="lessThan">
      <formula>4</formula>
    </cfRule>
  </conditionalFormatting>
  <conditionalFormatting sqref="BC31:BC43">
    <cfRule type="cellIs" dxfId="56" priority="12" stopIfTrue="1" operator="greaterThan">
      <formula>6.4</formula>
    </cfRule>
  </conditionalFormatting>
  <conditionalFormatting sqref="BC31:BC43">
    <cfRule type="cellIs" dxfId="55" priority="13" stopIfTrue="1" operator="lessThan">
      <formula>4</formula>
    </cfRule>
  </conditionalFormatting>
  <conditionalFormatting sqref="BC31:BC43">
    <cfRule type="cellIs" dxfId="54" priority="14" stopIfTrue="1" operator="greaterThan">
      <formula>6.4</formula>
    </cfRule>
  </conditionalFormatting>
  <conditionalFormatting sqref="BC31:BC43">
    <cfRule type="cellIs" dxfId="53" priority="15" stopIfTrue="1" operator="lessThan">
      <formula>4</formula>
    </cfRule>
  </conditionalFormatting>
  <conditionalFormatting sqref="BC31:BC43">
    <cfRule type="cellIs" dxfId="52" priority="16" stopIfTrue="1" operator="greaterThan">
      <formula>6.4</formula>
    </cfRule>
  </conditionalFormatting>
  <conditionalFormatting sqref="BC31:BC43">
    <cfRule type="cellIs" dxfId="51" priority="17" stopIfTrue="1" operator="lessThan">
      <formula>4</formula>
    </cfRule>
  </conditionalFormatting>
  <conditionalFormatting sqref="BC31:BC43">
    <cfRule type="cellIs" dxfId="50" priority="18" stopIfTrue="1" operator="greaterThan">
      <formula>6.4</formula>
    </cfRule>
  </conditionalFormatting>
  <conditionalFormatting sqref="BC31:BC43">
    <cfRule type="cellIs" dxfId="49" priority="19" stopIfTrue="1" operator="lessThan">
      <formula>4</formula>
    </cfRule>
  </conditionalFormatting>
  <conditionalFormatting sqref="BC31:BC43">
    <cfRule type="cellIs" dxfId="48" priority="20" stopIfTrue="1" operator="greaterThan">
      <formula>6.4</formula>
    </cfRule>
  </conditionalFormatting>
  <conditionalFormatting sqref="AC15:AH15">
    <cfRule type="cellIs" dxfId="47" priority="21" stopIfTrue="1" operator="between">
      <formula>4</formula>
      <formula>5</formula>
    </cfRule>
  </conditionalFormatting>
  <conditionalFormatting sqref="AC15:AH15">
    <cfRule type="cellIs" dxfId="46" priority="22" stopIfTrue="1" operator="lessThan">
      <formula>4</formula>
    </cfRule>
  </conditionalFormatting>
  <conditionalFormatting sqref="AC15:AH15">
    <cfRule type="cellIs" dxfId="45" priority="23" stopIfTrue="1" operator="greaterThan">
      <formula>5</formula>
    </cfRule>
  </conditionalFormatting>
  <conditionalFormatting sqref="AC12:AH12">
    <cfRule type="cellIs" dxfId="44" priority="24" stopIfTrue="1" operator="between">
      <formula>4</formula>
      <formula>5</formula>
    </cfRule>
  </conditionalFormatting>
  <conditionalFormatting sqref="AC12:AH12">
    <cfRule type="cellIs" dxfId="43" priority="25" stopIfTrue="1" operator="lessThan">
      <formula>4</formula>
    </cfRule>
  </conditionalFormatting>
  <conditionalFormatting sqref="AC12:AH12">
    <cfRule type="cellIs" dxfId="42" priority="26" stopIfTrue="1" operator="greaterThan">
      <formula>5</formula>
    </cfRule>
  </conditionalFormatting>
  <conditionalFormatting sqref="E3 E7:E8 E12:E17 E20:E28">
    <cfRule type="cellIs" dxfId="41" priority="27" stopIfTrue="1" operator="lessThan">
      <formula>1</formula>
    </cfRule>
  </conditionalFormatting>
  <conditionalFormatting sqref="E3 E7:E8 E12:E17 E20:E28">
    <cfRule type="cellIs" dxfId="40" priority="28" stopIfTrue="1" operator="between">
      <formula>1</formula>
      <formula>50</formula>
    </cfRule>
  </conditionalFormatting>
  <conditionalFormatting sqref="E3 E7:E8 E12:E17 E20:E28">
    <cfRule type="cellIs" dxfId="39" priority="29" stopIfTrue="1" operator="greaterThan">
      <formula>50</formula>
    </cfRule>
  </conditionalFormatting>
  <conditionalFormatting sqref="AC3:AH3 AC7:AH8 AC12:AH17 AC20:AH28">
    <cfRule type="cellIs" dxfId="38" priority="30" stopIfTrue="1" operator="between">
      <formula>4</formula>
      <formula>5</formula>
    </cfRule>
  </conditionalFormatting>
  <conditionalFormatting sqref="AC3:AH3 AC7:AH8 AC12:AH17 AC20:AH28">
    <cfRule type="cellIs" dxfId="37" priority="31" stopIfTrue="1" operator="lessThan">
      <formula>4</formula>
    </cfRule>
  </conditionalFormatting>
  <conditionalFormatting sqref="AC3:AH3 AC7:AH8 AC12:AH17 AC20:AH28">
    <cfRule type="cellIs" dxfId="36" priority="32" stopIfTrue="1" operator="greaterThan">
      <formula>5</formula>
    </cfRule>
  </conditionalFormatting>
  <conditionalFormatting sqref="X3:Y3 X7:Y8 X12:Y17 X20:Y2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fitToWidth="0"/>
  <legacyDrawing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6B8B7"/>
  </sheetPr>
  <dimension ref="A1:W19"/>
  <sheetViews>
    <sheetView zoomScale="110" workbookViewId="0">
      <selection activeCell="D17" sqref="D17"/>
    </sheetView>
  </sheetViews>
  <sheetFormatPr baseColWidth="10" defaultColWidth="10.7109375" defaultRowHeight="15" x14ac:dyDescent="0.25"/>
  <cols>
    <col min="1" max="1" width="23.28515625" style="42" customWidth="1"/>
    <col min="2" max="2" width="10.85546875" style="42" customWidth="1"/>
    <col min="3" max="3" width="14.140625" style="42" customWidth="1"/>
    <col min="4" max="4" width="9.85546875" style="42" customWidth="1"/>
    <col min="5" max="6" width="14.140625" style="42" customWidth="1"/>
    <col min="7" max="7" width="5.7109375" style="42" customWidth="1"/>
    <col min="8" max="8" width="9.28515625" style="42" customWidth="1"/>
    <col min="9" max="9" width="10.5703125" style="42" customWidth="1"/>
    <col min="10" max="10" width="9.28515625" style="42" customWidth="1"/>
    <col min="11" max="11" width="10.5703125" style="42" customWidth="1"/>
    <col min="12" max="12" width="8.5703125" style="42" customWidth="1"/>
    <col min="13" max="14" width="6.140625" style="42" customWidth="1"/>
    <col min="15" max="15" width="7.42578125" style="42" customWidth="1"/>
    <col min="16" max="18" width="4.5703125" style="42" customWidth="1"/>
    <col min="19" max="19" width="4.140625" style="42" customWidth="1"/>
    <col min="20" max="21" width="4.5703125" style="42" customWidth="1"/>
    <col min="22" max="22" width="27" style="42" customWidth="1"/>
    <col min="23" max="23" width="11.7109375" style="42" customWidth="1"/>
  </cols>
  <sheetData>
    <row r="1" spans="1:23" x14ac:dyDescent="0.25">
      <c r="A1" s="402" t="s">
        <v>376</v>
      </c>
      <c r="B1" s="402" t="s">
        <v>377</v>
      </c>
      <c r="C1" s="402" t="s">
        <v>378</v>
      </c>
      <c r="D1" s="402" t="s">
        <v>379</v>
      </c>
      <c r="E1" s="402" t="s">
        <v>380</v>
      </c>
      <c r="F1" s="402" t="s">
        <v>381</v>
      </c>
      <c r="G1" s="402" t="s">
        <v>382</v>
      </c>
      <c r="H1" s="402" t="s">
        <v>127</v>
      </c>
      <c r="I1" s="402" t="s">
        <v>383</v>
      </c>
      <c r="J1" s="402" t="s">
        <v>384</v>
      </c>
      <c r="K1" s="402" t="s">
        <v>385</v>
      </c>
      <c r="L1" s="402" t="s">
        <v>386</v>
      </c>
      <c r="M1" s="402" t="s">
        <v>387</v>
      </c>
      <c r="N1" s="402" t="s">
        <v>388</v>
      </c>
      <c r="O1" s="402" t="s">
        <v>389</v>
      </c>
      <c r="P1" s="402" t="s">
        <v>198</v>
      </c>
      <c r="Q1" s="402" t="s">
        <v>175</v>
      </c>
      <c r="R1" s="402" t="s">
        <v>166</v>
      </c>
      <c r="S1" s="402" t="s">
        <v>266</v>
      </c>
      <c r="T1" s="402" t="s">
        <v>163</v>
      </c>
      <c r="U1" s="402" t="s">
        <v>390</v>
      </c>
      <c r="V1" s="402" t="s">
        <v>391</v>
      </c>
      <c r="W1" s="402" t="s">
        <v>392</v>
      </c>
    </row>
    <row r="2" spans="1:23" x14ac:dyDescent="0.25">
      <c r="A2" s="42" t="s">
        <v>393</v>
      </c>
      <c r="B2" s="113">
        <v>41884</v>
      </c>
      <c r="C2" s="42" t="s">
        <v>394</v>
      </c>
      <c r="D2" s="42" t="s">
        <v>395</v>
      </c>
      <c r="E2" s="403">
        <v>47129110</v>
      </c>
      <c r="F2" s="403">
        <v>36220760</v>
      </c>
      <c r="G2" s="42">
        <v>115</v>
      </c>
      <c r="H2" s="404">
        <v>1109350</v>
      </c>
      <c r="I2" s="403">
        <v>294908</v>
      </c>
      <c r="J2" s="404">
        <v>1036370</v>
      </c>
      <c r="K2" s="403">
        <v>264270</v>
      </c>
      <c r="L2" s="42">
        <v>5.5</v>
      </c>
      <c r="M2" s="42">
        <v>6.5</v>
      </c>
      <c r="N2" s="42">
        <v>5.5</v>
      </c>
      <c r="O2" s="42" t="s">
        <v>396</v>
      </c>
      <c r="P2" s="42">
        <v>0</v>
      </c>
      <c r="Q2" s="42">
        <v>5</v>
      </c>
      <c r="R2" s="42">
        <v>0</v>
      </c>
      <c r="S2" s="42">
        <v>1</v>
      </c>
      <c r="T2" s="42">
        <v>5</v>
      </c>
      <c r="U2" s="42">
        <f t="shared" ref="U2:U9" si="0">SUM(P2:T2)</f>
        <v>11</v>
      </c>
      <c r="V2" s="42" t="s">
        <v>397</v>
      </c>
      <c r="W2" s="42" t="s">
        <v>398</v>
      </c>
    </row>
    <row r="3" spans="1:23" x14ac:dyDescent="0.25">
      <c r="A3" s="42" t="s">
        <v>399</v>
      </c>
      <c r="B3" s="113">
        <v>39559</v>
      </c>
      <c r="C3" s="42" t="s">
        <v>400</v>
      </c>
      <c r="D3" s="42" t="s">
        <v>401</v>
      </c>
      <c r="E3" s="403">
        <v>256348598</v>
      </c>
      <c r="F3" s="403">
        <v>272162542</v>
      </c>
      <c r="G3" s="42">
        <v>482</v>
      </c>
      <c r="H3" s="404">
        <v>1213540</v>
      </c>
      <c r="I3" s="403">
        <v>226018</v>
      </c>
      <c r="J3" s="404">
        <v>1085590</v>
      </c>
      <c r="K3" s="403">
        <v>181988</v>
      </c>
      <c r="L3" s="42">
        <v>5.75</v>
      </c>
      <c r="M3" s="42">
        <v>6.75</v>
      </c>
      <c r="N3" s="42">
        <v>4.5</v>
      </c>
      <c r="O3" s="42" t="s">
        <v>402</v>
      </c>
      <c r="P3" s="42">
        <v>0</v>
      </c>
      <c r="Q3" s="42">
        <v>1</v>
      </c>
      <c r="R3" s="42">
        <v>1</v>
      </c>
      <c r="S3" s="42">
        <v>1</v>
      </c>
      <c r="T3" s="42">
        <v>1</v>
      </c>
      <c r="U3" s="42">
        <f t="shared" si="0"/>
        <v>4</v>
      </c>
      <c r="V3" s="42" t="s">
        <v>403</v>
      </c>
      <c r="W3" s="42" t="s">
        <v>404</v>
      </c>
    </row>
    <row r="4" spans="1:23" x14ac:dyDescent="0.25">
      <c r="A4" s="42" t="s">
        <v>405</v>
      </c>
      <c r="B4" s="113">
        <v>42028</v>
      </c>
      <c r="C4" s="42" t="s">
        <v>406</v>
      </c>
      <c r="D4" s="42" t="s">
        <v>407</v>
      </c>
      <c r="E4" s="403">
        <v>90598139</v>
      </c>
      <c r="F4" s="403">
        <v>95834988</v>
      </c>
      <c r="G4" s="42">
        <v>246</v>
      </c>
      <c r="H4" s="404">
        <v>1323480</v>
      </c>
      <c r="I4" s="403">
        <v>367712</v>
      </c>
      <c r="J4" s="404">
        <v>1200260</v>
      </c>
      <c r="K4" s="403">
        <v>313134</v>
      </c>
      <c r="L4" s="42">
        <v>6</v>
      </c>
      <c r="M4" s="42">
        <v>6</v>
      </c>
      <c r="N4" s="42">
        <v>5.5</v>
      </c>
      <c r="O4" s="42" t="s">
        <v>408</v>
      </c>
      <c r="P4" s="42">
        <v>2</v>
      </c>
      <c r="Q4" s="42">
        <v>1</v>
      </c>
      <c r="R4" s="42">
        <v>0</v>
      </c>
      <c r="S4" s="42">
        <v>3</v>
      </c>
      <c r="T4" s="42">
        <v>0</v>
      </c>
      <c r="U4" s="42">
        <f t="shared" si="0"/>
        <v>6</v>
      </c>
      <c r="V4" s="42" t="s">
        <v>409</v>
      </c>
      <c r="W4" s="42" t="s">
        <v>410</v>
      </c>
    </row>
    <row r="5" spans="1:23" x14ac:dyDescent="0.25">
      <c r="A5" s="42" t="s">
        <v>411</v>
      </c>
      <c r="B5" s="113">
        <v>39638</v>
      </c>
      <c r="C5" s="42" t="s">
        <v>406</v>
      </c>
      <c r="D5" s="42" t="s">
        <v>412</v>
      </c>
      <c r="E5" s="403">
        <v>101904410</v>
      </c>
      <c r="F5" s="403">
        <v>106728274</v>
      </c>
      <c r="G5" s="42">
        <v>369</v>
      </c>
      <c r="H5" s="404">
        <v>1091490</v>
      </c>
      <c r="I5" s="403">
        <v>314820</v>
      </c>
      <c r="J5" s="404">
        <v>1035660</v>
      </c>
      <c r="K5" s="403">
        <v>295298</v>
      </c>
      <c r="L5" s="42">
        <v>5.25</v>
      </c>
      <c r="M5" s="42">
        <v>5</v>
      </c>
      <c r="N5" s="42">
        <v>6.25</v>
      </c>
      <c r="O5" s="42" t="s">
        <v>413</v>
      </c>
      <c r="P5" s="42">
        <v>0</v>
      </c>
      <c r="Q5" s="42">
        <v>2</v>
      </c>
      <c r="R5" s="42">
        <v>0</v>
      </c>
      <c r="S5" s="42">
        <v>2</v>
      </c>
      <c r="T5" s="42">
        <v>0</v>
      </c>
      <c r="U5" s="42">
        <f t="shared" si="0"/>
        <v>4</v>
      </c>
      <c r="V5" s="42" t="s">
        <v>414</v>
      </c>
      <c r="W5" s="42" t="s">
        <v>415</v>
      </c>
    </row>
    <row r="6" spans="1:23" x14ac:dyDescent="0.25">
      <c r="A6" s="42" t="s">
        <v>416</v>
      </c>
      <c r="B6" s="113">
        <v>38176</v>
      </c>
      <c r="C6" s="42" t="s">
        <v>417</v>
      </c>
      <c r="D6" s="42" t="s">
        <v>401</v>
      </c>
      <c r="E6" s="403">
        <v>114552212</v>
      </c>
      <c r="F6" s="403">
        <v>106068085</v>
      </c>
      <c r="G6" s="42">
        <v>332</v>
      </c>
      <c r="H6" s="404">
        <v>613770</v>
      </c>
      <c r="I6" s="403">
        <v>214342</v>
      </c>
      <c r="J6" s="404">
        <v>594970</v>
      </c>
      <c r="K6" s="403">
        <v>196056</v>
      </c>
      <c r="L6" s="42">
        <v>5.75</v>
      </c>
      <c r="M6" s="42">
        <v>6.5</v>
      </c>
      <c r="N6" s="42">
        <v>5.25</v>
      </c>
      <c r="O6" s="42" t="s">
        <v>418</v>
      </c>
      <c r="P6" s="42">
        <v>0</v>
      </c>
      <c r="Q6" s="42">
        <v>2</v>
      </c>
      <c r="R6" s="42">
        <v>2</v>
      </c>
      <c r="S6" s="42">
        <v>0</v>
      </c>
      <c r="T6" s="42">
        <v>0</v>
      </c>
      <c r="U6" s="42">
        <f t="shared" si="0"/>
        <v>4</v>
      </c>
      <c r="V6" s="42" t="s">
        <v>419</v>
      </c>
      <c r="W6" s="42" t="s">
        <v>420</v>
      </c>
    </row>
    <row r="7" spans="1:23" x14ac:dyDescent="0.25">
      <c r="A7" s="42" t="s">
        <v>421</v>
      </c>
      <c r="B7" s="113">
        <v>37938</v>
      </c>
      <c r="C7" s="42" t="s">
        <v>422</v>
      </c>
      <c r="D7" s="42" t="s">
        <v>401</v>
      </c>
      <c r="E7" s="403">
        <v>152808114</v>
      </c>
      <c r="F7" s="403">
        <v>152569289</v>
      </c>
      <c r="G7" s="42">
        <v>454</v>
      </c>
      <c r="H7" s="404">
        <v>735430</v>
      </c>
      <c r="I7" s="403">
        <v>218146</v>
      </c>
      <c r="J7" s="404">
        <v>656840</v>
      </c>
      <c r="K7" s="403">
        <v>183738</v>
      </c>
      <c r="L7" s="42">
        <v>6.25</v>
      </c>
      <c r="M7" s="42">
        <v>6.5</v>
      </c>
      <c r="N7" s="42">
        <v>5.5</v>
      </c>
      <c r="O7" s="42" t="s">
        <v>423</v>
      </c>
      <c r="P7" s="42">
        <v>0</v>
      </c>
      <c r="Q7" s="42">
        <v>0</v>
      </c>
      <c r="R7" s="42">
        <v>0</v>
      </c>
      <c r="S7" s="42">
        <v>2</v>
      </c>
      <c r="T7" s="42">
        <v>1</v>
      </c>
      <c r="U7" s="42">
        <f t="shared" si="0"/>
        <v>3</v>
      </c>
      <c r="V7" s="42" t="s">
        <v>424</v>
      </c>
      <c r="W7" s="42">
        <v>352</v>
      </c>
    </row>
    <row r="8" spans="1:23" x14ac:dyDescent="0.25">
      <c r="A8" s="42" t="s">
        <v>425</v>
      </c>
      <c r="B8" s="113">
        <v>40968</v>
      </c>
      <c r="C8" s="42" t="s">
        <v>417</v>
      </c>
      <c r="D8" s="42" t="s">
        <v>426</v>
      </c>
      <c r="E8" s="403">
        <v>37248599</v>
      </c>
      <c r="F8" s="403">
        <v>18434858</v>
      </c>
      <c r="G8" s="42">
        <v>83</v>
      </c>
      <c r="H8" s="404">
        <v>926910</v>
      </c>
      <c r="I8" s="403">
        <v>175590</v>
      </c>
      <c r="J8" s="404">
        <v>811840</v>
      </c>
      <c r="K8" s="403">
        <v>152758</v>
      </c>
      <c r="L8" s="42">
        <v>6</v>
      </c>
      <c r="M8" s="42">
        <v>5.75</v>
      </c>
      <c r="N8" s="42">
        <v>5.75</v>
      </c>
      <c r="O8" s="42" t="s">
        <v>427</v>
      </c>
      <c r="P8" s="42">
        <v>1</v>
      </c>
      <c r="Q8" s="42">
        <v>0</v>
      </c>
      <c r="R8" s="42">
        <v>2</v>
      </c>
      <c r="S8" s="42">
        <v>4</v>
      </c>
      <c r="T8" s="42">
        <v>1</v>
      </c>
      <c r="U8" s="42">
        <f t="shared" si="0"/>
        <v>8</v>
      </c>
      <c r="V8" s="42" t="s">
        <v>428</v>
      </c>
      <c r="W8" s="42" t="s">
        <v>398</v>
      </c>
    </row>
    <row r="9" spans="1:23" x14ac:dyDescent="0.25">
      <c r="A9" s="42" t="s">
        <v>429</v>
      </c>
      <c r="B9" s="113">
        <v>40792</v>
      </c>
      <c r="C9" s="42" t="s">
        <v>422</v>
      </c>
      <c r="D9" s="42" t="s">
        <v>430</v>
      </c>
      <c r="E9" s="403">
        <v>276071009</v>
      </c>
      <c r="F9" s="403">
        <v>299255460</v>
      </c>
      <c r="G9" s="42">
        <v>893</v>
      </c>
      <c r="H9" s="404">
        <v>1389140</v>
      </c>
      <c r="I9" s="403">
        <v>226850</v>
      </c>
      <c r="J9" s="404">
        <v>1203640</v>
      </c>
      <c r="K9" s="403">
        <v>176410</v>
      </c>
      <c r="L9" s="42">
        <v>5.25</v>
      </c>
      <c r="M9" s="42">
        <v>6.25</v>
      </c>
      <c r="N9" s="42">
        <v>4.5</v>
      </c>
      <c r="O9" s="42" t="s">
        <v>431</v>
      </c>
      <c r="P9" s="42">
        <v>1</v>
      </c>
      <c r="Q9" s="42">
        <v>1</v>
      </c>
      <c r="R9" s="42">
        <v>3</v>
      </c>
      <c r="S9" s="42">
        <v>0</v>
      </c>
      <c r="T9" s="42">
        <v>6</v>
      </c>
      <c r="U9" s="42">
        <f t="shared" si="0"/>
        <v>11</v>
      </c>
      <c r="V9" s="42" t="s">
        <v>432</v>
      </c>
      <c r="W9" s="42" t="s">
        <v>433</v>
      </c>
    </row>
    <row r="11" spans="1:23" x14ac:dyDescent="0.25">
      <c r="A11" s="402" t="s">
        <v>434</v>
      </c>
      <c r="B11" s="402" t="s">
        <v>377</v>
      </c>
      <c r="C11" s="402" t="s">
        <v>378</v>
      </c>
      <c r="D11" s="402" t="s">
        <v>379</v>
      </c>
      <c r="E11" s="402" t="s">
        <v>380</v>
      </c>
      <c r="F11" s="402" t="s">
        <v>381</v>
      </c>
      <c r="G11" s="402" t="s">
        <v>382</v>
      </c>
      <c r="H11" s="402" t="s">
        <v>127</v>
      </c>
      <c r="I11" s="402" t="s">
        <v>383</v>
      </c>
      <c r="J11" s="402" t="s">
        <v>384</v>
      </c>
      <c r="K11" s="402" t="s">
        <v>385</v>
      </c>
      <c r="L11" s="402" t="s">
        <v>386</v>
      </c>
      <c r="M11" s="402" t="s">
        <v>387</v>
      </c>
      <c r="N11" s="402" t="s">
        <v>388</v>
      </c>
      <c r="O11" s="402" t="s">
        <v>389</v>
      </c>
      <c r="P11" s="402" t="s">
        <v>198</v>
      </c>
      <c r="Q11" s="402" t="s">
        <v>175</v>
      </c>
      <c r="R11" s="402" t="s">
        <v>166</v>
      </c>
      <c r="S11" s="402" t="s">
        <v>266</v>
      </c>
      <c r="T11" s="402" t="s">
        <v>163</v>
      </c>
      <c r="U11" s="402" t="s">
        <v>390</v>
      </c>
      <c r="V11" s="402" t="s">
        <v>391</v>
      </c>
      <c r="W11" s="402" t="s">
        <v>392</v>
      </c>
    </row>
    <row r="12" spans="1:23" x14ac:dyDescent="0.25">
      <c r="A12" s="42" t="s">
        <v>435</v>
      </c>
      <c r="B12" s="113">
        <v>42188</v>
      </c>
      <c r="C12" s="42" t="s">
        <v>436</v>
      </c>
      <c r="D12" s="42" t="s">
        <v>437</v>
      </c>
      <c r="E12" s="403">
        <v>82460995</v>
      </c>
      <c r="F12" s="403">
        <v>96298020</v>
      </c>
      <c r="G12" s="42">
        <v>203</v>
      </c>
      <c r="H12" s="404">
        <v>815450</v>
      </c>
      <c r="I12" s="403">
        <v>255716</v>
      </c>
      <c r="J12" s="404">
        <v>694460</v>
      </c>
      <c r="K12" s="403">
        <v>181616</v>
      </c>
      <c r="L12" s="42">
        <v>5.5</v>
      </c>
      <c r="M12" s="42">
        <v>6.25</v>
      </c>
      <c r="N12" s="42">
        <v>5.5</v>
      </c>
      <c r="O12" s="42" t="s">
        <v>396</v>
      </c>
      <c r="P12" s="42">
        <v>2</v>
      </c>
      <c r="Q12" s="42">
        <v>1</v>
      </c>
      <c r="R12" s="42">
        <v>2</v>
      </c>
      <c r="S12" s="42">
        <v>1</v>
      </c>
      <c r="T12" s="42">
        <v>0</v>
      </c>
      <c r="U12" s="42">
        <f t="shared" ref="U12:U19" si="1">SUM(P12:T12)</f>
        <v>6</v>
      </c>
      <c r="V12" s="42" t="s">
        <v>424</v>
      </c>
      <c r="W12" s="42" t="s">
        <v>438</v>
      </c>
    </row>
    <row r="13" spans="1:23" x14ac:dyDescent="0.25">
      <c r="A13" s="42" t="s">
        <v>439</v>
      </c>
      <c r="B13" s="113">
        <v>41373</v>
      </c>
      <c r="C13" s="42" t="s">
        <v>440</v>
      </c>
      <c r="D13" s="42" t="s">
        <v>441</v>
      </c>
      <c r="E13" s="403">
        <v>60889118</v>
      </c>
      <c r="F13" s="403">
        <v>48697720</v>
      </c>
      <c r="G13" s="42">
        <v>89</v>
      </c>
      <c r="H13" s="404">
        <v>1177340</v>
      </c>
      <c r="I13" s="403">
        <v>300932</v>
      </c>
      <c r="J13" s="404">
        <v>1140440</v>
      </c>
      <c r="K13" s="403">
        <v>291780</v>
      </c>
      <c r="L13" s="42">
        <v>5.75</v>
      </c>
      <c r="M13" s="42">
        <v>6.25</v>
      </c>
      <c r="N13" s="42">
        <v>6.5</v>
      </c>
      <c r="O13" s="42" t="s">
        <v>408</v>
      </c>
      <c r="P13" s="42">
        <v>0</v>
      </c>
      <c r="Q13" s="42">
        <v>1</v>
      </c>
      <c r="R13" s="42">
        <v>0</v>
      </c>
      <c r="S13" s="42">
        <v>1</v>
      </c>
      <c r="T13" s="42">
        <v>0</v>
      </c>
      <c r="U13" s="42">
        <f t="shared" si="1"/>
        <v>2</v>
      </c>
      <c r="V13" s="42" t="s">
        <v>442</v>
      </c>
      <c r="W13" s="42">
        <v>352</v>
      </c>
    </row>
    <row r="14" spans="1:23" x14ac:dyDescent="0.25">
      <c r="A14" s="42" t="s">
        <v>443</v>
      </c>
      <c r="B14" s="113">
        <v>40967</v>
      </c>
      <c r="C14" s="42" t="s">
        <v>436</v>
      </c>
      <c r="D14" s="42" t="s">
        <v>407</v>
      </c>
      <c r="E14" s="403">
        <v>82442500</v>
      </c>
      <c r="F14" s="403">
        <v>87332141</v>
      </c>
      <c r="G14" s="42">
        <v>178</v>
      </c>
      <c r="H14" s="404">
        <v>777010</v>
      </c>
      <c r="I14" s="403">
        <v>290792</v>
      </c>
      <c r="J14" s="404">
        <v>723210</v>
      </c>
      <c r="K14" s="403">
        <v>261158</v>
      </c>
      <c r="L14" s="42">
        <v>5.5</v>
      </c>
      <c r="M14" s="42">
        <v>5.75</v>
      </c>
      <c r="N14" s="42">
        <v>6.75</v>
      </c>
      <c r="O14" s="42" t="s">
        <v>444</v>
      </c>
      <c r="P14" s="42">
        <v>0</v>
      </c>
      <c r="Q14" s="42">
        <v>2</v>
      </c>
      <c r="R14" s="42">
        <v>2</v>
      </c>
      <c r="S14" s="42">
        <v>4</v>
      </c>
      <c r="T14" s="42">
        <v>2</v>
      </c>
      <c r="U14" s="42">
        <f t="shared" si="1"/>
        <v>10</v>
      </c>
      <c r="V14" s="42" t="s">
        <v>419</v>
      </c>
      <c r="W14" s="42">
        <v>352</v>
      </c>
    </row>
    <row r="15" spans="1:23" x14ac:dyDescent="0.25">
      <c r="A15" s="42" t="s">
        <v>445</v>
      </c>
      <c r="B15" s="113">
        <v>38761</v>
      </c>
      <c r="C15" s="42" t="s">
        <v>446</v>
      </c>
      <c r="D15" s="42" t="s">
        <v>447</v>
      </c>
      <c r="E15" s="403">
        <v>338220879</v>
      </c>
      <c r="F15" s="403">
        <v>354040033</v>
      </c>
      <c r="G15" s="42">
        <v>1243</v>
      </c>
      <c r="H15" s="404">
        <v>643900</v>
      </c>
      <c r="I15" s="403">
        <v>150312</v>
      </c>
      <c r="J15" s="404">
        <v>556130</v>
      </c>
      <c r="K15" s="403">
        <v>111082</v>
      </c>
      <c r="L15" s="42">
        <v>6</v>
      </c>
      <c r="M15" s="42">
        <v>6.25</v>
      </c>
      <c r="N15" s="42">
        <v>6.25</v>
      </c>
      <c r="O15" s="42" t="s">
        <v>448</v>
      </c>
      <c r="P15" s="42">
        <v>1</v>
      </c>
      <c r="Q15" s="42">
        <v>4</v>
      </c>
      <c r="R15" s="42">
        <v>1</v>
      </c>
      <c r="S15" s="42">
        <v>1</v>
      </c>
      <c r="T15" s="42">
        <v>0</v>
      </c>
      <c r="U15" s="42">
        <f t="shared" si="1"/>
        <v>7</v>
      </c>
      <c r="V15" s="42" t="s">
        <v>414</v>
      </c>
      <c r="W15" s="42" t="s">
        <v>449</v>
      </c>
    </row>
    <row r="16" spans="1:23" x14ac:dyDescent="0.25">
      <c r="A16" s="42" t="s">
        <v>450</v>
      </c>
      <c r="B16" s="113">
        <v>42114</v>
      </c>
      <c r="C16" s="42" t="s">
        <v>436</v>
      </c>
      <c r="D16" s="42" t="s">
        <v>451</v>
      </c>
      <c r="E16" s="403">
        <v>46709570</v>
      </c>
      <c r="F16" s="403">
        <v>37113808</v>
      </c>
      <c r="G16" s="42">
        <v>218</v>
      </c>
      <c r="H16" s="404">
        <v>829470</v>
      </c>
      <c r="I16" s="403">
        <v>182412</v>
      </c>
      <c r="J16" s="404">
        <v>756500</v>
      </c>
      <c r="K16" s="403">
        <v>160334</v>
      </c>
      <c r="L16" s="42">
        <v>5.25</v>
      </c>
      <c r="M16" s="42">
        <v>6.5</v>
      </c>
      <c r="N16" s="42">
        <v>5</v>
      </c>
      <c r="O16" s="42" t="s">
        <v>452</v>
      </c>
      <c r="P16" s="42">
        <v>2</v>
      </c>
      <c r="Q16" s="42">
        <v>3</v>
      </c>
      <c r="R16" s="42">
        <v>1</v>
      </c>
      <c r="S16" s="42">
        <v>1</v>
      </c>
      <c r="T16" s="42">
        <v>2</v>
      </c>
      <c r="U16" s="42">
        <f t="shared" si="1"/>
        <v>9</v>
      </c>
      <c r="V16" s="42" t="s">
        <v>453</v>
      </c>
      <c r="W16" s="42" t="s">
        <v>454</v>
      </c>
    </row>
    <row r="17" spans="1:23" x14ac:dyDescent="0.25">
      <c r="A17" s="42" t="s">
        <v>455</v>
      </c>
      <c r="B17" s="113">
        <v>42081</v>
      </c>
      <c r="C17" s="42" t="s">
        <v>456</v>
      </c>
      <c r="D17" s="42" t="s">
        <v>437</v>
      </c>
      <c r="E17" s="403">
        <v>65518666</v>
      </c>
      <c r="F17" s="403">
        <v>79171407</v>
      </c>
      <c r="G17" s="42">
        <v>144</v>
      </c>
      <c r="H17" s="404">
        <v>1116530</v>
      </c>
      <c r="I17" s="403">
        <v>355742</v>
      </c>
      <c r="J17" s="404">
        <v>1052690</v>
      </c>
      <c r="K17" s="403">
        <v>319518</v>
      </c>
      <c r="L17" s="42">
        <v>5.25</v>
      </c>
      <c r="M17" s="42">
        <v>6.25</v>
      </c>
      <c r="N17" s="42">
        <v>5.75</v>
      </c>
      <c r="O17" s="42" t="s">
        <v>457</v>
      </c>
      <c r="P17" s="42">
        <v>0</v>
      </c>
      <c r="Q17" s="42">
        <v>2</v>
      </c>
      <c r="R17" s="42">
        <v>0</v>
      </c>
      <c r="S17" s="42">
        <v>1</v>
      </c>
      <c r="T17" s="42">
        <v>1</v>
      </c>
      <c r="U17" s="42">
        <f t="shared" si="1"/>
        <v>4</v>
      </c>
      <c r="V17" s="42" t="s">
        <v>458</v>
      </c>
      <c r="W17" s="42" t="s">
        <v>459</v>
      </c>
    </row>
    <row r="18" spans="1:23" x14ac:dyDescent="0.25">
      <c r="A18" s="42" t="s">
        <v>460</v>
      </c>
      <c r="B18" s="113">
        <v>42987</v>
      </c>
      <c r="C18" s="42" t="s">
        <v>422</v>
      </c>
      <c r="D18" s="42" t="s">
        <v>461</v>
      </c>
      <c r="E18" s="403">
        <v>12127780</v>
      </c>
      <c r="F18" s="403">
        <v>10570244</v>
      </c>
      <c r="G18" s="42">
        <v>41</v>
      </c>
      <c r="H18" s="404">
        <v>485360</v>
      </c>
      <c r="I18" s="403">
        <v>114784</v>
      </c>
      <c r="J18" s="404">
        <v>416940</v>
      </c>
      <c r="K18" s="403">
        <v>101762</v>
      </c>
      <c r="L18" s="42">
        <v>6</v>
      </c>
      <c r="M18" s="42">
        <v>6.5</v>
      </c>
      <c r="N18" s="42">
        <v>3.5</v>
      </c>
      <c r="O18" s="42" t="s">
        <v>462</v>
      </c>
      <c r="P18" s="42">
        <v>4</v>
      </c>
      <c r="Q18" s="42">
        <v>0</v>
      </c>
      <c r="R18" s="42">
        <v>1</v>
      </c>
      <c r="S18" s="42">
        <v>0</v>
      </c>
      <c r="T18" s="42">
        <v>3</v>
      </c>
      <c r="U18" s="42">
        <f t="shared" si="1"/>
        <v>8</v>
      </c>
      <c r="V18" s="42" t="s">
        <v>463</v>
      </c>
      <c r="W18" s="42">
        <v>343</v>
      </c>
    </row>
    <row r="19" spans="1:23" x14ac:dyDescent="0.25">
      <c r="A19" s="42" t="s">
        <v>429</v>
      </c>
      <c r="B19" s="113">
        <v>40792</v>
      </c>
      <c r="C19" s="42" t="s">
        <v>422</v>
      </c>
      <c r="D19" s="42" t="s">
        <v>430</v>
      </c>
      <c r="E19" s="403">
        <v>276071009</v>
      </c>
      <c r="F19" s="403">
        <v>299255460</v>
      </c>
      <c r="G19" s="42">
        <v>893</v>
      </c>
      <c r="H19" s="404">
        <v>1389140</v>
      </c>
      <c r="I19" s="403">
        <v>226850</v>
      </c>
      <c r="J19" s="404">
        <v>1203640</v>
      </c>
      <c r="K19" s="403">
        <v>176410</v>
      </c>
      <c r="L19" s="42">
        <v>5.25</v>
      </c>
      <c r="M19" s="42">
        <v>6.25</v>
      </c>
      <c r="N19" s="42">
        <v>4.5</v>
      </c>
      <c r="O19" s="42" t="s">
        <v>431</v>
      </c>
      <c r="P19" s="42">
        <v>1</v>
      </c>
      <c r="Q19" s="42">
        <v>1</v>
      </c>
      <c r="R19" s="42">
        <v>3</v>
      </c>
      <c r="S19" s="42">
        <v>0</v>
      </c>
      <c r="T19" s="42">
        <v>6</v>
      </c>
      <c r="U19" s="42">
        <f t="shared" si="1"/>
        <v>11</v>
      </c>
      <c r="V19" s="42" t="s">
        <v>432</v>
      </c>
      <c r="W19" s="42" t="s">
        <v>433</v>
      </c>
    </row>
  </sheetData>
  <conditionalFormatting sqref="U12:U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:N19">
    <cfRule type="colorScale" priority="2">
      <colorScale>
        <cfvo type="min"/>
        <cfvo type="max"/>
        <color rgb="FFFCFCFF"/>
        <color rgb="FF63BE7B"/>
      </colorScale>
    </cfRule>
  </conditionalFormatting>
  <conditionalFormatting sqref="M12:M19">
    <cfRule type="colorScale" priority="3">
      <colorScale>
        <cfvo type="min"/>
        <cfvo type="max"/>
        <color rgb="FFFCFCFF"/>
        <color rgb="FFF8696B"/>
      </colorScale>
    </cfRule>
  </conditionalFormatting>
  <conditionalFormatting sqref="L12:L19">
    <cfRule type="colorScale" priority="4">
      <colorScale>
        <cfvo type="min"/>
        <cfvo type="max"/>
        <color rgb="FFFCFCFF"/>
        <color rgb="FFF8696B"/>
      </colorScale>
    </cfRule>
  </conditionalFormatting>
  <conditionalFormatting sqref="I12:I19 K12:K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H19 J12:J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:F19">
    <cfRule type="colorScale" priority="7">
      <colorScale>
        <cfvo type="min"/>
        <cfvo type="max"/>
        <color rgb="FFFCFCFF"/>
        <color rgb="FFF8696B"/>
      </colorScale>
    </cfRule>
  </conditionalFormatting>
  <conditionalFormatting sqref="U2:U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9">
    <cfRule type="colorScale" priority="9">
      <colorScale>
        <cfvo type="min"/>
        <cfvo type="max"/>
        <color rgb="FFFCFCFF"/>
        <color rgb="FF63BE7B"/>
      </colorScale>
    </cfRule>
  </conditionalFormatting>
  <conditionalFormatting sqref="M2:M9">
    <cfRule type="colorScale" priority="10">
      <colorScale>
        <cfvo type="min"/>
        <cfvo type="max"/>
        <color rgb="FFFCFCFF"/>
        <color rgb="FFF8696B"/>
      </colorScale>
    </cfRule>
  </conditionalFormatting>
  <conditionalFormatting sqref="L2:L9">
    <cfRule type="colorScale" priority="11">
      <colorScale>
        <cfvo type="min"/>
        <cfvo type="max"/>
        <color rgb="FFFCFCFF"/>
        <color rgb="FFF8696B"/>
      </colorScale>
    </cfRule>
  </conditionalFormatting>
  <conditionalFormatting sqref="I2:I9 K2:K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9 J2:J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F9">
    <cfRule type="colorScale" priority="14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S30"/>
  <sheetViews>
    <sheetView workbookViewId="0">
      <selection activeCell="P6" sqref="P6"/>
    </sheetView>
  </sheetViews>
  <sheetFormatPr baseColWidth="10" defaultColWidth="11.42578125" defaultRowHeight="15" x14ac:dyDescent="0.25"/>
  <cols>
    <col min="1" max="1" width="5.140625" customWidth="1"/>
    <col min="2" max="2" width="6.140625" customWidth="1"/>
    <col min="3" max="3" width="8" customWidth="1"/>
    <col min="4" max="4" width="13.5703125" customWidth="1"/>
    <col min="5" max="5" width="4.5703125" customWidth="1"/>
    <col min="6" max="6" width="5" customWidth="1"/>
    <col min="7" max="11" width="5.5703125" customWidth="1"/>
    <col min="12" max="12" width="4.5703125" customWidth="1"/>
    <col min="13" max="13" width="5.5703125" customWidth="1"/>
    <col min="14" max="14" width="7.28515625" customWidth="1"/>
    <col min="15" max="15" width="5.5703125" customWidth="1"/>
    <col min="16" max="16" width="6.28515625" customWidth="1"/>
    <col min="17" max="17" width="5.28515625" customWidth="1"/>
    <col min="18" max="18" width="8.28515625" customWidth="1"/>
    <col min="19" max="19" width="5.42578125" customWidth="1"/>
    <col min="20" max="21" width="5.7109375" customWidth="1"/>
    <col min="22" max="22" width="9.140625" customWidth="1"/>
    <col min="23" max="23" width="7.28515625" customWidth="1"/>
    <col min="24" max="24" width="5.140625" customWidth="1"/>
    <col min="25" max="25" width="4.5703125" customWidth="1"/>
    <col min="26" max="26" width="5.7109375" customWidth="1"/>
    <col min="27" max="33" width="4.5703125" customWidth="1"/>
    <col min="34" max="34" width="7.28515625" customWidth="1"/>
    <col min="35" max="35" width="5.5703125" customWidth="1"/>
    <col min="36" max="36" width="5.7109375" customWidth="1"/>
    <col min="37" max="37" width="5.28515625" customWidth="1"/>
    <col min="38" max="38" width="5.5703125" customWidth="1"/>
    <col min="39" max="39" width="5.42578125" customWidth="1"/>
    <col min="40" max="41" width="5.7109375" customWidth="1"/>
    <col min="42" max="42" width="9.140625" customWidth="1"/>
    <col min="43" max="43" width="5.140625" style="54" customWidth="1"/>
    <col min="44" max="45" width="6.140625" style="54" customWidth="1"/>
  </cols>
  <sheetData>
    <row r="1" spans="1:45" x14ac:dyDescent="0.25">
      <c r="N1" s="77">
        <f>SUM(N3:N15)</f>
        <v>277966</v>
      </c>
      <c r="AH1" s="77">
        <f>SUM(AH3:AH15)</f>
        <v>197391.48</v>
      </c>
    </row>
    <row r="2" spans="1:45" x14ac:dyDescent="0.25">
      <c r="A2" s="96" t="s">
        <v>464</v>
      </c>
      <c r="B2" s="96" t="s">
        <v>109</v>
      </c>
      <c r="C2" s="96" t="s">
        <v>465</v>
      </c>
      <c r="D2" s="96" t="s">
        <v>111</v>
      </c>
      <c r="E2" s="96" t="s">
        <v>466</v>
      </c>
      <c r="F2" s="96" t="s">
        <v>467</v>
      </c>
      <c r="G2" s="96" t="s">
        <v>131</v>
      </c>
      <c r="H2" s="96" t="s">
        <v>132</v>
      </c>
      <c r="I2" s="96" t="s">
        <v>133</v>
      </c>
      <c r="J2" s="96" t="s">
        <v>134</v>
      </c>
      <c r="K2" s="96" t="s">
        <v>135</v>
      </c>
      <c r="L2" s="96" t="s">
        <v>136</v>
      </c>
      <c r="M2" s="96" t="s">
        <v>114</v>
      </c>
      <c r="N2" s="96" t="s">
        <v>468</v>
      </c>
      <c r="O2" s="96" t="s">
        <v>469</v>
      </c>
      <c r="P2" s="96" t="s">
        <v>470</v>
      </c>
      <c r="Q2" s="96" t="s">
        <v>471</v>
      </c>
      <c r="R2" s="96" t="s">
        <v>472</v>
      </c>
      <c r="S2" s="96" t="s">
        <v>473</v>
      </c>
      <c r="T2" s="96" t="s">
        <v>474</v>
      </c>
      <c r="U2" s="96" t="s">
        <v>475</v>
      </c>
      <c r="V2" s="96" t="s">
        <v>476</v>
      </c>
      <c r="X2" s="13" t="s">
        <v>464</v>
      </c>
      <c r="Y2" s="13" t="s">
        <v>466</v>
      </c>
      <c r="Z2" s="13" t="s">
        <v>467</v>
      </c>
      <c r="AA2" s="13" t="s">
        <v>131</v>
      </c>
      <c r="AB2" s="13" t="s">
        <v>132</v>
      </c>
      <c r="AC2" s="13" t="s">
        <v>133</v>
      </c>
      <c r="AD2" s="13" t="s">
        <v>134</v>
      </c>
      <c r="AE2" s="13" t="s">
        <v>135</v>
      </c>
      <c r="AF2" s="13" t="s">
        <v>136</v>
      </c>
      <c r="AG2" s="13" t="s">
        <v>114</v>
      </c>
      <c r="AH2" s="13" t="s">
        <v>468</v>
      </c>
      <c r="AI2" s="13" t="s">
        <v>469</v>
      </c>
      <c r="AJ2" s="13" t="s">
        <v>470</v>
      </c>
      <c r="AK2" s="13" t="s">
        <v>471</v>
      </c>
      <c r="AL2" s="13" t="s">
        <v>472</v>
      </c>
      <c r="AM2" s="13" t="s">
        <v>473</v>
      </c>
      <c r="AN2" s="13" t="s">
        <v>474</v>
      </c>
      <c r="AO2" s="13" t="s">
        <v>475</v>
      </c>
      <c r="AP2" s="13" t="s">
        <v>476</v>
      </c>
    </row>
    <row r="3" spans="1:45" x14ac:dyDescent="0.25">
      <c r="A3" t="s">
        <v>152</v>
      </c>
      <c r="B3" s="18" t="s">
        <v>153</v>
      </c>
      <c r="C3" s="6"/>
      <c r="D3" s="6" t="s">
        <v>477</v>
      </c>
      <c r="E3" s="6">
        <f>Plantilla!E4</f>
        <v>28</v>
      </c>
      <c r="F3" s="20">
        <f ca="1">Plantilla!F4</f>
        <v>2</v>
      </c>
      <c r="G3" s="89">
        <f>Plantilla!X4</f>
        <v>15</v>
      </c>
      <c r="H3" s="89">
        <f>Plantilla!Y4</f>
        <v>13.153846153846153</v>
      </c>
      <c r="I3" s="89">
        <f>Plantilla!Z4</f>
        <v>0</v>
      </c>
      <c r="J3" s="89">
        <f>Plantilla!AA4</f>
        <v>1</v>
      </c>
      <c r="K3" s="89">
        <f>Plantilla!AB4</f>
        <v>1</v>
      </c>
      <c r="L3" s="89">
        <f>Plantilla!AC4</f>
        <v>1</v>
      </c>
      <c r="M3" s="89">
        <f>Plantilla!AD4</f>
        <v>16.333333333333332</v>
      </c>
      <c r="N3" s="37">
        <f>Plantilla!V4</f>
        <v>32810</v>
      </c>
      <c r="O3" s="42">
        <v>51.5</v>
      </c>
      <c r="P3" s="42">
        <v>62</v>
      </c>
      <c r="Q3" s="42">
        <v>0</v>
      </c>
      <c r="R3" s="42">
        <v>0</v>
      </c>
      <c r="S3" s="42">
        <v>0</v>
      </c>
      <c r="T3" s="42">
        <v>0</v>
      </c>
      <c r="U3" s="42">
        <v>18</v>
      </c>
      <c r="V3" s="358">
        <f t="shared" ref="V3:V15" si="0">SUM(O3:U3)</f>
        <v>131.5</v>
      </c>
      <c r="X3" t="s">
        <v>152</v>
      </c>
      <c r="Y3" s="6">
        <f>E3</f>
        <v>28</v>
      </c>
      <c r="Z3" s="6">
        <f ca="1">F3+(7*$AR$8)</f>
        <v>2</v>
      </c>
      <c r="AA3" s="55">
        <f t="shared" ref="AA3:AA15" si="1">G3</f>
        <v>15</v>
      </c>
      <c r="AB3" s="55">
        <f>11+6/10</f>
        <v>11.6</v>
      </c>
      <c r="AC3" s="55">
        <f>I3</f>
        <v>0</v>
      </c>
      <c r="AD3" s="55">
        <f>J3</f>
        <v>1</v>
      </c>
      <c r="AE3" s="55">
        <f>K3</f>
        <v>1</v>
      </c>
      <c r="AF3" s="55">
        <f>L3</f>
        <v>1</v>
      </c>
      <c r="AG3" s="55">
        <f>M3</f>
        <v>16.333333333333332</v>
      </c>
      <c r="AH3" s="37">
        <f>(24270+2300)*1.008</f>
        <v>26782.560000000001</v>
      </c>
      <c r="AI3" s="42">
        <f t="shared" ref="AI3:AI15" si="2">O3</f>
        <v>51.5</v>
      </c>
      <c r="AJ3" s="42">
        <f t="shared" ref="AJ3:AJ11" si="3">P3+$AR$8</f>
        <v>62</v>
      </c>
      <c r="AK3" s="42">
        <f t="shared" ref="AK3:AK15" si="4">Q3</f>
        <v>0</v>
      </c>
      <c r="AL3" s="42">
        <f t="shared" ref="AL3:AL15" si="5">R3</f>
        <v>0</v>
      </c>
      <c r="AM3" s="42">
        <f t="shared" ref="AM3:AM15" si="6">S3</f>
        <v>0</v>
      </c>
      <c r="AN3" s="42">
        <f t="shared" ref="AN3:AN15" si="7">T3</f>
        <v>0</v>
      </c>
      <c r="AO3" s="42">
        <f t="shared" ref="AO3:AO15" si="8">U3</f>
        <v>18</v>
      </c>
      <c r="AP3" s="358">
        <f t="shared" ref="AP3:AP15" si="9">SUM(AI3:AO3)</f>
        <v>131.5</v>
      </c>
    </row>
    <row r="4" spans="1:45" x14ac:dyDescent="0.25">
      <c r="A4" t="s">
        <v>155</v>
      </c>
      <c r="B4" s="18" t="s">
        <v>191</v>
      </c>
      <c r="C4" s="6"/>
      <c r="D4" s="6" t="s">
        <v>478</v>
      </c>
      <c r="E4" s="6">
        <f>Plantilla!E17</f>
        <v>32</v>
      </c>
      <c r="F4" s="20">
        <f ca="1">Plantilla!F17</f>
        <v>97</v>
      </c>
      <c r="G4" s="89">
        <f>Plantilla!X17</f>
        <v>0</v>
      </c>
      <c r="H4" s="89">
        <f>Plantilla!Y17</f>
        <v>6</v>
      </c>
      <c r="I4" s="89">
        <f>Plantilla!Z17</f>
        <v>13</v>
      </c>
      <c r="J4" s="89">
        <f>Plantilla!AA17</f>
        <v>7</v>
      </c>
      <c r="K4" s="89">
        <f>Plantilla!AB17</f>
        <v>12</v>
      </c>
      <c r="L4" s="89">
        <f>Plantilla!AC17</f>
        <v>4</v>
      </c>
      <c r="M4" s="89">
        <f>Plantilla!AD17</f>
        <v>16</v>
      </c>
      <c r="N4" s="37">
        <f>Plantilla!V17</f>
        <v>14170</v>
      </c>
      <c r="O4" s="42">
        <v>0</v>
      </c>
      <c r="P4" s="42">
        <f>104.3</f>
        <v>104.3</v>
      </c>
      <c r="Q4" s="42">
        <v>12</v>
      </c>
      <c r="R4" s="42">
        <v>11</v>
      </c>
      <c r="S4" s="42">
        <v>23</v>
      </c>
      <c r="T4" s="42">
        <v>0</v>
      </c>
      <c r="U4" s="42">
        <v>15</v>
      </c>
      <c r="V4" s="358">
        <f t="shared" si="0"/>
        <v>165.3</v>
      </c>
      <c r="X4" t="s">
        <v>155</v>
      </c>
      <c r="Y4" s="6">
        <f>E4</f>
        <v>32</v>
      </c>
      <c r="Z4" s="6">
        <f ca="1">F4+(7*$AR$8)</f>
        <v>97</v>
      </c>
      <c r="AA4" s="55">
        <f t="shared" si="1"/>
        <v>0</v>
      </c>
      <c r="AB4" s="55">
        <f>15+3/18</f>
        <v>15.166666666666666</v>
      </c>
      <c r="AC4" s="55">
        <f t="shared" ref="AC4:AC15" si="10">I4</f>
        <v>13</v>
      </c>
      <c r="AD4" s="55">
        <f>5+2/10</f>
        <v>5.2</v>
      </c>
      <c r="AE4" s="55">
        <f t="shared" ref="AE4:AE15" si="11">K4</f>
        <v>12</v>
      </c>
      <c r="AF4" s="55">
        <f t="shared" ref="AF4:AF15" si="12">L4</f>
        <v>4</v>
      </c>
      <c r="AG4" s="55">
        <f t="shared" ref="AG4:AG15" si="13">M4</f>
        <v>16</v>
      </c>
      <c r="AH4" s="37">
        <f>(28000+135+130+135)*1.004</f>
        <v>28513.599999999999</v>
      </c>
      <c r="AI4" s="42">
        <f t="shared" si="2"/>
        <v>0</v>
      </c>
      <c r="AJ4" s="42">
        <f t="shared" si="3"/>
        <v>104.3</v>
      </c>
      <c r="AK4" s="42">
        <f t="shared" si="4"/>
        <v>12</v>
      </c>
      <c r="AL4" s="42">
        <f t="shared" si="5"/>
        <v>11</v>
      </c>
      <c r="AM4" s="42">
        <f t="shared" si="6"/>
        <v>23</v>
      </c>
      <c r="AN4" s="42">
        <f t="shared" si="7"/>
        <v>0</v>
      </c>
      <c r="AO4" s="42">
        <f t="shared" si="8"/>
        <v>15</v>
      </c>
      <c r="AP4" s="358">
        <f t="shared" si="9"/>
        <v>165.3</v>
      </c>
    </row>
    <row r="5" spans="1:45" x14ac:dyDescent="0.25">
      <c r="A5" t="s">
        <v>164</v>
      </c>
      <c r="B5" s="18" t="s">
        <v>191</v>
      </c>
      <c r="C5" s="6"/>
      <c r="D5" s="6" t="s">
        <v>479</v>
      </c>
      <c r="E5" s="6">
        <f>Plantilla!E7</f>
        <v>28</v>
      </c>
      <c r="F5" s="20">
        <f ca="1">Plantilla!F7</f>
        <v>30</v>
      </c>
      <c r="G5" s="89">
        <f>Plantilla!X7</f>
        <v>0</v>
      </c>
      <c r="H5" s="89">
        <f>Plantilla!Y7</f>
        <v>14.6875</v>
      </c>
      <c r="I5" s="89">
        <f>Plantilla!Z7</f>
        <v>3.25</v>
      </c>
      <c r="J5" s="89">
        <f>Plantilla!AA7</f>
        <v>9</v>
      </c>
      <c r="K5" s="89">
        <f>Plantilla!AB7</f>
        <v>12</v>
      </c>
      <c r="L5" s="89">
        <f>Plantilla!AC7</f>
        <v>4</v>
      </c>
      <c r="M5" s="89">
        <f>Plantilla!AD7</f>
        <v>15.333333333333334</v>
      </c>
      <c r="N5" s="37">
        <f>Plantilla!V7</f>
        <v>27600</v>
      </c>
      <c r="O5" s="42">
        <v>0</v>
      </c>
      <c r="P5" s="42">
        <v>83</v>
      </c>
      <c r="Q5" s="42">
        <v>3</v>
      </c>
      <c r="R5" s="42">
        <v>15.5</v>
      </c>
      <c r="S5" s="42">
        <v>43</v>
      </c>
      <c r="T5" s="42">
        <v>5</v>
      </c>
      <c r="U5" s="42">
        <v>16</v>
      </c>
      <c r="V5" s="358">
        <f t="shared" si="0"/>
        <v>165.5</v>
      </c>
      <c r="X5" t="s">
        <v>164</v>
      </c>
      <c r="Y5" s="6">
        <f>E5</f>
        <v>28</v>
      </c>
      <c r="Z5" s="6">
        <f ca="1">F5+(7*$AR$8)</f>
        <v>30</v>
      </c>
      <c r="AA5" s="55">
        <f t="shared" si="1"/>
        <v>0</v>
      </c>
      <c r="AB5" s="55">
        <f>13+5/12</f>
        <v>13.416666666666666</v>
      </c>
      <c r="AC5" s="55">
        <f t="shared" si="10"/>
        <v>3.25</v>
      </c>
      <c r="AD5" s="55">
        <f>7+1/12</f>
        <v>7.083333333333333</v>
      </c>
      <c r="AE5" s="55">
        <f t="shared" si="11"/>
        <v>12</v>
      </c>
      <c r="AF5" s="55">
        <f t="shared" si="12"/>
        <v>4</v>
      </c>
      <c r="AG5" s="55">
        <f t="shared" si="13"/>
        <v>15.333333333333334</v>
      </c>
      <c r="AH5" s="37">
        <f>(195+13000+190)*1.008</f>
        <v>13492.08</v>
      </c>
      <c r="AI5" s="42">
        <f t="shared" si="2"/>
        <v>0</v>
      </c>
      <c r="AJ5" s="42">
        <f t="shared" si="3"/>
        <v>83</v>
      </c>
      <c r="AK5" s="42">
        <f t="shared" si="4"/>
        <v>3</v>
      </c>
      <c r="AL5" s="42">
        <f t="shared" si="5"/>
        <v>15.5</v>
      </c>
      <c r="AM5" s="42">
        <f t="shared" si="6"/>
        <v>43</v>
      </c>
      <c r="AN5" s="42">
        <f t="shared" si="7"/>
        <v>5</v>
      </c>
      <c r="AO5" s="42">
        <f t="shared" si="8"/>
        <v>16</v>
      </c>
      <c r="AP5" s="358">
        <f t="shared" si="9"/>
        <v>165.5</v>
      </c>
    </row>
    <row r="6" spans="1:45" x14ac:dyDescent="0.25">
      <c r="A6" t="s">
        <v>158</v>
      </c>
      <c r="B6" s="18" t="s">
        <v>191</v>
      </c>
      <c r="C6" s="6"/>
      <c r="D6" s="6" t="s">
        <v>480</v>
      </c>
      <c r="E6" s="6">
        <f>Plantilla!E6</f>
        <v>27</v>
      </c>
      <c r="F6" s="20">
        <f ca="1">Plantilla!F6</f>
        <v>92</v>
      </c>
      <c r="G6" s="89">
        <f>Plantilla!X6</f>
        <v>0</v>
      </c>
      <c r="H6" s="89">
        <f>Plantilla!Y6</f>
        <v>15.8125</v>
      </c>
      <c r="I6" s="89">
        <f>Plantilla!Z6</f>
        <v>5</v>
      </c>
      <c r="J6" s="89">
        <f>Plantilla!AA6</f>
        <v>8.75</v>
      </c>
      <c r="K6" s="89">
        <f>Plantilla!AB6</f>
        <v>9</v>
      </c>
      <c r="L6" s="89">
        <f>Plantilla!AC6</f>
        <v>1</v>
      </c>
      <c r="M6" s="89">
        <f>Plantilla!AD6</f>
        <v>14.666666666666666</v>
      </c>
      <c r="N6" s="37">
        <f>Plantilla!V6</f>
        <v>37690</v>
      </c>
      <c r="O6" s="42">
        <v>0</v>
      </c>
      <c r="P6" s="42">
        <v>105</v>
      </c>
      <c r="Q6" s="42">
        <v>9</v>
      </c>
      <c r="R6" s="42">
        <v>14.5</v>
      </c>
      <c r="S6" s="42">
        <v>22</v>
      </c>
      <c r="T6" s="42">
        <v>0</v>
      </c>
      <c r="U6" s="42">
        <v>14</v>
      </c>
      <c r="V6" s="358">
        <f t="shared" si="0"/>
        <v>164.5</v>
      </c>
      <c r="X6" t="s">
        <v>158</v>
      </c>
      <c r="Y6" s="6">
        <f>E6</f>
        <v>27</v>
      </c>
      <c r="Z6" s="6">
        <f ca="1">F6+(7*$AR$8)</f>
        <v>92</v>
      </c>
      <c r="AA6" s="55">
        <f t="shared" si="1"/>
        <v>0</v>
      </c>
      <c r="AB6" s="55">
        <f>15+3/18</f>
        <v>15.166666666666666</v>
      </c>
      <c r="AC6" s="55">
        <f t="shared" si="10"/>
        <v>5</v>
      </c>
      <c r="AD6" s="55">
        <f>J6+(0.5*AR9)/4</f>
        <v>8.75</v>
      </c>
      <c r="AE6" s="55">
        <f t="shared" si="11"/>
        <v>9</v>
      </c>
      <c r="AF6" s="55">
        <f t="shared" si="12"/>
        <v>1</v>
      </c>
      <c r="AG6" s="55">
        <f t="shared" si="13"/>
        <v>14.666666666666666</v>
      </c>
      <c r="AH6" s="37">
        <f>(28000+135+130+135)*1.004</f>
        <v>28513.599999999999</v>
      </c>
      <c r="AI6" s="42">
        <f t="shared" si="2"/>
        <v>0</v>
      </c>
      <c r="AJ6" s="42">
        <f t="shared" si="3"/>
        <v>105</v>
      </c>
      <c r="AK6" s="42">
        <f t="shared" si="4"/>
        <v>9</v>
      </c>
      <c r="AL6" s="42">
        <f t="shared" si="5"/>
        <v>14.5</v>
      </c>
      <c r="AM6" s="42">
        <f t="shared" si="6"/>
        <v>22</v>
      </c>
      <c r="AN6" s="42">
        <f t="shared" si="7"/>
        <v>0</v>
      </c>
      <c r="AO6" s="42">
        <f t="shared" si="8"/>
        <v>14</v>
      </c>
      <c r="AP6" s="358">
        <f t="shared" si="9"/>
        <v>164.5</v>
      </c>
    </row>
    <row r="7" spans="1:45" x14ac:dyDescent="0.25">
      <c r="A7" t="s">
        <v>167</v>
      </c>
      <c r="B7" s="18" t="s">
        <v>191</v>
      </c>
      <c r="C7" s="6"/>
      <c r="D7" s="6" t="s">
        <v>481</v>
      </c>
      <c r="E7" s="6">
        <f>Plantilla!E8</f>
        <v>28</v>
      </c>
      <c r="F7" s="20">
        <f ca="1">Plantilla!F8</f>
        <v>15</v>
      </c>
      <c r="G7" s="89">
        <f>Plantilla!X8</f>
        <v>0</v>
      </c>
      <c r="H7" s="89">
        <f>Plantilla!Y8</f>
        <v>13</v>
      </c>
      <c r="I7" s="89">
        <f>Plantilla!Z8</f>
        <v>11.444444444444445</v>
      </c>
      <c r="J7" s="89">
        <f>Plantilla!AA8</f>
        <v>4.5999999999999996</v>
      </c>
      <c r="K7" s="89">
        <f>Plantilla!AB8</f>
        <v>11.142857142857142</v>
      </c>
      <c r="L7" s="89">
        <f>Plantilla!AC8</f>
        <v>4</v>
      </c>
      <c r="M7" s="89">
        <f>Plantilla!AD8</f>
        <v>15</v>
      </c>
      <c r="N7" s="37">
        <f>Plantilla!V8</f>
        <v>16890</v>
      </c>
      <c r="O7" s="42">
        <v>0</v>
      </c>
      <c r="P7" s="42">
        <v>60</v>
      </c>
      <c r="Q7" s="42">
        <v>41</v>
      </c>
      <c r="R7" s="42">
        <v>4.5</v>
      </c>
      <c r="S7" s="42">
        <v>36</v>
      </c>
      <c r="T7" s="42">
        <v>5</v>
      </c>
      <c r="U7" s="42">
        <v>15</v>
      </c>
      <c r="V7" s="358">
        <f t="shared" si="0"/>
        <v>161.5</v>
      </c>
      <c r="X7" t="s">
        <v>167</v>
      </c>
      <c r="Y7" s="6">
        <f>E7</f>
        <v>28</v>
      </c>
      <c r="Z7" s="6">
        <f ca="1">F7+(7*$AR$8)</f>
        <v>15</v>
      </c>
      <c r="AA7" s="55">
        <f t="shared" si="1"/>
        <v>0</v>
      </c>
      <c r="AB7" s="55">
        <f>11+7/10</f>
        <v>11.7</v>
      </c>
      <c r="AC7" s="55">
        <f t="shared" si="10"/>
        <v>11.444444444444445</v>
      </c>
      <c r="AD7" s="55">
        <f>J7</f>
        <v>4.5999999999999996</v>
      </c>
      <c r="AE7" s="55">
        <f t="shared" si="11"/>
        <v>11.142857142857142</v>
      </c>
      <c r="AF7" s="55">
        <f t="shared" si="12"/>
        <v>4</v>
      </c>
      <c r="AG7" s="55">
        <f t="shared" si="13"/>
        <v>15</v>
      </c>
      <c r="AH7" s="37">
        <f>(6800+2505+145)*1.008</f>
        <v>9525.6</v>
      </c>
      <c r="AI7" s="42">
        <f t="shared" si="2"/>
        <v>0</v>
      </c>
      <c r="AJ7" s="42">
        <f t="shared" si="3"/>
        <v>60</v>
      </c>
      <c r="AK7" s="42">
        <f t="shared" si="4"/>
        <v>41</v>
      </c>
      <c r="AL7" s="42">
        <f t="shared" si="5"/>
        <v>4.5</v>
      </c>
      <c r="AM7" s="42">
        <f t="shared" si="6"/>
        <v>36</v>
      </c>
      <c r="AN7" s="42">
        <f t="shared" si="7"/>
        <v>5</v>
      </c>
      <c r="AO7" s="42">
        <f t="shared" si="8"/>
        <v>15</v>
      </c>
      <c r="AP7" s="358">
        <f t="shared" si="9"/>
        <v>161.5</v>
      </c>
      <c r="AR7" s="90" t="s">
        <v>137</v>
      </c>
      <c r="AS7" s="90" t="s">
        <v>482</v>
      </c>
    </row>
    <row r="8" spans="1:45" x14ac:dyDescent="0.25">
      <c r="A8" t="s">
        <v>171</v>
      </c>
      <c r="B8" s="18" t="s">
        <v>191</v>
      </c>
      <c r="C8" s="6"/>
      <c r="D8" s="6" t="s">
        <v>483</v>
      </c>
      <c r="E8" s="6">
        <f>Plantilla!E9</f>
        <v>28</v>
      </c>
      <c r="F8" s="20">
        <f ca="1">Plantilla!F9</f>
        <v>58</v>
      </c>
      <c r="G8" s="89">
        <f>Plantilla!X9</f>
        <v>0</v>
      </c>
      <c r="H8" s="89">
        <f>Plantilla!Y9</f>
        <v>14.6875</v>
      </c>
      <c r="I8" s="89">
        <f>Plantilla!Z9</f>
        <v>5.125</v>
      </c>
      <c r="J8" s="89">
        <f>Plantilla!AA9</f>
        <v>3</v>
      </c>
      <c r="K8" s="89">
        <f>Plantilla!AB9</f>
        <v>12.222222222222221</v>
      </c>
      <c r="L8" s="89">
        <f>Plantilla!AC9</f>
        <v>6</v>
      </c>
      <c r="M8" s="89">
        <f>Plantilla!AD9</f>
        <v>14</v>
      </c>
      <c r="N8" s="37">
        <f>Plantilla!V9</f>
        <v>27050</v>
      </c>
      <c r="O8" s="42">
        <v>0</v>
      </c>
      <c r="P8" s="42">
        <v>83</v>
      </c>
      <c r="Q8" s="42">
        <v>9.5</v>
      </c>
      <c r="R8" s="42">
        <v>0</v>
      </c>
      <c r="S8" s="42">
        <v>44</v>
      </c>
      <c r="T8" s="42">
        <v>12</v>
      </c>
      <c r="U8" s="42">
        <v>13</v>
      </c>
      <c r="V8" s="358">
        <f t="shared" si="0"/>
        <v>161.5</v>
      </c>
      <c r="X8" t="s">
        <v>171</v>
      </c>
      <c r="Y8" s="6">
        <f>E8+1</f>
        <v>29</v>
      </c>
      <c r="Z8" s="6">
        <f ca="1">F8+(7*$AR$8)-112</f>
        <v>-54</v>
      </c>
      <c r="AA8" s="55">
        <f t="shared" si="1"/>
        <v>0</v>
      </c>
      <c r="AB8" s="55">
        <f>H8</f>
        <v>14.6875</v>
      </c>
      <c r="AC8" s="55">
        <f t="shared" si="10"/>
        <v>5.125</v>
      </c>
      <c r="AD8" s="55">
        <f>J8</f>
        <v>3</v>
      </c>
      <c r="AE8" s="55">
        <f t="shared" si="11"/>
        <v>12.222222222222221</v>
      </c>
      <c r="AF8" s="55">
        <f t="shared" si="12"/>
        <v>6</v>
      </c>
      <c r="AG8" s="55">
        <f t="shared" si="13"/>
        <v>14</v>
      </c>
      <c r="AH8" s="37"/>
      <c r="AI8" s="42">
        <f t="shared" si="2"/>
        <v>0</v>
      </c>
      <c r="AJ8" s="42">
        <f t="shared" si="3"/>
        <v>83</v>
      </c>
      <c r="AK8" s="42">
        <f t="shared" si="4"/>
        <v>9.5</v>
      </c>
      <c r="AL8" s="42">
        <f t="shared" si="5"/>
        <v>0</v>
      </c>
      <c r="AM8" s="42">
        <f t="shared" si="6"/>
        <v>44</v>
      </c>
      <c r="AN8" s="42">
        <f t="shared" si="7"/>
        <v>12</v>
      </c>
      <c r="AO8" s="42">
        <f t="shared" si="8"/>
        <v>13</v>
      </c>
      <c r="AP8" s="358">
        <f t="shared" si="9"/>
        <v>161.5</v>
      </c>
      <c r="AQ8" s="90" t="s">
        <v>191</v>
      </c>
      <c r="AR8" s="54">
        <v>0</v>
      </c>
      <c r="AS8" s="97">
        <f>AR8/16</f>
        <v>0</v>
      </c>
    </row>
    <row r="9" spans="1:45" x14ac:dyDescent="0.25">
      <c r="A9" t="s">
        <v>160</v>
      </c>
      <c r="B9" s="18" t="s">
        <v>191</v>
      </c>
      <c r="C9" s="6" t="s">
        <v>163</v>
      </c>
      <c r="D9" s="6" t="s">
        <v>484</v>
      </c>
      <c r="E9" s="6">
        <f>Plantilla!E10</f>
        <v>27</v>
      </c>
      <c r="F9" s="20">
        <f ca="1">Plantilla!F10</f>
        <v>107</v>
      </c>
      <c r="G9" s="89">
        <f>Plantilla!X10</f>
        <v>0</v>
      </c>
      <c r="H9" s="89">
        <f>Plantilla!Y10</f>
        <v>14.1875</v>
      </c>
      <c r="I9" s="89">
        <f>Plantilla!Z10</f>
        <v>4.25</v>
      </c>
      <c r="J9" s="89">
        <f>Plantilla!AA10</f>
        <v>13.733333333333333</v>
      </c>
      <c r="K9" s="89">
        <f>Plantilla!AB10</f>
        <v>8.1999999999999993</v>
      </c>
      <c r="L9" s="89">
        <f>Plantilla!AC10</f>
        <v>7</v>
      </c>
      <c r="M9" s="89">
        <f>Plantilla!AD10</f>
        <v>15.333333333333334</v>
      </c>
      <c r="N9" s="37">
        <f>Plantilla!V10</f>
        <v>22680</v>
      </c>
      <c r="O9" s="42">
        <v>0</v>
      </c>
      <c r="P9" s="42">
        <v>76</v>
      </c>
      <c r="Q9" s="42">
        <v>6</v>
      </c>
      <c r="R9" s="42">
        <v>40.5</v>
      </c>
      <c r="S9" s="42">
        <v>18</v>
      </c>
      <c r="T9" s="42">
        <v>16</v>
      </c>
      <c r="U9" s="42">
        <v>16</v>
      </c>
      <c r="V9" s="358">
        <f t="shared" si="0"/>
        <v>172.5</v>
      </c>
      <c r="X9" t="s">
        <v>160</v>
      </c>
      <c r="Y9" s="6">
        <f>E9</f>
        <v>27</v>
      </c>
      <c r="Z9" s="6">
        <f ca="1">F9+(7*$AR$8)</f>
        <v>107</v>
      </c>
      <c r="AA9" s="55">
        <f t="shared" si="1"/>
        <v>0</v>
      </c>
      <c r="AB9" s="55">
        <f>12+10/11</f>
        <v>12.909090909090908</v>
      </c>
      <c r="AC9" s="55">
        <f t="shared" si="10"/>
        <v>4.25</v>
      </c>
      <c r="AD9" s="55">
        <v>12.5</v>
      </c>
      <c r="AE9" s="55">
        <f t="shared" si="11"/>
        <v>8.1999999999999993</v>
      </c>
      <c r="AF9" s="55">
        <f t="shared" si="12"/>
        <v>7</v>
      </c>
      <c r="AG9" s="55">
        <f t="shared" si="13"/>
        <v>15.333333333333334</v>
      </c>
      <c r="AH9" s="37">
        <f>(12930+2985+125+125+245)*1.012</f>
        <v>16606.920000000002</v>
      </c>
      <c r="AI9" s="42">
        <f t="shared" si="2"/>
        <v>0</v>
      </c>
      <c r="AJ9" s="42">
        <f t="shared" si="3"/>
        <v>76</v>
      </c>
      <c r="AK9" s="42">
        <f t="shared" si="4"/>
        <v>6</v>
      </c>
      <c r="AL9" s="42">
        <f t="shared" si="5"/>
        <v>40.5</v>
      </c>
      <c r="AM9" s="42">
        <f t="shared" si="6"/>
        <v>18</v>
      </c>
      <c r="AN9" s="42">
        <f t="shared" si="7"/>
        <v>16</v>
      </c>
      <c r="AO9" s="42">
        <f t="shared" si="8"/>
        <v>16</v>
      </c>
      <c r="AP9" s="358">
        <f t="shared" si="9"/>
        <v>172.5</v>
      </c>
      <c r="AR9" s="98"/>
      <c r="AS9" s="98"/>
    </row>
    <row r="10" spans="1:45" x14ac:dyDescent="0.25">
      <c r="A10" t="s">
        <v>168</v>
      </c>
      <c r="B10" s="18" t="s">
        <v>191</v>
      </c>
      <c r="C10" s="6" t="s">
        <v>163</v>
      </c>
      <c r="D10" s="6" t="s">
        <v>485</v>
      </c>
      <c r="E10" s="6">
        <f>Plantilla!E12</f>
        <v>27</v>
      </c>
      <c r="F10" s="20">
        <f ca="1">Plantilla!F12</f>
        <v>107</v>
      </c>
      <c r="G10" s="89">
        <f>Plantilla!X12</f>
        <v>0</v>
      </c>
      <c r="H10" s="89">
        <f>Plantilla!Y12</f>
        <v>13.133333333333333</v>
      </c>
      <c r="I10" s="89">
        <f>Plantilla!Z12</f>
        <v>4.25</v>
      </c>
      <c r="J10" s="89">
        <f>Plantilla!AA12</f>
        <v>13</v>
      </c>
      <c r="K10" s="89">
        <f>Plantilla!AB12</f>
        <v>9.1666666666666661</v>
      </c>
      <c r="L10" s="89">
        <f>Plantilla!AC12</f>
        <v>7.25</v>
      </c>
      <c r="M10" s="89">
        <f>Plantilla!AD12</f>
        <v>16</v>
      </c>
      <c r="N10" s="37">
        <f>Plantilla!V12</f>
        <v>14770</v>
      </c>
      <c r="O10" s="42">
        <v>0</v>
      </c>
      <c r="P10" s="42">
        <v>62</v>
      </c>
      <c r="Q10" s="42">
        <v>3.5</v>
      </c>
      <c r="R10" s="29">
        <v>42</v>
      </c>
      <c r="S10" s="42">
        <v>24</v>
      </c>
      <c r="T10" s="42">
        <v>17</v>
      </c>
      <c r="U10" s="42">
        <v>17</v>
      </c>
      <c r="V10" s="358">
        <f t="shared" si="0"/>
        <v>165.5</v>
      </c>
      <c r="X10" t="s">
        <v>168</v>
      </c>
      <c r="Y10" s="6">
        <f>E10</f>
        <v>27</v>
      </c>
      <c r="Z10" s="6">
        <f ca="1">F10+(7*$AR$8)</f>
        <v>107</v>
      </c>
      <c r="AA10" s="55">
        <f t="shared" si="1"/>
        <v>0</v>
      </c>
      <c r="AB10" s="55">
        <v>12</v>
      </c>
      <c r="AC10" s="55">
        <f t="shared" si="10"/>
        <v>4.25</v>
      </c>
      <c r="AD10" s="55">
        <v>11.9</v>
      </c>
      <c r="AE10" s="55">
        <f t="shared" si="11"/>
        <v>9.1666666666666661</v>
      </c>
      <c r="AF10" s="55">
        <f t="shared" si="12"/>
        <v>7.25</v>
      </c>
      <c r="AG10" s="55">
        <f t="shared" si="13"/>
        <v>16</v>
      </c>
      <c r="AH10" s="37">
        <f>(12930+2985+125+125+245)*1.012</f>
        <v>16606.920000000002</v>
      </c>
      <c r="AI10" s="42">
        <f t="shared" si="2"/>
        <v>0</v>
      </c>
      <c r="AJ10" s="42">
        <f t="shared" si="3"/>
        <v>62</v>
      </c>
      <c r="AK10" s="42">
        <f t="shared" si="4"/>
        <v>3.5</v>
      </c>
      <c r="AL10" s="29">
        <f t="shared" si="5"/>
        <v>42</v>
      </c>
      <c r="AM10" s="42">
        <f t="shared" si="6"/>
        <v>24</v>
      </c>
      <c r="AN10" s="42">
        <f t="shared" si="7"/>
        <v>17</v>
      </c>
      <c r="AO10" s="42">
        <f t="shared" si="8"/>
        <v>17</v>
      </c>
      <c r="AP10" s="358">
        <f t="shared" si="9"/>
        <v>165.5</v>
      </c>
      <c r="AR10" s="98"/>
      <c r="AS10" s="98"/>
    </row>
    <row r="11" spans="1:45" x14ac:dyDescent="0.25">
      <c r="A11" t="s">
        <v>161</v>
      </c>
      <c r="B11" s="18" t="s">
        <v>486</v>
      </c>
      <c r="C11" s="6" t="s">
        <v>166</v>
      </c>
      <c r="D11" s="6" t="s">
        <v>487</v>
      </c>
      <c r="E11" s="6">
        <f>Plantilla!E15</f>
        <v>27</v>
      </c>
      <c r="F11" s="20">
        <f ca="1">Plantilla!F15</f>
        <v>77</v>
      </c>
      <c r="G11" s="89">
        <f>Plantilla!X15</f>
        <v>0</v>
      </c>
      <c r="H11" s="89">
        <f>Plantilla!Y15</f>
        <v>13.5</v>
      </c>
      <c r="I11" s="89">
        <f>Plantilla!Z15</f>
        <v>9.7142857142857135</v>
      </c>
      <c r="J11" s="89">
        <f>Plantilla!AA15</f>
        <v>4.25</v>
      </c>
      <c r="K11" s="89">
        <f>Plantilla!AB15</f>
        <v>9</v>
      </c>
      <c r="L11" s="89">
        <f>Plantilla!AC15</f>
        <v>4</v>
      </c>
      <c r="M11" s="89">
        <f>Plantilla!AD15</f>
        <v>20.5</v>
      </c>
      <c r="N11" s="37">
        <f>Plantilla!V15</f>
        <v>18876</v>
      </c>
      <c r="O11" s="42">
        <v>0</v>
      </c>
      <c r="P11" s="42">
        <v>62.5</v>
      </c>
      <c r="Q11" s="42">
        <v>27</v>
      </c>
      <c r="R11" s="42">
        <v>3.5</v>
      </c>
      <c r="S11" s="42">
        <v>23</v>
      </c>
      <c r="T11" s="42">
        <v>5</v>
      </c>
      <c r="U11" s="42">
        <v>38</v>
      </c>
      <c r="V11" s="358">
        <f t="shared" si="0"/>
        <v>159</v>
      </c>
      <c r="X11" t="s">
        <v>161</v>
      </c>
      <c r="Y11" s="6">
        <f>E11</f>
        <v>27</v>
      </c>
      <c r="Z11" s="6">
        <f ca="1">F11+(7*$AR$8)</f>
        <v>77</v>
      </c>
      <c r="AA11" s="55">
        <f t="shared" si="1"/>
        <v>0</v>
      </c>
      <c r="AB11" s="55">
        <f>H11+2/10</f>
        <v>13.7</v>
      </c>
      <c r="AC11" s="55">
        <f t="shared" si="10"/>
        <v>9.7142857142857135</v>
      </c>
      <c r="AD11" s="55">
        <f>J11</f>
        <v>4.25</v>
      </c>
      <c r="AE11" s="55">
        <f t="shared" si="11"/>
        <v>9</v>
      </c>
      <c r="AF11" s="55">
        <f t="shared" si="12"/>
        <v>4</v>
      </c>
      <c r="AG11" s="55">
        <f t="shared" si="13"/>
        <v>20.5</v>
      </c>
      <c r="AH11" s="37">
        <f>N11</f>
        <v>18876</v>
      </c>
      <c r="AI11" s="42">
        <f t="shared" si="2"/>
        <v>0</v>
      </c>
      <c r="AJ11" s="42">
        <f t="shared" si="3"/>
        <v>62.5</v>
      </c>
      <c r="AK11" s="42">
        <f t="shared" si="4"/>
        <v>27</v>
      </c>
      <c r="AL11" s="42">
        <f t="shared" si="5"/>
        <v>3.5</v>
      </c>
      <c r="AM11" s="42">
        <f t="shared" si="6"/>
        <v>23</v>
      </c>
      <c r="AN11" s="42">
        <f t="shared" si="7"/>
        <v>5</v>
      </c>
      <c r="AO11" s="42">
        <f t="shared" si="8"/>
        <v>38</v>
      </c>
      <c r="AP11" s="358">
        <f t="shared" si="9"/>
        <v>159</v>
      </c>
    </row>
    <row r="12" spans="1:45" x14ac:dyDescent="0.25">
      <c r="A12" t="s">
        <v>488</v>
      </c>
      <c r="B12" s="18" t="s">
        <v>486</v>
      </c>
      <c r="C12" s="6"/>
      <c r="D12" s="6"/>
      <c r="E12" s="6"/>
      <c r="F12" s="6"/>
      <c r="G12" s="89">
        <v>0</v>
      </c>
      <c r="H12" s="63">
        <v>2</v>
      </c>
      <c r="I12" s="89">
        <v>2</v>
      </c>
      <c r="J12" s="63">
        <v>2</v>
      </c>
      <c r="K12" s="89">
        <v>2</v>
      </c>
      <c r="L12" s="63">
        <v>2</v>
      </c>
      <c r="M12" s="89">
        <v>2</v>
      </c>
      <c r="N12" s="37"/>
      <c r="O12" s="42">
        <v>0</v>
      </c>
      <c r="P12" s="42">
        <v>0</v>
      </c>
      <c r="Q12" s="42">
        <v>0</v>
      </c>
      <c r="R12" s="42">
        <v>0</v>
      </c>
      <c r="S12" s="42">
        <v>0</v>
      </c>
      <c r="T12" s="42">
        <v>0</v>
      </c>
      <c r="U12" s="42">
        <v>0</v>
      </c>
      <c r="V12" s="358">
        <f t="shared" si="0"/>
        <v>0</v>
      </c>
      <c r="X12" t="s">
        <v>488</v>
      </c>
      <c r="Y12" s="6"/>
      <c r="Z12" s="6"/>
      <c r="AA12" s="55">
        <f t="shared" si="1"/>
        <v>0</v>
      </c>
      <c r="AB12" s="55">
        <f>H12</f>
        <v>2</v>
      </c>
      <c r="AC12" s="55">
        <f t="shared" si="10"/>
        <v>2</v>
      </c>
      <c r="AD12" s="55">
        <f>J12</f>
        <v>2</v>
      </c>
      <c r="AE12" s="55">
        <f t="shared" si="11"/>
        <v>2</v>
      </c>
      <c r="AF12" s="55">
        <f t="shared" si="12"/>
        <v>2</v>
      </c>
      <c r="AG12" s="55">
        <f t="shared" si="13"/>
        <v>2</v>
      </c>
      <c r="AH12" s="37"/>
      <c r="AI12" s="42">
        <f t="shared" si="2"/>
        <v>0</v>
      </c>
      <c r="AJ12" s="42">
        <v>0</v>
      </c>
      <c r="AK12" s="42">
        <f t="shared" si="4"/>
        <v>0</v>
      </c>
      <c r="AL12" s="42">
        <f t="shared" si="5"/>
        <v>0</v>
      </c>
      <c r="AM12" s="42">
        <f t="shared" si="6"/>
        <v>0</v>
      </c>
      <c r="AN12" s="42">
        <f t="shared" si="7"/>
        <v>0</v>
      </c>
      <c r="AO12" s="42">
        <f t="shared" si="8"/>
        <v>0</v>
      </c>
      <c r="AP12" s="358">
        <f t="shared" si="9"/>
        <v>0</v>
      </c>
    </row>
    <row r="13" spans="1:45" x14ac:dyDescent="0.25">
      <c r="A13" t="s">
        <v>169</v>
      </c>
      <c r="B13" s="18" t="s">
        <v>489</v>
      </c>
      <c r="C13" s="6" t="s">
        <v>166</v>
      </c>
      <c r="D13" s="6" t="s">
        <v>490</v>
      </c>
      <c r="E13" s="6">
        <f>Plantilla!E13</f>
        <v>27</v>
      </c>
      <c r="F13" s="20">
        <f ca="1">Plantilla!F13</f>
        <v>103</v>
      </c>
      <c r="G13" s="89">
        <f>Plantilla!X13</f>
        <v>0</v>
      </c>
      <c r="H13" s="89">
        <f>Plantilla!Y13</f>
        <v>12.333333333333334</v>
      </c>
      <c r="I13" s="89">
        <f>Plantilla!Z13</f>
        <v>6.2</v>
      </c>
      <c r="J13" s="89">
        <f>Plantilla!AA13</f>
        <v>15.555555555555555</v>
      </c>
      <c r="K13" s="89">
        <f>Plantilla!AB13</f>
        <v>9.5</v>
      </c>
      <c r="L13" s="89">
        <f>Plantilla!AC13</f>
        <v>7.8</v>
      </c>
      <c r="M13" s="89">
        <f>Plantilla!AD13</f>
        <v>16.666666666666668</v>
      </c>
      <c r="N13" s="37">
        <f>Plantilla!V13</f>
        <v>24010</v>
      </c>
      <c r="O13" s="42">
        <v>0</v>
      </c>
      <c r="P13" s="42">
        <v>52</v>
      </c>
      <c r="Q13" s="42">
        <v>11</v>
      </c>
      <c r="R13" s="42">
        <v>55</v>
      </c>
      <c r="S13" s="42">
        <v>23</v>
      </c>
      <c r="T13" s="42">
        <v>20</v>
      </c>
      <c r="U13" s="42">
        <v>18</v>
      </c>
      <c r="V13" s="358">
        <f t="shared" si="0"/>
        <v>179</v>
      </c>
      <c r="X13" t="s">
        <v>169</v>
      </c>
      <c r="Y13" s="6">
        <f>E13</f>
        <v>27</v>
      </c>
      <c r="Z13" s="6">
        <f ca="1">F13+(7*$AR$8)</f>
        <v>103</v>
      </c>
      <c r="AA13" s="55">
        <f t="shared" si="1"/>
        <v>0</v>
      </c>
      <c r="AB13" s="55">
        <f>10+6/9</f>
        <v>10.666666666666666</v>
      </c>
      <c r="AC13" s="55">
        <f t="shared" si="10"/>
        <v>6.2</v>
      </c>
      <c r="AD13" s="55">
        <v>14</v>
      </c>
      <c r="AE13" s="55">
        <f t="shared" si="11"/>
        <v>9.5</v>
      </c>
      <c r="AF13" s="55">
        <f t="shared" si="12"/>
        <v>7.8</v>
      </c>
      <c r="AG13" s="55">
        <f t="shared" si="13"/>
        <v>16.666666666666668</v>
      </c>
      <c r="AH13" s="37">
        <f>(11610+300+145+150+1200)*1.016</f>
        <v>13619.48</v>
      </c>
      <c r="AI13" s="42">
        <f t="shared" si="2"/>
        <v>0</v>
      </c>
      <c r="AJ13" s="42">
        <f>P13+$AR$8</f>
        <v>52</v>
      </c>
      <c r="AK13" s="42">
        <f t="shared" si="4"/>
        <v>11</v>
      </c>
      <c r="AL13" s="42">
        <f t="shared" si="5"/>
        <v>55</v>
      </c>
      <c r="AM13" s="42">
        <f t="shared" si="6"/>
        <v>23</v>
      </c>
      <c r="AN13" s="42">
        <f t="shared" si="7"/>
        <v>20</v>
      </c>
      <c r="AO13" s="42">
        <f t="shared" si="8"/>
        <v>18</v>
      </c>
      <c r="AP13" s="358">
        <f t="shared" si="9"/>
        <v>179</v>
      </c>
    </row>
    <row r="14" spans="1:45" x14ac:dyDescent="0.25">
      <c r="A14" t="s">
        <v>491</v>
      </c>
      <c r="B14" s="18" t="s">
        <v>489</v>
      </c>
      <c r="C14" s="6" t="s">
        <v>166</v>
      </c>
      <c r="D14" s="6" t="s">
        <v>492</v>
      </c>
      <c r="E14" s="6">
        <f>Plantilla!E11</f>
        <v>27</v>
      </c>
      <c r="F14" s="20">
        <f ca="1">Plantilla!F11</f>
        <v>68</v>
      </c>
      <c r="G14" s="89">
        <f>Plantilla!X11</f>
        <v>0</v>
      </c>
      <c r="H14" s="89">
        <f>Plantilla!Y11</f>
        <v>13.692307692307692</v>
      </c>
      <c r="I14" s="89">
        <f>Plantilla!Z11</f>
        <v>4.25</v>
      </c>
      <c r="J14" s="89">
        <f>Plantilla!AA11</f>
        <v>14.625</v>
      </c>
      <c r="K14" s="89">
        <f>Plantilla!AB11</f>
        <v>10</v>
      </c>
      <c r="L14" s="89">
        <f>Plantilla!AC11</f>
        <v>7</v>
      </c>
      <c r="M14" s="89">
        <f>Plantilla!AD11</f>
        <v>16</v>
      </c>
      <c r="N14" s="37">
        <f>Plantilla!V11</f>
        <v>22610</v>
      </c>
      <c r="O14" s="42">
        <v>0</v>
      </c>
      <c r="P14" s="42">
        <v>68</v>
      </c>
      <c r="Q14" s="42">
        <v>3.5</v>
      </c>
      <c r="R14" s="42">
        <v>46.5</v>
      </c>
      <c r="S14" s="42">
        <v>26</v>
      </c>
      <c r="T14" s="42">
        <v>16</v>
      </c>
      <c r="U14" s="42">
        <v>17</v>
      </c>
      <c r="V14" s="358">
        <f t="shared" si="0"/>
        <v>177</v>
      </c>
      <c r="X14" t="s">
        <v>491</v>
      </c>
      <c r="Y14" s="6">
        <f>E14+1</f>
        <v>28</v>
      </c>
      <c r="Z14" s="6">
        <f ca="1">F14+(7*$AR$8)-112</f>
        <v>-44</v>
      </c>
      <c r="AA14" s="55">
        <f t="shared" si="1"/>
        <v>0</v>
      </c>
      <c r="AB14" s="55">
        <f>12+2/11</f>
        <v>12.181818181818182</v>
      </c>
      <c r="AC14" s="55">
        <f t="shared" si="10"/>
        <v>4.25</v>
      </c>
      <c r="AD14" s="55">
        <f>12+5/6</f>
        <v>12.833333333333334</v>
      </c>
      <c r="AE14" s="55">
        <f t="shared" si="11"/>
        <v>10</v>
      </c>
      <c r="AF14" s="55">
        <f t="shared" si="12"/>
        <v>7</v>
      </c>
      <c r="AG14" s="55">
        <f t="shared" si="13"/>
        <v>16</v>
      </c>
      <c r="AH14" s="37">
        <f>(7000+165+125+245+3505)*1.012</f>
        <v>11172.48</v>
      </c>
      <c r="AI14" s="42">
        <f t="shared" si="2"/>
        <v>0</v>
      </c>
      <c r="AJ14" s="42">
        <f>P14+$AR$8</f>
        <v>68</v>
      </c>
      <c r="AK14" s="42">
        <f t="shared" si="4"/>
        <v>3.5</v>
      </c>
      <c r="AL14" s="42">
        <f t="shared" si="5"/>
        <v>46.5</v>
      </c>
      <c r="AM14" s="42">
        <f t="shared" si="6"/>
        <v>26</v>
      </c>
      <c r="AN14" s="42">
        <f t="shared" si="7"/>
        <v>16</v>
      </c>
      <c r="AO14" s="42">
        <f t="shared" si="8"/>
        <v>17</v>
      </c>
      <c r="AP14" s="358">
        <f t="shared" si="9"/>
        <v>177</v>
      </c>
    </row>
    <row r="15" spans="1:45" x14ac:dyDescent="0.25">
      <c r="A15" t="s">
        <v>157</v>
      </c>
      <c r="B15" s="18" t="s">
        <v>489</v>
      </c>
      <c r="C15" s="6" t="s">
        <v>163</v>
      </c>
      <c r="D15" s="6" t="s">
        <v>493</v>
      </c>
      <c r="E15" s="6">
        <f>Plantilla!E14</f>
        <v>27</v>
      </c>
      <c r="F15" s="20">
        <f ca="1">Plantilla!F14</f>
        <v>103</v>
      </c>
      <c r="G15" s="89">
        <f>Plantilla!X14</f>
        <v>0</v>
      </c>
      <c r="H15" s="89">
        <f>Plantilla!Y14</f>
        <v>12.666666666666666</v>
      </c>
      <c r="I15" s="89">
        <f>Plantilla!Z14</f>
        <v>5.75</v>
      </c>
      <c r="J15" s="89">
        <f>Plantilla!AA14</f>
        <v>14.777777777777779</v>
      </c>
      <c r="K15" s="89">
        <f>Plantilla!AB14</f>
        <v>8.8571428571428577</v>
      </c>
      <c r="L15" s="89">
        <f>Plantilla!AC14</f>
        <v>8</v>
      </c>
      <c r="M15" s="89">
        <f>Plantilla!AD14</f>
        <v>15.666666666666666</v>
      </c>
      <c r="N15" s="37">
        <f>Plantilla!V14</f>
        <v>18810</v>
      </c>
      <c r="O15" s="42">
        <v>0</v>
      </c>
      <c r="P15" s="42">
        <v>55</v>
      </c>
      <c r="Q15" s="42">
        <v>10</v>
      </c>
      <c r="R15" s="42">
        <v>46.5</v>
      </c>
      <c r="S15" s="42">
        <v>20</v>
      </c>
      <c r="T15" s="42">
        <v>21</v>
      </c>
      <c r="U15" s="42">
        <v>16</v>
      </c>
      <c r="V15" s="358">
        <f t="shared" si="0"/>
        <v>168.5</v>
      </c>
      <c r="X15" t="s">
        <v>157</v>
      </c>
      <c r="Y15" s="6">
        <f>E15</f>
        <v>27</v>
      </c>
      <c r="Z15" s="6">
        <f ca="1">F15+(7*$AR$8)</f>
        <v>103</v>
      </c>
      <c r="AA15" s="55">
        <f t="shared" si="1"/>
        <v>0</v>
      </c>
      <c r="AB15" s="55">
        <f>11+1/10</f>
        <v>11.1</v>
      </c>
      <c r="AC15" s="55">
        <f t="shared" si="10"/>
        <v>5.75</v>
      </c>
      <c r="AD15" s="55">
        <f>13+2/6</f>
        <v>13.333333333333334</v>
      </c>
      <c r="AE15" s="55">
        <f t="shared" si="11"/>
        <v>8.8571428571428577</v>
      </c>
      <c r="AF15" s="55">
        <f t="shared" si="12"/>
        <v>8</v>
      </c>
      <c r="AG15" s="55">
        <f t="shared" si="13"/>
        <v>15.666666666666666</v>
      </c>
      <c r="AH15" s="37">
        <f>(9000+135+135+350+3900)*1.012</f>
        <v>13682.24</v>
      </c>
      <c r="AI15" s="42">
        <f t="shared" si="2"/>
        <v>0</v>
      </c>
      <c r="AJ15" s="42">
        <f>P15+$AR$8</f>
        <v>55</v>
      </c>
      <c r="AK15" s="42">
        <f t="shared" si="4"/>
        <v>10</v>
      </c>
      <c r="AL15" s="42">
        <f t="shared" si="5"/>
        <v>46.5</v>
      </c>
      <c r="AM15" s="42">
        <f t="shared" si="6"/>
        <v>20</v>
      </c>
      <c r="AN15" s="42">
        <f t="shared" si="7"/>
        <v>21</v>
      </c>
      <c r="AO15" s="42">
        <f t="shared" si="8"/>
        <v>16</v>
      </c>
      <c r="AP15" s="358">
        <f t="shared" si="9"/>
        <v>168.5</v>
      </c>
    </row>
    <row r="16" spans="1:45" x14ac:dyDescent="0.25">
      <c r="N16" s="77">
        <f>SUM(N18:N30)</f>
        <v>213037.18000000002</v>
      </c>
      <c r="AH16" s="77">
        <f>SUM(AH18:AH30)</f>
        <v>236304.655</v>
      </c>
    </row>
    <row r="17" spans="1:45" x14ac:dyDescent="0.25">
      <c r="A17" s="13" t="s">
        <v>464</v>
      </c>
      <c r="B17" s="13" t="s">
        <v>109</v>
      </c>
      <c r="C17" s="13" t="s">
        <v>465</v>
      </c>
      <c r="D17" s="13" t="str">
        <f>D2</f>
        <v>Nombre</v>
      </c>
      <c r="E17" s="13" t="str">
        <f>E2</f>
        <v>Año</v>
      </c>
      <c r="F17" s="13" t="str">
        <f>F2</f>
        <v>Dia</v>
      </c>
      <c r="G17" s="13" t="s">
        <v>131</v>
      </c>
      <c r="H17" s="13" t="s">
        <v>132</v>
      </c>
      <c r="I17" s="13" t="s">
        <v>133</v>
      </c>
      <c r="J17" s="13" t="s">
        <v>134</v>
      </c>
      <c r="K17" s="13" t="s">
        <v>135</v>
      </c>
      <c r="L17" s="13" t="s">
        <v>136</v>
      </c>
      <c r="M17" s="13" t="s">
        <v>114</v>
      </c>
      <c r="N17" s="13" t="s">
        <v>468</v>
      </c>
      <c r="O17" s="13" t="s">
        <v>469</v>
      </c>
      <c r="P17" s="13" t="s">
        <v>470</v>
      </c>
      <c r="Q17" s="13" t="s">
        <v>471</v>
      </c>
      <c r="R17" s="13" t="s">
        <v>472</v>
      </c>
      <c r="S17" s="13" t="s">
        <v>473</v>
      </c>
      <c r="T17" s="13" t="s">
        <v>474</v>
      </c>
      <c r="U17" s="13" t="s">
        <v>475</v>
      </c>
      <c r="V17" s="13" t="s">
        <v>476</v>
      </c>
      <c r="X17" s="13" t="s">
        <v>464</v>
      </c>
      <c r="Y17" s="13" t="str">
        <f>Y2</f>
        <v>Año</v>
      </c>
      <c r="Z17" s="13" t="str">
        <f>Z2</f>
        <v>Dia</v>
      </c>
      <c r="AA17" s="13" t="s">
        <v>131</v>
      </c>
      <c r="AB17" s="13" t="s">
        <v>132</v>
      </c>
      <c r="AC17" s="13" t="s">
        <v>133</v>
      </c>
      <c r="AD17" s="13" t="s">
        <v>134</v>
      </c>
      <c r="AE17" s="13" t="s">
        <v>135</v>
      </c>
      <c r="AF17" s="13" t="s">
        <v>136</v>
      </c>
      <c r="AG17" s="13" t="s">
        <v>114</v>
      </c>
      <c r="AH17" s="13" t="s">
        <v>468</v>
      </c>
      <c r="AI17" s="13" t="s">
        <v>469</v>
      </c>
      <c r="AJ17" s="13" t="s">
        <v>470</v>
      </c>
      <c r="AK17" s="13" t="s">
        <v>471</v>
      </c>
      <c r="AL17" s="13" t="s">
        <v>472</v>
      </c>
      <c r="AM17" s="13" t="s">
        <v>473</v>
      </c>
      <c r="AN17" s="13" t="s">
        <v>474</v>
      </c>
      <c r="AO17" s="13" t="s">
        <v>475</v>
      </c>
      <c r="AP17" s="13" t="s">
        <v>476</v>
      </c>
    </row>
    <row r="18" spans="1:45" x14ac:dyDescent="0.25">
      <c r="A18" t="s">
        <v>152</v>
      </c>
      <c r="B18" s="18" t="s">
        <v>153</v>
      </c>
      <c r="C18" s="6"/>
      <c r="D18" s="6" t="str">
        <f>D3</f>
        <v>C. Fonteboa</v>
      </c>
      <c r="E18" s="6">
        <f t="shared" ref="E18:E26" si="14">Y3</f>
        <v>28</v>
      </c>
      <c r="F18" s="6">
        <f t="shared" ref="F18:F26" ca="1" si="15">Z3</f>
        <v>2</v>
      </c>
      <c r="G18" s="55">
        <f t="shared" ref="G18:G26" si="16">AA3</f>
        <v>15</v>
      </c>
      <c r="H18" s="55">
        <f t="shared" ref="H18:H26" si="17">AB3</f>
        <v>11.6</v>
      </c>
      <c r="I18" s="55">
        <f t="shared" ref="I18:I26" si="18">AC3</f>
        <v>0</v>
      </c>
      <c r="J18" s="55">
        <f t="shared" ref="J18:J26" si="19">AD3</f>
        <v>1</v>
      </c>
      <c r="K18" s="55">
        <f t="shared" ref="K18:K26" si="20">AE3</f>
        <v>1</v>
      </c>
      <c r="L18" s="55">
        <f t="shared" ref="L18:L26" si="21">AF3</f>
        <v>1</v>
      </c>
      <c r="M18" s="55">
        <f t="shared" ref="M18:M26" si="22">AG3</f>
        <v>16.333333333333332</v>
      </c>
      <c r="N18" s="37">
        <f t="shared" ref="N18:N26" si="23">AH3</f>
        <v>26782.560000000001</v>
      </c>
      <c r="O18" s="42">
        <f t="shared" ref="O18:O26" si="24">AI3</f>
        <v>51.5</v>
      </c>
      <c r="P18" s="42">
        <f t="shared" ref="P18:P26" si="25">AJ3</f>
        <v>62</v>
      </c>
      <c r="Q18" s="42">
        <f t="shared" ref="Q18:Q26" si="26">AK3</f>
        <v>0</v>
      </c>
      <c r="R18" s="42">
        <f t="shared" ref="R18:R26" si="27">AL3</f>
        <v>0</v>
      </c>
      <c r="S18" s="42">
        <f t="shared" ref="S18:S26" si="28">AM3</f>
        <v>0</v>
      </c>
      <c r="T18" s="42">
        <f t="shared" ref="T18:T26" si="29">AN3</f>
        <v>0</v>
      </c>
      <c r="U18" s="42">
        <f t="shared" ref="U18:U26" si="30">AO3</f>
        <v>18</v>
      </c>
      <c r="V18" s="358">
        <f t="shared" ref="V18:V30" si="31">SUM(O18:U18)</f>
        <v>131.5</v>
      </c>
      <c r="X18" t="s">
        <v>152</v>
      </c>
      <c r="Y18" s="6">
        <f>E18+2</f>
        <v>30</v>
      </c>
      <c r="Z18" s="6">
        <f ca="1">F18+(($AR$22+$AR$23)*7)-112-112</f>
        <v>-19</v>
      </c>
      <c r="AA18" s="55">
        <f t="shared" ref="AA18:AF18" si="32">G18</f>
        <v>15</v>
      </c>
      <c r="AB18" s="55">
        <f t="shared" si="32"/>
        <v>11.6</v>
      </c>
      <c r="AC18" s="55">
        <f t="shared" si="32"/>
        <v>0</v>
      </c>
      <c r="AD18" s="55">
        <f t="shared" si="32"/>
        <v>1</v>
      </c>
      <c r="AE18" s="55">
        <f t="shared" si="32"/>
        <v>1</v>
      </c>
      <c r="AF18" s="55">
        <f t="shared" si="32"/>
        <v>1</v>
      </c>
      <c r="AG18" s="55">
        <v>13.5</v>
      </c>
      <c r="AH18" s="37">
        <f>(24270+2300)*1.038</f>
        <v>27579.66</v>
      </c>
      <c r="AI18" s="42">
        <f t="shared" ref="AI18:AN18" si="33">O18</f>
        <v>51.5</v>
      </c>
      <c r="AJ18" s="42">
        <f t="shared" si="33"/>
        <v>62</v>
      </c>
      <c r="AK18" s="42">
        <f t="shared" si="33"/>
        <v>0</v>
      </c>
      <c r="AL18" s="42">
        <f t="shared" si="33"/>
        <v>0</v>
      </c>
      <c r="AM18" s="42">
        <f t="shared" si="33"/>
        <v>0</v>
      </c>
      <c r="AN18" s="42">
        <f t="shared" si="33"/>
        <v>0</v>
      </c>
      <c r="AO18" s="42">
        <f t="shared" ref="AO18:AO25" si="34">U18+$AR$23</f>
        <v>33</v>
      </c>
      <c r="AP18" s="358">
        <f t="shared" ref="AP18:AP30" si="35">SUM(AI18:AO18)</f>
        <v>146.5</v>
      </c>
    </row>
    <row r="19" spans="1:45" x14ac:dyDescent="0.25">
      <c r="A19" t="s">
        <v>155</v>
      </c>
      <c r="B19" s="18" t="s">
        <v>191</v>
      </c>
      <c r="C19" s="6"/>
      <c r="D19" s="6" t="str">
        <f>D4</f>
        <v>M. Fernandez</v>
      </c>
      <c r="E19" s="6">
        <f t="shared" si="14"/>
        <v>32</v>
      </c>
      <c r="F19" s="6">
        <f t="shared" ca="1" si="15"/>
        <v>97</v>
      </c>
      <c r="G19" s="55">
        <f t="shared" si="16"/>
        <v>0</v>
      </c>
      <c r="H19" s="55">
        <f t="shared" si="17"/>
        <v>15.166666666666666</v>
      </c>
      <c r="I19" s="55">
        <f t="shared" si="18"/>
        <v>13</v>
      </c>
      <c r="J19" s="55">
        <f t="shared" si="19"/>
        <v>5.2</v>
      </c>
      <c r="K19" s="55">
        <f t="shared" si="20"/>
        <v>12</v>
      </c>
      <c r="L19" s="55">
        <f t="shared" si="21"/>
        <v>4</v>
      </c>
      <c r="M19" s="55">
        <f t="shared" si="22"/>
        <v>16</v>
      </c>
      <c r="N19" s="37">
        <f t="shared" si="23"/>
        <v>28513.599999999999</v>
      </c>
      <c r="O19" s="42">
        <f t="shared" si="24"/>
        <v>0</v>
      </c>
      <c r="P19" s="42">
        <f t="shared" si="25"/>
        <v>104.3</v>
      </c>
      <c r="Q19" s="42">
        <f t="shared" si="26"/>
        <v>12</v>
      </c>
      <c r="R19" s="42">
        <f t="shared" si="27"/>
        <v>11</v>
      </c>
      <c r="S19" s="42">
        <f t="shared" si="28"/>
        <v>23</v>
      </c>
      <c r="T19" s="42">
        <f t="shared" si="29"/>
        <v>0</v>
      </c>
      <c r="U19" s="42">
        <f t="shared" si="30"/>
        <v>15</v>
      </c>
      <c r="V19" s="358">
        <f t="shared" si="31"/>
        <v>165.3</v>
      </c>
      <c r="X19" t="s">
        <v>155</v>
      </c>
      <c r="Y19" s="6">
        <f>E19+2</f>
        <v>34</v>
      </c>
      <c r="Z19" s="6">
        <f ca="1">F19+(($AR$22+$AR$23)*7)-112-112</f>
        <v>76</v>
      </c>
      <c r="AA19" s="55">
        <f t="shared" ref="AA19:AA30" si="36">G19</f>
        <v>0</v>
      </c>
      <c r="AB19" s="55">
        <f t="shared" ref="AB19:AB30" si="37">H19</f>
        <v>15.166666666666666</v>
      </c>
      <c r="AC19" s="55">
        <f t="shared" ref="AC19:AC30" si="38">I19</f>
        <v>13</v>
      </c>
      <c r="AD19" s="55">
        <f t="shared" ref="AD19:AD30" si="39">J19</f>
        <v>5.2</v>
      </c>
      <c r="AE19" s="55">
        <f>8+3/5</f>
        <v>8.6</v>
      </c>
      <c r="AF19" s="55">
        <f t="shared" ref="AF19:AF30" si="40">L19</f>
        <v>4</v>
      </c>
      <c r="AG19" s="55">
        <v>13.5</v>
      </c>
      <c r="AH19" s="37">
        <f>(28000+135+140+135)*1.038</f>
        <v>29489.58</v>
      </c>
      <c r="AI19" s="42">
        <f t="shared" ref="AI19:AI30" si="41">O19</f>
        <v>0</v>
      </c>
      <c r="AJ19" s="42">
        <f t="shared" ref="AJ19:AJ30" si="42">P19</f>
        <v>104.3</v>
      </c>
      <c r="AK19" s="42">
        <f t="shared" ref="AK19:AK30" si="43">Q19</f>
        <v>12</v>
      </c>
      <c r="AL19" s="42">
        <f t="shared" ref="AL19:AL30" si="44">R19</f>
        <v>11</v>
      </c>
      <c r="AM19" s="42">
        <f t="shared" ref="AM19:AM30" si="45">S19+$AR$22</f>
        <v>37</v>
      </c>
      <c r="AN19" s="42">
        <f t="shared" ref="AN19:AN30" si="46">T19</f>
        <v>0</v>
      </c>
      <c r="AO19" s="42">
        <f t="shared" si="34"/>
        <v>30</v>
      </c>
      <c r="AP19" s="358">
        <f t="shared" si="35"/>
        <v>194.3</v>
      </c>
    </row>
    <row r="20" spans="1:45" x14ac:dyDescent="0.25">
      <c r="A20" t="s">
        <v>164</v>
      </c>
      <c r="B20" s="18" t="s">
        <v>191</v>
      </c>
      <c r="C20" s="6"/>
      <c r="D20" s="6" t="str">
        <f>D5</f>
        <v>B. Abandero</v>
      </c>
      <c r="E20" s="6">
        <f t="shared" si="14"/>
        <v>28</v>
      </c>
      <c r="F20" s="6">
        <f t="shared" ca="1" si="15"/>
        <v>30</v>
      </c>
      <c r="G20" s="55">
        <f t="shared" si="16"/>
        <v>0</v>
      </c>
      <c r="H20" s="55">
        <f t="shared" si="17"/>
        <v>13.416666666666666</v>
      </c>
      <c r="I20" s="55">
        <f t="shared" si="18"/>
        <v>3.25</v>
      </c>
      <c r="J20" s="55">
        <f t="shared" si="19"/>
        <v>7.083333333333333</v>
      </c>
      <c r="K20" s="55">
        <f t="shared" si="20"/>
        <v>12</v>
      </c>
      <c r="L20" s="55">
        <f t="shared" si="21"/>
        <v>4</v>
      </c>
      <c r="M20" s="55">
        <f t="shared" si="22"/>
        <v>15.333333333333334</v>
      </c>
      <c r="N20" s="37">
        <f t="shared" si="23"/>
        <v>13492.08</v>
      </c>
      <c r="O20" s="42">
        <f t="shared" si="24"/>
        <v>0</v>
      </c>
      <c r="P20" s="42">
        <f t="shared" si="25"/>
        <v>83</v>
      </c>
      <c r="Q20" s="42">
        <f t="shared" si="26"/>
        <v>3</v>
      </c>
      <c r="R20" s="42">
        <f t="shared" si="27"/>
        <v>15.5</v>
      </c>
      <c r="S20" s="42">
        <f t="shared" si="28"/>
        <v>43</v>
      </c>
      <c r="T20" s="42">
        <f t="shared" si="29"/>
        <v>5</v>
      </c>
      <c r="U20" s="42">
        <f t="shared" si="30"/>
        <v>16</v>
      </c>
      <c r="V20" s="358">
        <f t="shared" si="31"/>
        <v>165.5</v>
      </c>
      <c r="X20" t="s">
        <v>164</v>
      </c>
      <c r="Y20" s="6">
        <f>E20+2</f>
        <v>30</v>
      </c>
      <c r="Z20" s="6">
        <f ca="1">F20+(($AR$22+$AR$23)*7)-112-112</f>
        <v>9</v>
      </c>
      <c r="AA20" s="55">
        <f t="shared" si="36"/>
        <v>0</v>
      </c>
      <c r="AB20" s="55">
        <f t="shared" si="37"/>
        <v>13.416666666666666</v>
      </c>
      <c r="AC20" s="55">
        <f t="shared" si="38"/>
        <v>3.25</v>
      </c>
      <c r="AD20" s="55">
        <f t="shared" si="39"/>
        <v>7.083333333333333</v>
      </c>
      <c r="AE20" s="55">
        <v>12</v>
      </c>
      <c r="AF20" s="55">
        <f t="shared" si="40"/>
        <v>4</v>
      </c>
      <c r="AG20" s="55">
        <v>13.5</v>
      </c>
      <c r="AH20" s="37">
        <f>(195+13000+515)*1.038</f>
        <v>14230.98</v>
      </c>
      <c r="AI20" s="42">
        <f t="shared" si="41"/>
        <v>0</v>
      </c>
      <c r="AJ20" s="42">
        <f t="shared" si="42"/>
        <v>83</v>
      </c>
      <c r="AK20" s="42">
        <f t="shared" si="43"/>
        <v>3</v>
      </c>
      <c r="AL20" s="42">
        <f t="shared" si="44"/>
        <v>15.5</v>
      </c>
      <c r="AM20" s="42">
        <f t="shared" si="45"/>
        <v>57</v>
      </c>
      <c r="AN20" s="42">
        <f t="shared" si="46"/>
        <v>5</v>
      </c>
      <c r="AO20" s="42">
        <f t="shared" si="34"/>
        <v>31</v>
      </c>
      <c r="AP20" s="358">
        <f t="shared" si="35"/>
        <v>194.5</v>
      </c>
      <c r="AQ20" s="90"/>
    </row>
    <row r="21" spans="1:45" x14ac:dyDescent="0.25">
      <c r="A21" t="s">
        <v>158</v>
      </c>
      <c r="B21" s="18" t="s">
        <v>191</v>
      </c>
      <c r="C21" s="6"/>
      <c r="D21" s="6" t="str">
        <f>D6</f>
        <v>I. R. Figueroa</v>
      </c>
      <c r="E21" s="6">
        <f t="shared" si="14"/>
        <v>27</v>
      </c>
      <c r="F21" s="6">
        <f t="shared" ca="1" si="15"/>
        <v>92</v>
      </c>
      <c r="G21" s="55">
        <f t="shared" si="16"/>
        <v>0</v>
      </c>
      <c r="H21" s="55">
        <f t="shared" si="17"/>
        <v>15.166666666666666</v>
      </c>
      <c r="I21" s="55">
        <f t="shared" si="18"/>
        <v>5</v>
      </c>
      <c r="J21" s="55">
        <f t="shared" si="19"/>
        <v>8.75</v>
      </c>
      <c r="K21" s="55">
        <f t="shared" si="20"/>
        <v>9</v>
      </c>
      <c r="L21" s="55">
        <f t="shared" si="21"/>
        <v>1</v>
      </c>
      <c r="M21" s="55">
        <f t="shared" si="22"/>
        <v>14.666666666666666</v>
      </c>
      <c r="N21" s="37">
        <f t="shared" si="23"/>
        <v>28513.599999999999</v>
      </c>
      <c r="O21" s="42">
        <f t="shared" si="24"/>
        <v>0</v>
      </c>
      <c r="P21" s="42">
        <f t="shared" si="25"/>
        <v>105</v>
      </c>
      <c r="Q21" s="42">
        <f t="shared" si="26"/>
        <v>9</v>
      </c>
      <c r="R21" s="42">
        <f t="shared" si="27"/>
        <v>14.5</v>
      </c>
      <c r="S21" s="42">
        <f t="shared" si="28"/>
        <v>22</v>
      </c>
      <c r="T21" s="42">
        <f t="shared" si="29"/>
        <v>0</v>
      </c>
      <c r="U21" s="42">
        <f t="shared" si="30"/>
        <v>14</v>
      </c>
      <c r="V21" s="358">
        <f t="shared" si="31"/>
        <v>164.5</v>
      </c>
      <c r="X21" t="s">
        <v>158</v>
      </c>
      <c r="Y21" s="6">
        <f>E21+2</f>
        <v>29</v>
      </c>
      <c r="Z21" s="6">
        <f ca="1">F21+(($AR$22+$AR$23)*7)-112-112</f>
        <v>71</v>
      </c>
      <c r="AA21" s="55">
        <f t="shared" si="36"/>
        <v>0</v>
      </c>
      <c r="AB21" s="55">
        <f t="shared" si="37"/>
        <v>15.166666666666666</v>
      </c>
      <c r="AC21" s="55">
        <f t="shared" si="38"/>
        <v>5</v>
      </c>
      <c r="AD21" s="55">
        <f t="shared" si="39"/>
        <v>8.75</v>
      </c>
      <c r="AE21" s="55">
        <f>8+3/5</f>
        <v>8.6</v>
      </c>
      <c r="AF21" s="55">
        <f t="shared" si="40"/>
        <v>1</v>
      </c>
      <c r="AG21" s="55">
        <v>13.5</v>
      </c>
      <c r="AH21" s="37">
        <f>(28000+135+145+135)*1.038</f>
        <v>29494.77</v>
      </c>
      <c r="AI21" s="42">
        <f t="shared" si="41"/>
        <v>0</v>
      </c>
      <c r="AJ21" s="42">
        <f t="shared" si="42"/>
        <v>105</v>
      </c>
      <c r="AK21" s="42">
        <f t="shared" si="43"/>
        <v>9</v>
      </c>
      <c r="AL21" s="42">
        <f t="shared" si="44"/>
        <v>14.5</v>
      </c>
      <c r="AM21" s="42">
        <f t="shared" si="45"/>
        <v>36</v>
      </c>
      <c r="AN21" s="42">
        <f t="shared" si="46"/>
        <v>0</v>
      </c>
      <c r="AO21" s="42">
        <f t="shared" si="34"/>
        <v>29</v>
      </c>
      <c r="AP21" s="358">
        <f t="shared" si="35"/>
        <v>193.5</v>
      </c>
      <c r="AQ21" s="90"/>
      <c r="AR21" s="90" t="s">
        <v>137</v>
      </c>
      <c r="AS21" s="90" t="s">
        <v>482</v>
      </c>
    </row>
    <row r="22" spans="1:45" x14ac:dyDescent="0.25">
      <c r="A22" t="s">
        <v>167</v>
      </c>
      <c r="B22" s="18" t="s">
        <v>191</v>
      </c>
      <c r="C22" s="6"/>
      <c r="D22" s="6" t="str">
        <f>D7</f>
        <v>G. Pedrajas</v>
      </c>
      <c r="E22" s="6">
        <f t="shared" si="14"/>
        <v>28</v>
      </c>
      <c r="F22" s="6">
        <f t="shared" ca="1" si="15"/>
        <v>15</v>
      </c>
      <c r="G22" s="55">
        <f t="shared" si="16"/>
        <v>0</v>
      </c>
      <c r="H22" s="55">
        <f t="shared" si="17"/>
        <v>11.7</v>
      </c>
      <c r="I22" s="55">
        <f t="shared" si="18"/>
        <v>11.444444444444445</v>
      </c>
      <c r="J22" s="55">
        <f t="shared" si="19"/>
        <v>4.5999999999999996</v>
      </c>
      <c r="K22" s="55">
        <f t="shared" si="20"/>
        <v>11.142857142857142</v>
      </c>
      <c r="L22" s="55">
        <f t="shared" si="21"/>
        <v>4</v>
      </c>
      <c r="M22" s="55">
        <f t="shared" si="22"/>
        <v>15</v>
      </c>
      <c r="N22" s="37">
        <f t="shared" si="23"/>
        <v>9525.6</v>
      </c>
      <c r="O22" s="42">
        <f t="shared" si="24"/>
        <v>0</v>
      </c>
      <c r="P22" s="42">
        <f t="shared" si="25"/>
        <v>60</v>
      </c>
      <c r="Q22" s="42">
        <f t="shared" si="26"/>
        <v>41</v>
      </c>
      <c r="R22" s="42">
        <f t="shared" si="27"/>
        <v>4.5</v>
      </c>
      <c r="S22" s="42">
        <f t="shared" si="28"/>
        <v>36</v>
      </c>
      <c r="T22" s="42">
        <f t="shared" si="29"/>
        <v>5</v>
      </c>
      <c r="U22" s="42">
        <f t="shared" si="30"/>
        <v>15</v>
      </c>
      <c r="V22" s="358">
        <f t="shared" si="31"/>
        <v>161.5</v>
      </c>
      <c r="X22" t="s">
        <v>167</v>
      </c>
      <c r="Y22" s="6">
        <f>E22+2</f>
        <v>30</v>
      </c>
      <c r="Z22" s="6">
        <f ca="1">F22+(($AR$22+$AR$23)*7)-112-112</f>
        <v>-6</v>
      </c>
      <c r="AA22" s="55">
        <f t="shared" si="36"/>
        <v>0</v>
      </c>
      <c r="AB22" s="55">
        <f t="shared" si="37"/>
        <v>11.7</v>
      </c>
      <c r="AC22" s="55">
        <f t="shared" si="38"/>
        <v>11.444444444444445</v>
      </c>
      <c r="AD22" s="55">
        <f t="shared" si="39"/>
        <v>4.5999999999999996</v>
      </c>
      <c r="AE22" s="55">
        <f>11+1/7</f>
        <v>11.142857142857142</v>
      </c>
      <c r="AF22" s="55">
        <f t="shared" si="40"/>
        <v>4</v>
      </c>
      <c r="AG22" s="55">
        <v>13.5</v>
      </c>
      <c r="AH22" s="37">
        <f>(6800+2505+305)*1.038</f>
        <v>9975.18</v>
      </c>
      <c r="AI22" s="42">
        <f t="shared" si="41"/>
        <v>0</v>
      </c>
      <c r="AJ22" s="42">
        <f t="shared" si="42"/>
        <v>60</v>
      </c>
      <c r="AK22" s="42">
        <f t="shared" si="43"/>
        <v>41</v>
      </c>
      <c r="AL22" s="42">
        <f t="shared" si="44"/>
        <v>4.5</v>
      </c>
      <c r="AM22" s="42">
        <f t="shared" si="45"/>
        <v>50</v>
      </c>
      <c r="AN22" s="42">
        <f t="shared" si="46"/>
        <v>5</v>
      </c>
      <c r="AO22" s="42">
        <f t="shared" si="34"/>
        <v>30</v>
      </c>
      <c r="AP22" s="358">
        <f t="shared" si="35"/>
        <v>190.5</v>
      </c>
      <c r="AQ22" s="90" t="s">
        <v>494</v>
      </c>
      <c r="AR22" s="54">
        <v>14</v>
      </c>
      <c r="AS22" s="97">
        <f>AR22/16</f>
        <v>0.875</v>
      </c>
    </row>
    <row r="23" spans="1:45" x14ac:dyDescent="0.25">
      <c r="A23" t="s">
        <v>171</v>
      </c>
      <c r="B23" s="18" t="s">
        <v>191</v>
      </c>
      <c r="C23" s="6"/>
      <c r="D23" s="6" t="s">
        <v>483</v>
      </c>
      <c r="E23" s="6">
        <f t="shared" si="14"/>
        <v>29</v>
      </c>
      <c r="F23" s="6">
        <f t="shared" ca="1" si="15"/>
        <v>-54</v>
      </c>
      <c r="G23" s="55">
        <f t="shared" si="16"/>
        <v>0</v>
      </c>
      <c r="H23" s="55">
        <f t="shared" si="17"/>
        <v>14.6875</v>
      </c>
      <c r="I23" s="55">
        <f t="shared" si="18"/>
        <v>5.125</v>
      </c>
      <c r="J23" s="55">
        <f t="shared" si="19"/>
        <v>3</v>
      </c>
      <c r="K23" s="55">
        <f t="shared" si="20"/>
        <v>12.222222222222221</v>
      </c>
      <c r="L23" s="55">
        <f t="shared" si="21"/>
        <v>6</v>
      </c>
      <c r="M23" s="55">
        <f t="shared" si="22"/>
        <v>14</v>
      </c>
      <c r="N23" s="37">
        <f t="shared" si="23"/>
        <v>0</v>
      </c>
      <c r="O23" s="42">
        <f t="shared" si="24"/>
        <v>0</v>
      </c>
      <c r="P23" s="42">
        <f t="shared" si="25"/>
        <v>83</v>
      </c>
      <c r="Q23" s="42">
        <f t="shared" si="26"/>
        <v>9.5</v>
      </c>
      <c r="R23" s="42">
        <f t="shared" si="27"/>
        <v>0</v>
      </c>
      <c r="S23" s="42">
        <f t="shared" si="28"/>
        <v>44</v>
      </c>
      <c r="T23" s="42">
        <f t="shared" si="29"/>
        <v>12</v>
      </c>
      <c r="U23" s="42">
        <f t="shared" si="30"/>
        <v>13</v>
      </c>
      <c r="V23" s="358">
        <f t="shared" si="31"/>
        <v>161.5</v>
      </c>
      <c r="X23" t="s">
        <v>171</v>
      </c>
      <c r="Y23" s="6">
        <f>E23+1</f>
        <v>30</v>
      </c>
      <c r="Z23" s="6">
        <f ca="1">F23+(($AR$22+$AR$23)*7)-112</f>
        <v>37</v>
      </c>
      <c r="AA23" s="55">
        <f t="shared" si="36"/>
        <v>0</v>
      </c>
      <c r="AB23" s="55">
        <f t="shared" si="37"/>
        <v>14.6875</v>
      </c>
      <c r="AC23" s="55">
        <f t="shared" si="38"/>
        <v>5.125</v>
      </c>
      <c r="AD23" s="55">
        <f t="shared" si="39"/>
        <v>3</v>
      </c>
      <c r="AE23" s="55">
        <f>10+3/7</f>
        <v>10.428571428571429</v>
      </c>
      <c r="AF23" s="55">
        <f t="shared" si="40"/>
        <v>6</v>
      </c>
      <c r="AG23" s="55">
        <v>13.5</v>
      </c>
      <c r="AH23" s="37">
        <f>(18370+445+200)*1.038</f>
        <v>19737.57</v>
      </c>
      <c r="AI23" s="42">
        <f t="shared" si="41"/>
        <v>0</v>
      </c>
      <c r="AJ23" s="42">
        <f t="shared" si="42"/>
        <v>83</v>
      </c>
      <c r="AK23" s="42">
        <f t="shared" si="43"/>
        <v>9.5</v>
      </c>
      <c r="AL23" s="42">
        <f t="shared" si="44"/>
        <v>0</v>
      </c>
      <c r="AM23" s="42">
        <f t="shared" si="45"/>
        <v>58</v>
      </c>
      <c r="AN23" s="42">
        <f t="shared" si="46"/>
        <v>12</v>
      </c>
      <c r="AO23" s="42">
        <f t="shared" si="34"/>
        <v>28</v>
      </c>
      <c r="AP23" s="358">
        <f t="shared" si="35"/>
        <v>190.5</v>
      </c>
      <c r="AQ23" s="90" t="s">
        <v>196</v>
      </c>
      <c r="AR23" s="54">
        <v>15</v>
      </c>
      <c r="AS23" s="97">
        <f>AR23/16</f>
        <v>0.9375</v>
      </c>
    </row>
    <row r="24" spans="1:45" x14ac:dyDescent="0.25">
      <c r="A24" t="s">
        <v>160</v>
      </c>
      <c r="B24" s="18" t="s">
        <v>191</v>
      </c>
      <c r="C24" s="6" t="s">
        <v>163</v>
      </c>
      <c r="D24" s="6" t="s">
        <v>484</v>
      </c>
      <c r="E24" s="6">
        <f t="shared" si="14"/>
        <v>27</v>
      </c>
      <c r="F24" s="6">
        <f t="shared" ca="1" si="15"/>
        <v>107</v>
      </c>
      <c r="G24" s="55">
        <f t="shared" si="16"/>
        <v>0</v>
      </c>
      <c r="H24" s="55">
        <f t="shared" si="17"/>
        <v>12.909090909090908</v>
      </c>
      <c r="I24" s="55">
        <f t="shared" si="18"/>
        <v>4.25</v>
      </c>
      <c r="J24" s="55">
        <f t="shared" si="19"/>
        <v>12.5</v>
      </c>
      <c r="K24" s="55">
        <f t="shared" si="20"/>
        <v>8.1999999999999993</v>
      </c>
      <c r="L24" s="55">
        <f t="shared" si="21"/>
        <v>7</v>
      </c>
      <c r="M24" s="55">
        <f t="shared" si="22"/>
        <v>15.333333333333334</v>
      </c>
      <c r="N24" s="37">
        <f t="shared" si="23"/>
        <v>16606.920000000002</v>
      </c>
      <c r="O24" s="42">
        <f t="shared" si="24"/>
        <v>0</v>
      </c>
      <c r="P24" s="42">
        <f t="shared" si="25"/>
        <v>76</v>
      </c>
      <c r="Q24" s="42">
        <f t="shared" si="26"/>
        <v>6</v>
      </c>
      <c r="R24" s="42">
        <f t="shared" si="27"/>
        <v>40.5</v>
      </c>
      <c r="S24" s="42">
        <f t="shared" si="28"/>
        <v>18</v>
      </c>
      <c r="T24" s="42">
        <f t="shared" si="29"/>
        <v>16</v>
      </c>
      <c r="U24" s="42">
        <f t="shared" si="30"/>
        <v>16</v>
      </c>
      <c r="V24" s="358">
        <f t="shared" si="31"/>
        <v>172.5</v>
      </c>
      <c r="X24" t="s">
        <v>160</v>
      </c>
      <c r="Y24" s="6">
        <f>E24+2</f>
        <v>29</v>
      </c>
      <c r="Z24" s="6">
        <f ca="1">F24+(($AR$22+$AR$23)*7)-112-112</f>
        <v>86</v>
      </c>
      <c r="AA24" s="55">
        <f t="shared" si="36"/>
        <v>0</v>
      </c>
      <c r="AB24" s="55">
        <f t="shared" si="37"/>
        <v>12.909090909090908</v>
      </c>
      <c r="AC24" s="55">
        <f t="shared" si="38"/>
        <v>4.25</v>
      </c>
      <c r="AD24" s="55">
        <f t="shared" si="39"/>
        <v>12.5</v>
      </c>
      <c r="AE24" s="55">
        <f>8+1/5</f>
        <v>8.1999999999999993</v>
      </c>
      <c r="AF24" s="55">
        <f t="shared" si="40"/>
        <v>7</v>
      </c>
      <c r="AG24" s="55">
        <v>14</v>
      </c>
      <c r="AH24" s="37">
        <f>(12930+2985+125+145+245)*1.04</f>
        <v>17087.2</v>
      </c>
      <c r="AI24" s="42">
        <f t="shared" si="41"/>
        <v>0</v>
      </c>
      <c r="AJ24" s="42">
        <f t="shared" si="42"/>
        <v>76</v>
      </c>
      <c r="AK24" s="42">
        <f t="shared" si="43"/>
        <v>6</v>
      </c>
      <c r="AL24" s="42">
        <f t="shared" si="44"/>
        <v>40.5</v>
      </c>
      <c r="AM24" s="42">
        <f t="shared" si="45"/>
        <v>32</v>
      </c>
      <c r="AN24" s="42">
        <f t="shared" si="46"/>
        <v>16</v>
      </c>
      <c r="AO24" s="42">
        <f t="shared" si="34"/>
        <v>31</v>
      </c>
      <c r="AP24" s="358">
        <f t="shared" si="35"/>
        <v>201.5</v>
      </c>
      <c r="AQ24" s="90"/>
    </row>
    <row r="25" spans="1:45" x14ac:dyDescent="0.25">
      <c r="A25" t="s">
        <v>168</v>
      </c>
      <c r="B25" s="18" t="s">
        <v>191</v>
      </c>
      <c r="C25" s="6" t="s">
        <v>163</v>
      </c>
      <c r="D25" s="6" t="s">
        <v>485</v>
      </c>
      <c r="E25" s="6">
        <f t="shared" si="14"/>
        <v>27</v>
      </c>
      <c r="F25" s="6">
        <f t="shared" ca="1" si="15"/>
        <v>107</v>
      </c>
      <c r="G25" s="55">
        <f t="shared" si="16"/>
        <v>0</v>
      </c>
      <c r="H25" s="55">
        <f t="shared" si="17"/>
        <v>12</v>
      </c>
      <c r="I25" s="55">
        <f t="shared" si="18"/>
        <v>4.25</v>
      </c>
      <c r="J25" s="55">
        <f t="shared" si="19"/>
        <v>11.9</v>
      </c>
      <c r="K25" s="55">
        <f t="shared" si="20"/>
        <v>9.1666666666666661</v>
      </c>
      <c r="L25" s="55">
        <f t="shared" si="21"/>
        <v>7.25</v>
      </c>
      <c r="M25" s="55">
        <f t="shared" si="22"/>
        <v>16</v>
      </c>
      <c r="N25" s="37">
        <f t="shared" si="23"/>
        <v>16606.920000000002</v>
      </c>
      <c r="O25" s="42">
        <f t="shared" si="24"/>
        <v>0</v>
      </c>
      <c r="P25" s="42">
        <f t="shared" si="25"/>
        <v>62</v>
      </c>
      <c r="Q25" s="42">
        <f t="shared" si="26"/>
        <v>3.5</v>
      </c>
      <c r="R25" s="29">
        <f t="shared" si="27"/>
        <v>42</v>
      </c>
      <c r="S25" s="42">
        <f t="shared" si="28"/>
        <v>24</v>
      </c>
      <c r="T25" s="42">
        <f t="shared" si="29"/>
        <v>17</v>
      </c>
      <c r="U25" s="42">
        <f t="shared" si="30"/>
        <v>17</v>
      </c>
      <c r="V25" s="358">
        <f t="shared" si="31"/>
        <v>165.5</v>
      </c>
      <c r="X25" t="s">
        <v>168</v>
      </c>
      <c r="Y25" s="6">
        <f>E25+2</f>
        <v>29</v>
      </c>
      <c r="Z25" s="6">
        <f ca="1">F25+(($AR$22+$AR$23)*7)-112-112</f>
        <v>86</v>
      </c>
      <c r="AA25" s="55">
        <f t="shared" si="36"/>
        <v>0</v>
      </c>
      <c r="AB25" s="55">
        <f t="shared" si="37"/>
        <v>12</v>
      </c>
      <c r="AC25" s="55">
        <f t="shared" si="38"/>
        <v>4.25</v>
      </c>
      <c r="AD25" s="55">
        <f t="shared" si="39"/>
        <v>11.9</v>
      </c>
      <c r="AE25" s="55">
        <f>9+1/7</f>
        <v>9.1428571428571423</v>
      </c>
      <c r="AF25" s="55">
        <f t="shared" si="40"/>
        <v>7.25</v>
      </c>
      <c r="AG25" s="55">
        <v>14</v>
      </c>
      <c r="AH25" s="37">
        <f>(12930+2985+180+125+245)*1.04</f>
        <v>17123.600000000002</v>
      </c>
      <c r="AI25" s="42">
        <f t="shared" si="41"/>
        <v>0</v>
      </c>
      <c r="AJ25" s="42">
        <f t="shared" si="42"/>
        <v>62</v>
      </c>
      <c r="AK25" s="42">
        <f t="shared" si="43"/>
        <v>3.5</v>
      </c>
      <c r="AL25" s="29">
        <f t="shared" si="44"/>
        <v>42</v>
      </c>
      <c r="AM25" s="42">
        <f t="shared" si="45"/>
        <v>38</v>
      </c>
      <c r="AN25" s="42">
        <f t="shared" si="46"/>
        <v>17</v>
      </c>
      <c r="AO25" s="42">
        <f t="shared" si="34"/>
        <v>32</v>
      </c>
      <c r="AP25" s="358">
        <f t="shared" si="35"/>
        <v>194.5</v>
      </c>
      <c r="AQ25" s="90"/>
    </row>
    <row r="26" spans="1:45" x14ac:dyDescent="0.25">
      <c r="A26" t="s">
        <v>161</v>
      </c>
      <c r="B26" s="18" t="s">
        <v>486</v>
      </c>
      <c r="C26" s="6" t="s">
        <v>166</v>
      </c>
      <c r="D26" s="6" t="str">
        <f>D11</f>
        <v>J. Gräbitz</v>
      </c>
      <c r="E26" s="6">
        <f t="shared" si="14"/>
        <v>27</v>
      </c>
      <c r="F26" s="6">
        <f t="shared" ca="1" si="15"/>
        <v>77</v>
      </c>
      <c r="G26" s="55">
        <f t="shared" si="16"/>
        <v>0</v>
      </c>
      <c r="H26" s="55">
        <f t="shared" si="17"/>
        <v>13.7</v>
      </c>
      <c r="I26" s="55">
        <f t="shared" si="18"/>
        <v>9.7142857142857135</v>
      </c>
      <c r="J26" s="55">
        <f t="shared" si="19"/>
        <v>4.25</v>
      </c>
      <c r="K26" s="55">
        <f t="shared" si="20"/>
        <v>9</v>
      </c>
      <c r="L26" s="55">
        <f t="shared" si="21"/>
        <v>4</v>
      </c>
      <c r="M26" s="55">
        <f t="shared" si="22"/>
        <v>20.5</v>
      </c>
      <c r="N26" s="37">
        <f t="shared" si="23"/>
        <v>18876</v>
      </c>
      <c r="O26" s="42">
        <f t="shared" si="24"/>
        <v>0</v>
      </c>
      <c r="P26" s="42">
        <f t="shared" si="25"/>
        <v>62.5</v>
      </c>
      <c r="Q26" s="42">
        <f t="shared" si="26"/>
        <v>27</v>
      </c>
      <c r="R26" s="42">
        <f t="shared" si="27"/>
        <v>3.5</v>
      </c>
      <c r="S26" s="42">
        <f t="shared" si="28"/>
        <v>23</v>
      </c>
      <c r="T26" s="42">
        <f t="shared" si="29"/>
        <v>5</v>
      </c>
      <c r="U26" s="42">
        <f t="shared" si="30"/>
        <v>38</v>
      </c>
      <c r="V26" s="358">
        <f t="shared" si="31"/>
        <v>159</v>
      </c>
      <c r="X26" t="s">
        <v>161</v>
      </c>
      <c r="Y26" s="6">
        <f>E26+2</f>
        <v>29</v>
      </c>
      <c r="Z26" s="6">
        <f ca="1">F26+(($AR$22+$AR$23)*7)-112-112</f>
        <v>56</v>
      </c>
      <c r="AA26" s="55">
        <f t="shared" si="36"/>
        <v>0</v>
      </c>
      <c r="AB26" s="55">
        <f t="shared" si="37"/>
        <v>13.7</v>
      </c>
      <c r="AC26" s="55">
        <f t="shared" si="38"/>
        <v>9.7142857142857135</v>
      </c>
      <c r="AD26" s="55">
        <f t="shared" si="39"/>
        <v>4.25</v>
      </c>
      <c r="AE26" s="55">
        <f>9+1/6</f>
        <v>9.1666666666666661</v>
      </c>
      <c r="AF26" s="55">
        <f t="shared" si="40"/>
        <v>4</v>
      </c>
      <c r="AG26" s="55">
        <f>20</f>
        <v>20</v>
      </c>
      <c r="AH26" s="37">
        <f>(14490+225+200+125+165)*1.049</f>
        <v>15950.044999999998</v>
      </c>
      <c r="AI26" s="42">
        <f t="shared" si="41"/>
        <v>0</v>
      </c>
      <c r="AJ26" s="42">
        <f t="shared" si="42"/>
        <v>62.5</v>
      </c>
      <c r="AK26" s="42">
        <f t="shared" si="43"/>
        <v>27</v>
      </c>
      <c r="AL26" s="42">
        <f t="shared" si="44"/>
        <v>3.5</v>
      </c>
      <c r="AM26" s="42">
        <f t="shared" si="45"/>
        <v>37</v>
      </c>
      <c r="AN26" s="42">
        <f t="shared" si="46"/>
        <v>5</v>
      </c>
      <c r="AO26" s="42">
        <f>U26+AR23</f>
        <v>53</v>
      </c>
      <c r="AP26" s="358">
        <f t="shared" si="35"/>
        <v>188</v>
      </c>
    </row>
    <row r="27" spans="1:45" x14ac:dyDescent="0.25">
      <c r="A27" t="s">
        <v>488</v>
      </c>
      <c r="B27" s="18" t="s">
        <v>486</v>
      </c>
      <c r="C27" s="6" t="s">
        <v>495</v>
      </c>
      <c r="D27" s="6" t="s">
        <v>496</v>
      </c>
      <c r="E27" s="6">
        <v>23</v>
      </c>
      <c r="F27" s="6">
        <v>50</v>
      </c>
      <c r="G27" s="55">
        <f>AA12</f>
        <v>0</v>
      </c>
      <c r="H27" s="55">
        <v>13</v>
      </c>
      <c r="I27" s="55">
        <v>9</v>
      </c>
      <c r="J27" s="55">
        <v>3</v>
      </c>
      <c r="K27" s="55">
        <v>6</v>
      </c>
      <c r="L27" s="55">
        <v>5</v>
      </c>
      <c r="M27" s="55">
        <v>14</v>
      </c>
      <c r="N27" s="37">
        <f>(14490+225+185+125+165)*1.03</f>
        <v>15645.7</v>
      </c>
      <c r="O27" s="42">
        <f>AI12</f>
        <v>0</v>
      </c>
      <c r="P27" s="42">
        <v>67</v>
      </c>
      <c r="Q27" s="42">
        <v>26</v>
      </c>
      <c r="R27" s="42">
        <v>1.5</v>
      </c>
      <c r="S27" s="42">
        <v>10</v>
      </c>
      <c r="T27" s="42">
        <v>5.5</v>
      </c>
      <c r="U27" s="42">
        <v>16</v>
      </c>
      <c r="V27" s="358">
        <f t="shared" si="31"/>
        <v>126</v>
      </c>
      <c r="X27" t="s">
        <v>488</v>
      </c>
      <c r="Y27" s="6">
        <f>E27+2</f>
        <v>25</v>
      </c>
      <c r="Z27" s="6">
        <f>F27+(($AR$22+$AR$23)*7)-112-112</f>
        <v>29</v>
      </c>
      <c r="AA27" s="55">
        <f t="shared" si="36"/>
        <v>0</v>
      </c>
      <c r="AB27" s="55">
        <f t="shared" si="37"/>
        <v>13</v>
      </c>
      <c r="AC27" s="55">
        <f t="shared" si="38"/>
        <v>9</v>
      </c>
      <c r="AD27" s="55">
        <f t="shared" si="39"/>
        <v>3</v>
      </c>
      <c r="AE27" s="55">
        <f>9+5/6</f>
        <v>9.8333333333333339</v>
      </c>
      <c r="AF27" s="55">
        <f t="shared" si="40"/>
        <v>5</v>
      </c>
      <c r="AG27" s="55">
        <v>19</v>
      </c>
      <c r="AH27" s="37">
        <f>(14490+225+200+125+165)*1.049</f>
        <v>15950.044999999998</v>
      </c>
      <c r="AI27" s="42">
        <f t="shared" si="41"/>
        <v>0</v>
      </c>
      <c r="AJ27" s="42">
        <f t="shared" si="42"/>
        <v>67</v>
      </c>
      <c r="AK27" s="42">
        <f t="shared" si="43"/>
        <v>26</v>
      </c>
      <c r="AL27" s="42">
        <f t="shared" si="44"/>
        <v>1.5</v>
      </c>
      <c r="AM27" s="42">
        <f t="shared" si="45"/>
        <v>24</v>
      </c>
      <c r="AN27" s="42">
        <f t="shared" si="46"/>
        <v>5.5</v>
      </c>
      <c r="AO27" s="42">
        <v>31</v>
      </c>
      <c r="AP27" s="358">
        <f t="shared" si="35"/>
        <v>155</v>
      </c>
    </row>
    <row r="28" spans="1:45" x14ac:dyDescent="0.25">
      <c r="A28" t="s">
        <v>169</v>
      </c>
      <c r="B28" s="18" t="s">
        <v>489</v>
      </c>
      <c r="C28" s="6" t="s">
        <v>166</v>
      </c>
      <c r="D28" s="6" t="s">
        <v>490</v>
      </c>
      <c r="E28" s="6">
        <f t="shared" ref="E28:F30" si="47">Y13</f>
        <v>27</v>
      </c>
      <c r="F28" s="6">
        <f t="shared" ca="1" si="47"/>
        <v>103</v>
      </c>
      <c r="G28" s="55">
        <f>AA13</f>
        <v>0</v>
      </c>
      <c r="H28" s="55">
        <f t="shared" ref="H28:N30" si="48">AB13</f>
        <v>10.666666666666666</v>
      </c>
      <c r="I28" s="55">
        <f t="shared" si="48"/>
        <v>6.2</v>
      </c>
      <c r="J28" s="55">
        <f t="shared" si="48"/>
        <v>14</v>
      </c>
      <c r="K28" s="55">
        <f t="shared" si="48"/>
        <v>9.5</v>
      </c>
      <c r="L28" s="55">
        <f t="shared" si="48"/>
        <v>7.8</v>
      </c>
      <c r="M28" s="55">
        <f t="shared" si="48"/>
        <v>16.666666666666668</v>
      </c>
      <c r="N28" s="37">
        <f t="shared" si="48"/>
        <v>13619.48</v>
      </c>
      <c r="O28" s="42">
        <f>AI13</f>
        <v>0</v>
      </c>
      <c r="P28" s="42">
        <f t="shared" ref="P28:U30" si="49">AJ13</f>
        <v>52</v>
      </c>
      <c r="Q28" s="42">
        <f t="shared" si="49"/>
        <v>11</v>
      </c>
      <c r="R28" s="42">
        <f t="shared" si="49"/>
        <v>55</v>
      </c>
      <c r="S28" s="42">
        <f t="shared" si="49"/>
        <v>23</v>
      </c>
      <c r="T28" s="42">
        <f t="shared" si="49"/>
        <v>20</v>
      </c>
      <c r="U28" s="42">
        <f t="shared" si="49"/>
        <v>18</v>
      </c>
      <c r="V28" s="358">
        <f t="shared" si="31"/>
        <v>179</v>
      </c>
      <c r="X28" t="s">
        <v>169</v>
      </c>
      <c r="Y28" s="6">
        <f>E28+2</f>
        <v>29</v>
      </c>
      <c r="Z28" s="6">
        <f ca="1">F28+(($AR$22+$AR$23)*7)-112-112</f>
        <v>82</v>
      </c>
      <c r="AA28" s="55">
        <f t="shared" si="36"/>
        <v>0</v>
      </c>
      <c r="AB28" s="55">
        <f t="shared" si="37"/>
        <v>10.666666666666666</v>
      </c>
      <c r="AC28" s="55">
        <f t="shared" si="38"/>
        <v>6.2</v>
      </c>
      <c r="AD28" s="55">
        <f t="shared" si="39"/>
        <v>14</v>
      </c>
      <c r="AE28" s="55">
        <f>9+1/7</f>
        <v>9.1428571428571423</v>
      </c>
      <c r="AF28" s="55">
        <f t="shared" si="40"/>
        <v>7.8</v>
      </c>
      <c r="AG28" s="55">
        <v>15</v>
      </c>
      <c r="AH28" s="37">
        <f>(11610+300+185+150+1200)*1.045</f>
        <v>14050.025</v>
      </c>
      <c r="AI28" s="42">
        <f t="shared" si="41"/>
        <v>0</v>
      </c>
      <c r="AJ28" s="42">
        <f t="shared" si="42"/>
        <v>52</v>
      </c>
      <c r="AK28" s="42">
        <f t="shared" si="43"/>
        <v>11</v>
      </c>
      <c r="AL28" s="42">
        <f t="shared" si="44"/>
        <v>55</v>
      </c>
      <c r="AM28" s="42">
        <f t="shared" si="45"/>
        <v>37</v>
      </c>
      <c r="AN28" s="42">
        <f t="shared" si="46"/>
        <v>20</v>
      </c>
      <c r="AO28" s="42">
        <f>U28+$AR$23</f>
        <v>33</v>
      </c>
      <c r="AP28" s="358">
        <f t="shared" si="35"/>
        <v>208</v>
      </c>
    </row>
    <row r="29" spans="1:45" x14ac:dyDescent="0.25">
      <c r="A29" t="s">
        <v>491</v>
      </c>
      <c r="B29" s="18" t="s">
        <v>489</v>
      </c>
      <c r="C29" s="6" t="s">
        <v>166</v>
      </c>
      <c r="D29" s="6" t="s">
        <v>492</v>
      </c>
      <c r="E29" s="6">
        <f t="shared" si="47"/>
        <v>28</v>
      </c>
      <c r="F29" s="6">
        <f t="shared" ca="1" si="47"/>
        <v>-44</v>
      </c>
      <c r="G29" s="55">
        <f>AA14</f>
        <v>0</v>
      </c>
      <c r="H29" s="55">
        <f t="shared" si="48"/>
        <v>12.181818181818182</v>
      </c>
      <c r="I29" s="55">
        <f t="shared" si="48"/>
        <v>4.25</v>
      </c>
      <c r="J29" s="55">
        <f t="shared" si="48"/>
        <v>12.833333333333334</v>
      </c>
      <c r="K29" s="55">
        <f t="shared" si="48"/>
        <v>10</v>
      </c>
      <c r="L29" s="55">
        <f t="shared" si="48"/>
        <v>7</v>
      </c>
      <c r="M29" s="55">
        <f t="shared" si="48"/>
        <v>16</v>
      </c>
      <c r="N29" s="37">
        <f t="shared" si="48"/>
        <v>11172.48</v>
      </c>
      <c r="O29" s="42">
        <f>AI14</f>
        <v>0</v>
      </c>
      <c r="P29" s="42">
        <f t="shared" si="49"/>
        <v>68</v>
      </c>
      <c r="Q29" s="42">
        <f t="shared" si="49"/>
        <v>3.5</v>
      </c>
      <c r="R29" s="42">
        <f t="shared" si="49"/>
        <v>46.5</v>
      </c>
      <c r="S29" s="42">
        <f t="shared" si="49"/>
        <v>26</v>
      </c>
      <c r="T29" s="42">
        <f t="shared" si="49"/>
        <v>16</v>
      </c>
      <c r="U29" s="42">
        <f t="shared" si="49"/>
        <v>17</v>
      </c>
      <c r="V29" s="358">
        <f t="shared" si="31"/>
        <v>177</v>
      </c>
      <c r="X29" t="s">
        <v>491</v>
      </c>
      <c r="Y29" s="6">
        <f>E29+1</f>
        <v>29</v>
      </c>
      <c r="Z29" s="6">
        <f ca="1">F29+(($AR$22+$AR$23)*7)-112</f>
        <v>47</v>
      </c>
      <c r="AA29" s="55">
        <f t="shared" si="36"/>
        <v>0</v>
      </c>
      <c r="AB29" s="55">
        <f t="shared" si="37"/>
        <v>12.181818181818182</v>
      </c>
      <c r="AC29" s="55">
        <f t="shared" si="38"/>
        <v>4.25</v>
      </c>
      <c r="AD29" s="55">
        <f t="shared" si="39"/>
        <v>12.833333333333334</v>
      </c>
      <c r="AE29" s="55">
        <f>9+5/6</f>
        <v>9.8333333333333339</v>
      </c>
      <c r="AF29" s="55">
        <f t="shared" si="40"/>
        <v>7</v>
      </c>
      <c r="AG29" s="55">
        <v>14</v>
      </c>
      <c r="AH29" s="37">
        <f>(7000+165+165+245+3505)*1.04</f>
        <v>11523.2</v>
      </c>
      <c r="AI29" s="42">
        <f t="shared" si="41"/>
        <v>0</v>
      </c>
      <c r="AJ29" s="42">
        <f t="shared" si="42"/>
        <v>68</v>
      </c>
      <c r="AK29" s="42">
        <f t="shared" si="43"/>
        <v>3.5</v>
      </c>
      <c r="AL29" s="42">
        <f t="shared" si="44"/>
        <v>46.5</v>
      </c>
      <c r="AM29" s="42">
        <f t="shared" si="45"/>
        <v>40</v>
      </c>
      <c r="AN29" s="42">
        <f t="shared" si="46"/>
        <v>16</v>
      </c>
      <c r="AO29" s="42">
        <f>U29+$AR$23</f>
        <v>32</v>
      </c>
      <c r="AP29" s="358">
        <f t="shared" si="35"/>
        <v>206</v>
      </c>
    </row>
    <row r="30" spans="1:45" x14ac:dyDescent="0.25">
      <c r="A30" t="s">
        <v>157</v>
      </c>
      <c r="B30" s="18" t="s">
        <v>489</v>
      </c>
      <c r="C30" s="6" t="s">
        <v>163</v>
      </c>
      <c r="D30" s="6" t="s">
        <v>493</v>
      </c>
      <c r="E30" s="6">
        <f t="shared" si="47"/>
        <v>27</v>
      </c>
      <c r="F30" s="6">
        <f t="shared" ca="1" si="47"/>
        <v>103</v>
      </c>
      <c r="G30" s="55">
        <f>AA15</f>
        <v>0</v>
      </c>
      <c r="H30" s="55">
        <f t="shared" si="48"/>
        <v>11.1</v>
      </c>
      <c r="I30" s="55">
        <f t="shared" si="48"/>
        <v>5.75</v>
      </c>
      <c r="J30" s="55">
        <f t="shared" si="48"/>
        <v>13.333333333333334</v>
      </c>
      <c r="K30" s="55">
        <f t="shared" si="48"/>
        <v>8.8571428571428577</v>
      </c>
      <c r="L30" s="55">
        <f t="shared" si="48"/>
        <v>8</v>
      </c>
      <c r="M30" s="55">
        <f t="shared" si="48"/>
        <v>15.666666666666666</v>
      </c>
      <c r="N30" s="37">
        <f t="shared" si="48"/>
        <v>13682.24</v>
      </c>
      <c r="O30" s="42">
        <f>AI15</f>
        <v>0</v>
      </c>
      <c r="P30" s="42">
        <f t="shared" si="49"/>
        <v>55</v>
      </c>
      <c r="Q30" s="42">
        <f t="shared" si="49"/>
        <v>10</v>
      </c>
      <c r="R30" s="42">
        <f t="shared" si="49"/>
        <v>46.5</v>
      </c>
      <c r="S30" s="42">
        <f t="shared" si="49"/>
        <v>20</v>
      </c>
      <c r="T30" s="42">
        <f t="shared" si="49"/>
        <v>21</v>
      </c>
      <c r="U30" s="42">
        <f t="shared" si="49"/>
        <v>16</v>
      </c>
      <c r="V30" s="358">
        <f t="shared" si="31"/>
        <v>168.5</v>
      </c>
      <c r="X30" t="s">
        <v>157</v>
      </c>
      <c r="Y30" s="6">
        <f>E30+2</f>
        <v>29</v>
      </c>
      <c r="Z30" s="6">
        <f ca="1">F30+(($AR$22+$AR$23)*7)-112-112</f>
        <v>82</v>
      </c>
      <c r="AA30" s="55">
        <f t="shared" si="36"/>
        <v>0</v>
      </c>
      <c r="AB30" s="55">
        <f t="shared" si="37"/>
        <v>11.1</v>
      </c>
      <c r="AC30" s="55">
        <f t="shared" si="38"/>
        <v>5.75</v>
      </c>
      <c r="AD30" s="55">
        <f t="shared" si="39"/>
        <v>13.333333333333334</v>
      </c>
      <c r="AE30" s="55">
        <f>8+3/5</f>
        <v>8.6</v>
      </c>
      <c r="AF30" s="55">
        <f t="shared" si="40"/>
        <v>8</v>
      </c>
      <c r="AG30" s="55">
        <v>14</v>
      </c>
      <c r="AH30" s="37">
        <f>(9000+135+185+350+3900)*1.04</f>
        <v>14112.800000000001</v>
      </c>
      <c r="AI30" s="42">
        <f t="shared" si="41"/>
        <v>0</v>
      </c>
      <c r="AJ30" s="42">
        <f t="shared" si="42"/>
        <v>55</v>
      </c>
      <c r="AK30" s="42">
        <f t="shared" si="43"/>
        <v>10</v>
      </c>
      <c r="AL30" s="42">
        <f t="shared" si="44"/>
        <v>46.5</v>
      </c>
      <c r="AM30" s="42">
        <f t="shared" si="45"/>
        <v>34</v>
      </c>
      <c r="AN30" s="42">
        <f t="shared" si="46"/>
        <v>21</v>
      </c>
      <c r="AO30" s="42">
        <f>U30+$AR$23</f>
        <v>31</v>
      </c>
      <c r="AP30" s="358">
        <f t="shared" si="35"/>
        <v>197.5</v>
      </c>
    </row>
  </sheetData>
  <conditionalFormatting sqref="AH18:AH30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{48571BCF-F67C-D5E4-70E4-BA265B65CD42}</x14:id>
        </ext>
      </extLst>
    </cfRule>
  </conditionalFormatting>
  <conditionalFormatting sqref="AA18:AG30">
    <cfRule type="colorScale" priority="2">
      <colorScale>
        <cfvo type="min"/>
        <cfvo type="max"/>
        <color rgb="FFFFEF9C"/>
        <color rgb="FF63BE7B"/>
      </colorScale>
    </cfRule>
  </conditionalFormatting>
  <conditionalFormatting sqref="AP18:AP30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{70E446E5-152A-31E6-48E5-332D2AE96463}</x14:id>
        </ext>
      </extLst>
    </cfRule>
  </conditionalFormatting>
  <conditionalFormatting sqref="AI18:AO30">
    <cfRule type="colorScale" priority="4">
      <colorScale>
        <cfvo type="min"/>
        <cfvo type="max"/>
        <color rgb="FFFCFCFF"/>
        <color rgb="FFF8696B"/>
      </colorScale>
    </cfRule>
  </conditionalFormatting>
  <conditionalFormatting sqref="V18:V30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{3544B828-B0EC-A27A-719F-397024BF4329}</x14:id>
        </ext>
      </extLst>
    </cfRule>
  </conditionalFormatting>
  <conditionalFormatting sqref="N18:N30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{21B5F840-7886-2AD6-1F29-5865F604DD5C}</x14:id>
        </ext>
      </extLst>
    </cfRule>
  </conditionalFormatting>
  <conditionalFormatting sqref="G5:M8">
    <cfRule type="colorScale" priority="7">
      <colorScale>
        <cfvo type="min"/>
        <cfvo type="max"/>
        <color rgb="FFFFEF9C"/>
        <color rgb="FF63BE7B"/>
      </colorScale>
    </cfRule>
  </conditionalFormatting>
  <conditionalFormatting sqref="G3:M4 G9:M15">
    <cfRule type="colorScale" priority="8">
      <colorScale>
        <cfvo type="min"/>
        <cfvo type="max"/>
        <color rgb="FFFFEF9C"/>
        <color rgb="FF63BE7B"/>
      </colorScale>
    </cfRule>
  </conditionalFormatting>
  <conditionalFormatting sqref="N3:N15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{605EB649-D71F-A286-97CA-1C057CCDC43D}</x14:id>
        </ext>
      </extLst>
    </cfRule>
  </conditionalFormatting>
  <conditionalFormatting sqref="O3:U15">
    <cfRule type="colorScale" priority="10">
      <colorScale>
        <cfvo type="min"/>
        <cfvo type="max"/>
        <color rgb="FFFCFCFF"/>
        <color rgb="FFF8696B"/>
      </colorScale>
    </cfRule>
  </conditionalFormatting>
  <conditionalFormatting sqref="V3:V15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{698CD0E5-26DF-181E-46B4-F1705D4F7371}</x14:id>
        </ext>
      </extLst>
    </cfRule>
  </conditionalFormatting>
  <conditionalFormatting sqref="AA3:AG15">
    <cfRule type="colorScale" priority="12">
      <colorScale>
        <cfvo type="min"/>
        <cfvo type="max"/>
        <color rgb="FFFFEF9C"/>
        <color rgb="FF63BE7B"/>
      </colorScale>
    </cfRule>
  </conditionalFormatting>
  <conditionalFormatting sqref="AH3:AH15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{2298E817-D016-45DA-FBBD-D06186B40360}</x14:id>
        </ext>
      </extLst>
    </cfRule>
  </conditionalFormatting>
  <conditionalFormatting sqref="AI3:AO15">
    <cfRule type="colorScale" priority="14">
      <colorScale>
        <cfvo type="min"/>
        <cfvo type="max"/>
        <color rgb="FFFCFCFF"/>
        <color rgb="FFF8696B"/>
      </colorScale>
    </cfRule>
  </conditionalFormatting>
  <conditionalFormatting sqref="AP3:AP15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{29CEAB35-04E0-C9B0-1BDD-A42829EAE87F}</x14:id>
        </ext>
      </extLst>
    </cfRule>
  </conditionalFormatting>
  <conditionalFormatting sqref="G18:M30">
    <cfRule type="colorScale" priority="16">
      <colorScale>
        <cfvo type="min"/>
        <cfvo type="max"/>
        <color rgb="FFFFEF9C"/>
        <color rgb="FF63BE7B"/>
      </colorScale>
    </cfRule>
  </conditionalFormatting>
  <conditionalFormatting sqref="O18:U30">
    <cfRule type="colorScale" priority="1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71BCF-F67C-D5E4-70E4-BA265B65CD4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AH18:AH30</xm:sqref>
        </x14:conditionalFormatting>
        <x14:conditionalFormatting xmlns:xm="http://schemas.microsoft.com/office/excel/2006/main">
          <x14:cfRule type="dataBar" id="{70E446E5-152A-31E6-48E5-332D2AE9646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AP18:AP30</xm:sqref>
        </x14:conditionalFormatting>
        <x14:conditionalFormatting xmlns:xm="http://schemas.microsoft.com/office/excel/2006/main">
          <x14:cfRule type="dataBar" id="{3544B828-B0EC-A27A-719F-397024BF432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V18:V30</xm:sqref>
        </x14:conditionalFormatting>
        <x14:conditionalFormatting xmlns:xm="http://schemas.microsoft.com/office/excel/2006/main">
          <x14:cfRule type="dataBar" id="{21B5F840-7886-2AD6-1F29-5865F604DD5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N18:N30</xm:sqref>
        </x14:conditionalFormatting>
        <x14:conditionalFormatting xmlns:xm="http://schemas.microsoft.com/office/excel/2006/main">
          <x14:cfRule type="dataBar" id="{605EB649-D71F-A286-97CA-1C057CCDC43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N3:N15</xm:sqref>
        </x14:conditionalFormatting>
        <x14:conditionalFormatting xmlns:xm="http://schemas.microsoft.com/office/excel/2006/main">
          <x14:cfRule type="dataBar" id="{698CD0E5-26DF-181E-46B4-F1705D4F737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V3:V15</xm:sqref>
        </x14:conditionalFormatting>
        <x14:conditionalFormatting xmlns:xm="http://schemas.microsoft.com/office/excel/2006/main">
          <x14:cfRule type="dataBar" id="{2298E817-D016-45DA-FBBD-D06186B4036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AH3:AH15</xm:sqref>
        </x14:conditionalFormatting>
        <x14:conditionalFormatting xmlns:xm="http://schemas.microsoft.com/office/excel/2006/main">
          <x14:cfRule type="dataBar" id="{29CEAB35-04E0-C9B0-1BDD-A42829EAE87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AP3:AP15</xm:sqref>
        </x14:conditionalFormatting>
      </x14:conditionalFormattings>
    </ex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99844-B16E-483F-BCBF-0D826FB9B481}">
  <sheetPr>
    <tabColor rgb="FFFABF8F"/>
  </sheetPr>
  <dimension ref="A1:AG41"/>
  <sheetViews>
    <sheetView zoomScale="80" zoomScaleNormal="80" workbookViewId="0">
      <selection activeCell="U31" sqref="U31"/>
    </sheetView>
  </sheetViews>
  <sheetFormatPr baseColWidth="10" defaultColWidth="10.7109375" defaultRowHeight="15" x14ac:dyDescent="0.25"/>
  <cols>
    <col min="1" max="1" width="18.85546875" customWidth="1"/>
    <col min="2" max="2" width="18" bestFit="1" customWidth="1"/>
    <col min="3" max="3" width="6.5703125" bestFit="1" customWidth="1"/>
    <col min="4" max="4" width="17" bestFit="1" customWidth="1"/>
    <col min="5" max="5" width="18" bestFit="1" customWidth="1"/>
    <col min="6" max="6" width="7.7109375" bestFit="1" customWidth="1"/>
    <col min="8" max="8" width="18.85546875" bestFit="1" customWidth="1"/>
    <col min="9" max="9" width="18" bestFit="1" customWidth="1"/>
    <col min="10" max="10" width="6.5703125" bestFit="1" customWidth="1"/>
    <col min="11" max="11" width="17" bestFit="1" customWidth="1"/>
    <col min="12" max="12" width="18" bestFit="1" customWidth="1"/>
    <col min="13" max="13" width="7.7109375" bestFit="1" customWidth="1"/>
    <col min="15" max="15" width="23" bestFit="1" customWidth="1"/>
    <col min="16" max="16" width="15.42578125" bestFit="1" customWidth="1"/>
    <col min="17" max="17" width="18" bestFit="1" customWidth="1"/>
    <col min="18" max="30" width="16.5703125" bestFit="1" customWidth="1"/>
    <col min="31" max="33" width="18" bestFit="1" customWidth="1"/>
  </cols>
  <sheetData>
    <row r="1" spans="1:33" ht="21" x14ac:dyDescent="0.35">
      <c r="A1" s="586" t="s">
        <v>977</v>
      </c>
      <c r="B1" s="587"/>
      <c r="C1" s="587"/>
      <c r="D1" s="587"/>
      <c r="E1" s="587"/>
      <c r="F1" s="588"/>
      <c r="G1" s="461"/>
      <c r="H1" s="586" t="s">
        <v>977</v>
      </c>
      <c r="I1" s="587"/>
      <c r="J1" s="587"/>
      <c r="K1" s="587"/>
      <c r="L1" s="587"/>
      <c r="M1" s="588"/>
      <c r="N1" s="461"/>
      <c r="O1" s="239"/>
      <c r="P1" s="239"/>
      <c r="Q1" s="239"/>
      <c r="R1" s="507">
        <v>44093</v>
      </c>
      <c r="S1" s="507">
        <f t="shared" ref="S1:AG1" si="0">R1+7</f>
        <v>44100</v>
      </c>
      <c r="T1" s="507">
        <f t="shared" si="0"/>
        <v>44107</v>
      </c>
      <c r="U1" s="507">
        <f t="shared" si="0"/>
        <v>44114</v>
      </c>
      <c r="V1" s="507">
        <f t="shared" si="0"/>
        <v>44121</v>
      </c>
      <c r="W1" s="507">
        <f t="shared" si="0"/>
        <v>44128</v>
      </c>
      <c r="X1" s="507">
        <f t="shared" si="0"/>
        <v>44135</v>
      </c>
      <c r="Y1" s="507">
        <f t="shared" si="0"/>
        <v>44142</v>
      </c>
      <c r="Z1" s="507">
        <f t="shared" si="0"/>
        <v>44149</v>
      </c>
      <c r="AA1" s="507">
        <f t="shared" si="0"/>
        <v>44156</v>
      </c>
      <c r="AB1" s="507">
        <f t="shared" si="0"/>
        <v>44163</v>
      </c>
      <c r="AC1" s="507">
        <f t="shared" si="0"/>
        <v>44170</v>
      </c>
      <c r="AD1" s="507">
        <f t="shared" si="0"/>
        <v>44177</v>
      </c>
      <c r="AE1" s="507">
        <f t="shared" si="0"/>
        <v>44184</v>
      </c>
      <c r="AF1" s="507">
        <f t="shared" si="0"/>
        <v>44191</v>
      </c>
      <c r="AG1" s="507">
        <f t="shared" si="0"/>
        <v>44198</v>
      </c>
    </row>
    <row r="2" spans="1:33" x14ac:dyDescent="0.25">
      <c r="A2" s="589" t="s">
        <v>976</v>
      </c>
      <c r="B2" s="590"/>
      <c r="C2" s="590"/>
      <c r="D2" s="590"/>
      <c r="E2" s="590"/>
      <c r="F2" s="591"/>
      <c r="G2" s="461"/>
      <c r="H2" s="589" t="s">
        <v>978</v>
      </c>
      <c r="I2" s="590"/>
      <c r="J2" s="590"/>
      <c r="K2" s="590"/>
      <c r="L2" s="590"/>
      <c r="M2" s="591"/>
      <c r="N2" s="461"/>
      <c r="O2" s="43"/>
      <c r="P2" s="43"/>
      <c r="Q2" s="508" t="s">
        <v>986</v>
      </c>
      <c r="R2" s="518" t="s">
        <v>500</v>
      </c>
      <c r="S2" s="518" t="s">
        <v>501</v>
      </c>
      <c r="T2" s="518" t="s">
        <v>502</v>
      </c>
      <c r="U2" s="518" t="s">
        <v>503</v>
      </c>
      <c r="V2" s="518" t="s">
        <v>504</v>
      </c>
      <c r="W2" s="518" t="s">
        <v>505</v>
      </c>
      <c r="X2" s="518" t="s">
        <v>506</v>
      </c>
      <c r="Y2" s="518" t="s">
        <v>507</v>
      </c>
      <c r="Z2" s="518" t="s">
        <v>508</v>
      </c>
      <c r="AA2" s="518" t="s">
        <v>509</v>
      </c>
      <c r="AB2" s="518" t="s">
        <v>510</v>
      </c>
      <c r="AC2" s="518" t="s">
        <v>511</v>
      </c>
      <c r="AD2" s="518" t="s">
        <v>512</v>
      </c>
      <c r="AE2" s="518" t="s">
        <v>513</v>
      </c>
      <c r="AF2" s="518" t="s">
        <v>514</v>
      </c>
      <c r="AG2" s="518" t="s">
        <v>515</v>
      </c>
    </row>
    <row r="3" spans="1:33" ht="18.75" x14ac:dyDescent="0.3">
      <c r="A3" s="592" t="s">
        <v>516</v>
      </c>
      <c r="B3" s="593"/>
      <c r="C3" s="498"/>
      <c r="D3" s="584" t="s">
        <v>517</v>
      </c>
      <c r="E3" s="585"/>
      <c r="F3" s="498"/>
      <c r="G3" s="461"/>
      <c r="H3" s="592" t="s">
        <v>516</v>
      </c>
      <c r="I3" s="593"/>
      <c r="J3" s="498"/>
      <c r="K3" s="584" t="s">
        <v>517</v>
      </c>
      <c r="L3" s="585"/>
      <c r="M3" s="498"/>
      <c r="N3" s="461"/>
      <c r="O3" s="41"/>
      <c r="P3" s="90"/>
      <c r="Q3" s="509" t="s">
        <v>518</v>
      </c>
      <c r="R3" s="519">
        <v>2681</v>
      </c>
      <c r="S3" s="519">
        <f t="shared" ref="S3:AG3" si="1">R3+R11/30</f>
        <v>2684</v>
      </c>
      <c r="T3" s="519">
        <f t="shared" si="1"/>
        <v>2690</v>
      </c>
      <c r="U3" s="519">
        <f t="shared" si="1"/>
        <v>2696</v>
      </c>
      <c r="V3" s="519">
        <f t="shared" si="1"/>
        <v>2702</v>
      </c>
      <c r="W3" s="519">
        <f t="shared" si="1"/>
        <v>2708</v>
      </c>
      <c r="X3" s="519">
        <f t="shared" si="1"/>
        <v>2714</v>
      </c>
      <c r="Y3" s="519">
        <f t="shared" si="1"/>
        <v>2720</v>
      </c>
      <c r="Z3" s="519">
        <f t="shared" si="1"/>
        <v>2726</v>
      </c>
      <c r="AA3" s="519">
        <f t="shared" si="1"/>
        <v>2732</v>
      </c>
      <c r="AB3" s="519">
        <f t="shared" si="1"/>
        <v>2738</v>
      </c>
      <c r="AC3" s="519">
        <f t="shared" si="1"/>
        <v>2744</v>
      </c>
      <c r="AD3" s="519">
        <f t="shared" si="1"/>
        <v>2750</v>
      </c>
      <c r="AE3" s="519">
        <f t="shared" si="1"/>
        <v>2756</v>
      </c>
      <c r="AF3" s="519">
        <f t="shared" si="1"/>
        <v>2762</v>
      </c>
      <c r="AG3" s="519">
        <f t="shared" si="1"/>
        <v>2768</v>
      </c>
    </row>
    <row r="4" spans="1:33" ht="18.75" x14ac:dyDescent="0.3">
      <c r="A4" s="482"/>
      <c r="B4" s="463"/>
      <c r="C4" s="483"/>
      <c r="D4" s="462"/>
      <c r="E4" s="463"/>
      <c r="F4" s="483"/>
      <c r="G4" s="461"/>
      <c r="H4" s="482"/>
      <c r="I4" s="463"/>
      <c r="J4" s="483"/>
      <c r="K4" s="462"/>
      <c r="L4" s="463"/>
      <c r="M4" s="483"/>
      <c r="N4" s="461"/>
      <c r="O4" s="252" t="s">
        <v>519</v>
      </c>
      <c r="P4" s="252"/>
      <c r="Q4" s="510">
        <v>0</v>
      </c>
      <c r="R4" s="520">
        <f>Q4</f>
        <v>0</v>
      </c>
      <c r="S4" s="520">
        <f t="shared" ref="S4:AG4" si="2">R4-R13+R23</f>
        <v>0</v>
      </c>
      <c r="T4" s="520">
        <f t="shared" si="2"/>
        <v>0</v>
      </c>
      <c r="U4" s="520">
        <f t="shared" si="2"/>
        <v>0</v>
      </c>
      <c r="V4" s="520">
        <f t="shared" si="2"/>
        <v>0</v>
      </c>
      <c r="W4" s="520">
        <f t="shared" si="2"/>
        <v>0</v>
      </c>
      <c r="X4" s="520">
        <f t="shared" si="2"/>
        <v>0</v>
      </c>
      <c r="Y4" s="520">
        <f t="shared" si="2"/>
        <v>0</v>
      </c>
      <c r="Z4" s="520">
        <f t="shared" si="2"/>
        <v>0</v>
      </c>
      <c r="AA4" s="520">
        <f t="shared" si="2"/>
        <v>0</v>
      </c>
      <c r="AB4" s="520">
        <f t="shared" si="2"/>
        <v>0</v>
      </c>
      <c r="AC4" s="520">
        <f t="shared" si="2"/>
        <v>0</v>
      </c>
      <c r="AD4" s="520">
        <f t="shared" si="2"/>
        <v>0</v>
      </c>
      <c r="AE4" s="520">
        <f t="shared" si="2"/>
        <v>0</v>
      </c>
      <c r="AF4" s="520">
        <f t="shared" si="2"/>
        <v>0</v>
      </c>
      <c r="AG4" s="520">
        <f t="shared" si="2"/>
        <v>0</v>
      </c>
    </row>
    <row r="5" spans="1:33" ht="18.75" x14ac:dyDescent="0.3">
      <c r="A5" s="482" t="s">
        <v>520</v>
      </c>
      <c r="B5" s="464">
        <f>SUM(B6:B8)</f>
        <v>5611009.2000000002</v>
      </c>
      <c r="C5" s="484">
        <f>B5/B35</f>
        <v>8.3275162761714025E-2</v>
      </c>
      <c r="D5" s="462" t="s">
        <v>521</v>
      </c>
      <c r="E5" s="464">
        <f>E6+E7</f>
        <v>67379144</v>
      </c>
      <c r="F5" s="484">
        <f>E5/E$35</f>
        <v>1</v>
      </c>
      <c r="G5" s="461"/>
      <c r="H5" s="482" t="s">
        <v>520</v>
      </c>
      <c r="I5" s="464">
        <f>SUM(I6:I8)</f>
        <v>5611009.2000000002</v>
      </c>
      <c r="J5" s="484">
        <f>I5/I35</f>
        <v>6.8240548895281333E-2</v>
      </c>
      <c r="K5" s="462" t="s">
        <v>521</v>
      </c>
      <c r="L5" s="464">
        <f>L6+L7</f>
        <v>67379144</v>
      </c>
      <c r="M5" s="484">
        <f>L5/L$35</f>
        <v>0.83005845161580416</v>
      </c>
      <c r="N5" s="461"/>
      <c r="O5" s="260" t="s">
        <v>522</v>
      </c>
      <c r="P5" s="260"/>
      <c r="Q5" s="511">
        <f>3697026-5971</f>
        <v>3691055</v>
      </c>
      <c r="R5" s="521">
        <f>Q5</f>
        <v>3691055</v>
      </c>
      <c r="S5" s="521">
        <f t="shared" ref="S5:AG5" si="3">R26</f>
        <v>768096</v>
      </c>
      <c r="T5" s="544">
        <f t="shared" si="3"/>
        <v>1014515</v>
      </c>
      <c r="U5" s="521">
        <f t="shared" si="3"/>
        <v>978514</v>
      </c>
      <c r="V5" s="521">
        <f t="shared" si="3"/>
        <v>905038</v>
      </c>
      <c r="W5" s="521">
        <f t="shared" si="3"/>
        <v>1368562</v>
      </c>
      <c r="X5" s="521">
        <f t="shared" si="3"/>
        <v>1304086</v>
      </c>
      <c r="Y5" s="521">
        <f t="shared" si="3"/>
        <v>1771610</v>
      </c>
      <c r="Z5" s="521">
        <f t="shared" si="3"/>
        <v>2241134</v>
      </c>
      <c r="AA5" s="521">
        <f t="shared" si="3"/>
        <v>2632658</v>
      </c>
      <c r="AB5" s="521">
        <f t="shared" si="3"/>
        <v>2496182</v>
      </c>
      <c r="AC5" s="521">
        <f t="shared" si="3"/>
        <v>2891706</v>
      </c>
      <c r="AD5" s="521">
        <f t="shared" si="3"/>
        <v>2759230</v>
      </c>
      <c r="AE5" s="521">
        <f t="shared" si="3"/>
        <v>3158754</v>
      </c>
      <c r="AF5" s="521">
        <f t="shared" si="3"/>
        <v>3030278</v>
      </c>
      <c r="AG5" s="521">
        <f t="shared" si="3"/>
        <v>2923802</v>
      </c>
    </row>
    <row r="6" spans="1:33" x14ac:dyDescent="0.25">
      <c r="A6" s="485" t="s">
        <v>523</v>
      </c>
      <c r="B6" s="474">
        <f>4005709.2+130000</f>
        <v>4135709.2</v>
      </c>
      <c r="C6" s="486">
        <f>B6/B35</f>
        <v>6.1379663530959479E-2</v>
      </c>
      <c r="D6" s="478" t="s">
        <v>524</v>
      </c>
      <c r="E6" s="479">
        <v>300000</v>
      </c>
      <c r="F6" s="486">
        <f>E6/E$35</f>
        <v>4.4524163144607481E-3</v>
      </c>
      <c r="G6" s="461"/>
      <c r="H6" s="485" t="s">
        <v>523</v>
      </c>
      <c r="I6" s="474">
        <f>B6</f>
        <v>4135709.2</v>
      </c>
      <c r="J6" s="486">
        <f>I6/I35</f>
        <v>5.0298093590590592E-2</v>
      </c>
      <c r="K6" s="478" t="s">
        <v>524</v>
      </c>
      <c r="L6" s="479">
        <v>300000</v>
      </c>
      <c r="M6" s="486">
        <f>L6/L$35</f>
        <v>3.6957657919302338E-3</v>
      </c>
      <c r="N6" s="461"/>
      <c r="O6" s="270" t="s">
        <v>525</v>
      </c>
      <c r="P6" s="270" t="s">
        <v>525</v>
      </c>
      <c r="Q6" s="512">
        <f t="shared" ref="Q6:Q25" si="4">SUM(R6:AG6)</f>
        <v>4674891</v>
      </c>
      <c r="R6" s="546">
        <v>48506</v>
      </c>
      <c r="S6" s="546">
        <v>601910</v>
      </c>
      <c r="T6" s="539">
        <v>144475</v>
      </c>
      <c r="U6" s="522">
        <v>100000</v>
      </c>
      <c r="V6" s="522">
        <f>530000+100000</f>
        <v>630000</v>
      </c>
      <c r="W6" s="522">
        <v>100000</v>
      </c>
      <c r="X6" s="522">
        <f>530000+100000</f>
        <v>630000</v>
      </c>
      <c r="Y6" s="522">
        <v>630000</v>
      </c>
      <c r="Z6" s="522">
        <f>530000+20000</f>
        <v>550000</v>
      </c>
      <c r="AA6" s="522">
        <v>20000</v>
      </c>
      <c r="AB6" s="522">
        <f>530000+20000</f>
        <v>550000</v>
      </c>
      <c r="AC6" s="522">
        <v>20000</v>
      </c>
      <c r="AD6" s="522">
        <f>530000+20000</f>
        <v>550000</v>
      </c>
      <c r="AE6" s="522">
        <v>20000</v>
      </c>
      <c r="AF6" s="522">
        <v>40000</v>
      </c>
      <c r="AG6" s="522">
        <v>40000</v>
      </c>
    </row>
    <row r="7" spans="1:33" x14ac:dyDescent="0.25">
      <c r="A7" s="485" t="s">
        <v>391</v>
      </c>
      <c r="B7" s="474">
        <f>1475000+300</f>
        <v>1475300</v>
      </c>
      <c r="C7" s="486">
        <f>B7/B35</f>
        <v>2.189549923075455E-2</v>
      </c>
      <c r="D7" s="478" t="s">
        <v>526</v>
      </c>
      <c r="E7" s="479">
        <v>67079144</v>
      </c>
      <c r="F7" s="486">
        <f>E7/E$35</f>
        <v>0.99554758368553931</v>
      </c>
      <c r="G7" s="461"/>
      <c r="H7" s="485" t="s">
        <v>391</v>
      </c>
      <c r="I7" s="474">
        <f>B7</f>
        <v>1475300</v>
      </c>
      <c r="J7" s="486">
        <f>I7/I35</f>
        <v>1.7942455304690741E-2</v>
      </c>
      <c r="K7" s="478" t="s">
        <v>526</v>
      </c>
      <c r="L7" s="479">
        <f>E7</f>
        <v>67079144</v>
      </c>
      <c r="M7" s="486">
        <f>L7/L$35</f>
        <v>0.82636268582387395</v>
      </c>
      <c r="N7" s="461"/>
      <c r="O7" s="270" t="s">
        <v>527</v>
      </c>
      <c r="P7" s="270" t="s">
        <v>527</v>
      </c>
      <c r="Q7" s="512">
        <f t="shared" si="4"/>
        <v>2687660</v>
      </c>
      <c r="R7" s="547">
        <v>117850</v>
      </c>
      <c r="S7" s="547">
        <v>138940</v>
      </c>
      <c r="T7" s="540">
        <v>151705</v>
      </c>
      <c r="U7" s="523">
        <f t="shared" ref="U7:V7" si="5">T7+7000</f>
        <v>158705</v>
      </c>
      <c r="V7" s="523">
        <f t="shared" si="5"/>
        <v>165705</v>
      </c>
      <c r="W7" s="523">
        <f>V7+2000</f>
        <v>167705</v>
      </c>
      <c r="X7" s="523">
        <f t="shared" ref="X7:AG7" si="6">W7+2000</f>
        <v>169705</v>
      </c>
      <c r="Y7" s="523">
        <f t="shared" si="6"/>
        <v>171705</v>
      </c>
      <c r="Z7" s="523">
        <f t="shared" si="6"/>
        <v>173705</v>
      </c>
      <c r="AA7" s="523">
        <f t="shared" si="6"/>
        <v>175705</v>
      </c>
      <c r="AB7" s="523">
        <f t="shared" si="6"/>
        <v>177705</v>
      </c>
      <c r="AC7" s="523">
        <f t="shared" si="6"/>
        <v>179705</v>
      </c>
      <c r="AD7" s="523">
        <f t="shared" si="6"/>
        <v>181705</v>
      </c>
      <c r="AE7" s="523">
        <f t="shared" si="6"/>
        <v>183705</v>
      </c>
      <c r="AF7" s="523">
        <f t="shared" si="6"/>
        <v>185705</v>
      </c>
      <c r="AG7" s="523">
        <f t="shared" si="6"/>
        <v>187705</v>
      </c>
    </row>
    <row r="8" spans="1:33" x14ac:dyDescent="0.25">
      <c r="A8" s="487" t="s">
        <v>528</v>
      </c>
      <c r="B8" s="465">
        <v>0</v>
      </c>
      <c r="C8" s="486">
        <f>B8/B35</f>
        <v>0</v>
      </c>
      <c r="D8" s="466"/>
      <c r="E8" s="463"/>
      <c r="F8" s="484"/>
      <c r="G8" s="461"/>
      <c r="H8" s="487" t="s">
        <v>528</v>
      </c>
      <c r="I8" s="465">
        <v>0</v>
      </c>
      <c r="J8" s="486">
        <f>I8/I35</f>
        <v>0</v>
      </c>
      <c r="K8" s="466"/>
      <c r="L8" s="463"/>
      <c r="M8" s="484"/>
      <c r="N8" s="461"/>
      <c r="O8" s="270" t="s">
        <v>529</v>
      </c>
      <c r="P8" s="270" t="s">
        <v>530</v>
      </c>
      <c r="Q8" s="512">
        <f t="shared" si="4"/>
        <v>2692350</v>
      </c>
      <c r="R8" s="546">
        <v>2692350</v>
      </c>
      <c r="S8" s="547">
        <v>0</v>
      </c>
      <c r="T8" s="540">
        <f t="shared" ref="S8:AG9" si="7">S8</f>
        <v>0</v>
      </c>
      <c r="U8" s="523">
        <f t="shared" si="7"/>
        <v>0</v>
      </c>
      <c r="V8" s="523">
        <f t="shared" si="7"/>
        <v>0</v>
      </c>
      <c r="W8" s="523">
        <f t="shared" si="7"/>
        <v>0</v>
      </c>
      <c r="X8" s="523">
        <f t="shared" si="7"/>
        <v>0</v>
      </c>
      <c r="Y8" s="523">
        <f t="shared" si="7"/>
        <v>0</v>
      </c>
      <c r="Z8" s="523">
        <f t="shared" si="7"/>
        <v>0</v>
      </c>
      <c r="AA8" s="523">
        <f t="shared" si="7"/>
        <v>0</v>
      </c>
      <c r="AB8" s="523">
        <f t="shared" si="7"/>
        <v>0</v>
      </c>
      <c r="AC8" s="523">
        <f t="shared" si="7"/>
        <v>0</v>
      </c>
      <c r="AD8" s="523">
        <f t="shared" si="7"/>
        <v>0</v>
      </c>
      <c r="AE8" s="523">
        <f t="shared" si="7"/>
        <v>0</v>
      </c>
      <c r="AF8" s="523">
        <f t="shared" si="7"/>
        <v>0</v>
      </c>
      <c r="AG8" s="523">
        <f t="shared" si="7"/>
        <v>0</v>
      </c>
    </row>
    <row r="9" spans="1:33" x14ac:dyDescent="0.25">
      <c r="A9" s="488"/>
      <c r="B9" s="463"/>
      <c r="C9" s="484"/>
      <c r="D9" s="466"/>
      <c r="E9" s="463"/>
      <c r="F9" s="484"/>
      <c r="G9" s="461"/>
      <c r="H9" s="488"/>
      <c r="I9" s="463"/>
      <c r="J9" s="484"/>
      <c r="K9" s="466"/>
      <c r="L9" s="463"/>
      <c r="M9" s="484"/>
      <c r="N9" s="461"/>
      <c r="O9" s="270"/>
      <c r="P9" s="270" t="s">
        <v>531</v>
      </c>
      <c r="Q9" s="512">
        <f t="shared" si="4"/>
        <v>0</v>
      </c>
      <c r="R9" s="546">
        <v>0</v>
      </c>
      <c r="S9" s="547">
        <f t="shared" si="7"/>
        <v>0</v>
      </c>
      <c r="T9" s="540">
        <f t="shared" si="7"/>
        <v>0</v>
      </c>
      <c r="U9" s="523">
        <f t="shared" si="7"/>
        <v>0</v>
      </c>
      <c r="V9" s="523">
        <f t="shared" si="7"/>
        <v>0</v>
      </c>
      <c r="W9" s="523">
        <f t="shared" si="7"/>
        <v>0</v>
      </c>
      <c r="X9" s="523">
        <f t="shared" si="7"/>
        <v>0</v>
      </c>
      <c r="Y9" s="523">
        <f t="shared" si="7"/>
        <v>0</v>
      </c>
      <c r="Z9" s="523">
        <f t="shared" si="7"/>
        <v>0</v>
      </c>
      <c r="AA9" s="523">
        <f t="shared" si="7"/>
        <v>0</v>
      </c>
      <c r="AB9" s="523">
        <f t="shared" si="7"/>
        <v>0</v>
      </c>
      <c r="AC9" s="523">
        <f t="shared" si="7"/>
        <v>0</v>
      </c>
      <c r="AD9" s="523">
        <f t="shared" si="7"/>
        <v>0</v>
      </c>
      <c r="AE9" s="523">
        <f t="shared" si="7"/>
        <v>0</v>
      </c>
      <c r="AF9" s="523">
        <f t="shared" si="7"/>
        <v>0</v>
      </c>
      <c r="AG9" s="523">
        <f t="shared" si="7"/>
        <v>0</v>
      </c>
    </row>
    <row r="10" spans="1:33" x14ac:dyDescent="0.25">
      <c r="A10" s="482" t="s">
        <v>979</v>
      </c>
      <c r="B10" s="464">
        <f>B11+B12+B13</f>
        <v>0</v>
      </c>
      <c r="C10" s="484">
        <f>B10/B35</f>
        <v>0</v>
      </c>
      <c r="D10" s="462" t="s">
        <v>983</v>
      </c>
      <c r="E10" s="464">
        <f>SUM(E11:E16)</f>
        <v>0</v>
      </c>
      <c r="F10" s="484">
        <f>E10/E$35</f>
        <v>0</v>
      </c>
      <c r="G10" s="461"/>
      <c r="H10" s="482" t="s">
        <v>979</v>
      </c>
      <c r="I10" s="464">
        <f>I11+I12-I13</f>
        <v>0</v>
      </c>
      <c r="J10" s="484">
        <f>I10/I35</f>
        <v>0</v>
      </c>
      <c r="K10" s="462" t="s">
        <v>983</v>
      </c>
      <c r="L10" s="464">
        <f>SUM(L11:L17)</f>
        <v>557775</v>
      </c>
      <c r="M10" s="484">
        <f>L10/L$35</f>
        <v>6.8713525486462871E-3</v>
      </c>
      <c r="N10" s="461"/>
      <c r="O10" s="270" t="s">
        <v>534</v>
      </c>
      <c r="P10" s="270" t="s">
        <v>534</v>
      </c>
      <c r="Q10" s="512">
        <f t="shared" si="4"/>
        <v>2307636</v>
      </c>
      <c r="R10" s="547">
        <v>9016</v>
      </c>
      <c r="S10" s="547">
        <v>1500</v>
      </c>
      <c r="T10" s="540">
        <v>164080</v>
      </c>
      <c r="U10" s="523">
        <f t="shared" ref="T10:AG13" si="8">T10</f>
        <v>164080</v>
      </c>
      <c r="V10" s="523">
        <f t="shared" si="8"/>
        <v>164080</v>
      </c>
      <c r="W10" s="523">
        <f t="shared" si="8"/>
        <v>164080</v>
      </c>
      <c r="X10" s="523">
        <f t="shared" si="8"/>
        <v>164080</v>
      </c>
      <c r="Y10" s="523">
        <f t="shared" si="8"/>
        <v>164080</v>
      </c>
      <c r="Z10" s="523">
        <f t="shared" si="8"/>
        <v>164080</v>
      </c>
      <c r="AA10" s="523">
        <f t="shared" si="8"/>
        <v>164080</v>
      </c>
      <c r="AB10" s="523">
        <f t="shared" si="8"/>
        <v>164080</v>
      </c>
      <c r="AC10" s="523">
        <f t="shared" si="8"/>
        <v>164080</v>
      </c>
      <c r="AD10" s="523">
        <f t="shared" si="8"/>
        <v>164080</v>
      </c>
      <c r="AE10" s="523">
        <f t="shared" si="8"/>
        <v>164080</v>
      </c>
      <c r="AF10" s="523">
        <f t="shared" si="8"/>
        <v>164080</v>
      </c>
      <c r="AG10" s="523">
        <f t="shared" si="8"/>
        <v>164080</v>
      </c>
    </row>
    <row r="11" spans="1:33" x14ac:dyDescent="0.25">
      <c r="A11" s="489" t="s">
        <v>979</v>
      </c>
      <c r="B11" s="467">
        <f>K4</f>
        <v>0</v>
      </c>
      <c r="C11" s="486">
        <f>B11/B35</f>
        <v>0</v>
      </c>
      <c r="D11" s="478" t="s">
        <v>536</v>
      </c>
      <c r="E11" s="480">
        <v>0</v>
      </c>
      <c r="F11" s="486">
        <f>E11/E$35</f>
        <v>0</v>
      </c>
      <c r="G11" s="461"/>
      <c r="H11" s="489" t="s">
        <v>979</v>
      </c>
      <c r="I11" s="467">
        <f>AG4+AG13-AG23</f>
        <v>0</v>
      </c>
      <c r="J11" s="486">
        <f>I11/I35</f>
        <v>0</v>
      </c>
      <c r="K11" s="478" t="s">
        <v>536</v>
      </c>
      <c r="L11" s="480">
        <f>-307650</f>
        <v>-307650</v>
      </c>
      <c r="M11" s="529">
        <f>L11/L$35</f>
        <v>-3.7900078196244549E-3</v>
      </c>
      <c r="N11" s="461"/>
      <c r="O11" s="577" t="s">
        <v>537</v>
      </c>
      <c r="P11" s="270" t="s">
        <v>538</v>
      </c>
      <c r="Q11" s="512">
        <f t="shared" si="4"/>
        <v>2790</v>
      </c>
      <c r="R11" s="547">
        <v>90</v>
      </c>
      <c r="S11" s="547">
        <v>180</v>
      </c>
      <c r="T11" s="540">
        <f t="shared" si="8"/>
        <v>180</v>
      </c>
      <c r="U11" s="523">
        <f t="shared" si="8"/>
        <v>180</v>
      </c>
      <c r="V11" s="523">
        <f t="shared" si="8"/>
        <v>180</v>
      </c>
      <c r="W11" s="523">
        <f t="shared" si="8"/>
        <v>180</v>
      </c>
      <c r="X11" s="523">
        <f t="shared" si="8"/>
        <v>180</v>
      </c>
      <c r="Y11" s="523">
        <f t="shared" si="8"/>
        <v>180</v>
      </c>
      <c r="Z11" s="523">
        <f t="shared" si="8"/>
        <v>180</v>
      </c>
      <c r="AA11" s="523">
        <f t="shared" si="8"/>
        <v>180</v>
      </c>
      <c r="AB11" s="523">
        <f t="shared" si="8"/>
        <v>180</v>
      </c>
      <c r="AC11" s="523">
        <f t="shared" si="8"/>
        <v>180</v>
      </c>
      <c r="AD11" s="523">
        <f t="shared" si="8"/>
        <v>180</v>
      </c>
      <c r="AE11" s="523">
        <f t="shared" si="8"/>
        <v>180</v>
      </c>
      <c r="AF11" s="523">
        <f t="shared" si="8"/>
        <v>180</v>
      </c>
      <c r="AG11" s="523">
        <f t="shared" si="8"/>
        <v>180</v>
      </c>
    </row>
    <row r="12" spans="1:33" x14ac:dyDescent="0.25">
      <c r="A12" s="490"/>
      <c r="B12" s="468"/>
      <c r="C12" s="486">
        <f>B12/B35</f>
        <v>0</v>
      </c>
      <c r="D12" s="478" t="s">
        <v>539</v>
      </c>
      <c r="E12" s="480">
        <v>0</v>
      </c>
      <c r="F12" s="486">
        <f t="shared" ref="F12:F16" si="9">E12/E$35</f>
        <v>0</v>
      </c>
      <c r="G12" s="461"/>
      <c r="H12" s="489" t="s">
        <v>988</v>
      </c>
      <c r="I12" s="467">
        <f>Q13</f>
        <v>0</v>
      </c>
      <c r="J12" s="486">
        <f>I12/I35</f>
        <v>0</v>
      </c>
      <c r="K12" s="478" t="s">
        <v>539</v>
      </c>
      <c r="L12" s="480">
        <v>0</v>
      </c>
      <c r="M12" s="529">
        <f t="shared" ref="M12:M16" si="10">L12/L$35</f>
        <v>0</v>
      </c>
      <c r="N12" s="461"/>
      <c r="O12" s="578"/>
      <c r="P12" s="270" t="s">
        <v>540</v>
      </c>
      <c r="Q12" s="512">
        <f t="shared" si="4"/>
        <v>0</v>
      </c>
      <c r="R12" s="547">
        <v>0</v>
      </c>
      <c r="S12" s="547">
        <f>R12</f>
        <v>0</v>
      </c>
      <c r="T12" s="540">
        <f t="shared" si="8"/>
        <v>0</v>
      </c>
      <c r="U12" s="523">
        <f t="shared" si="8"/>
        <v>0</v>
      </c>
      <c r="V12" s="523">
        <f t="shared" si="8"/>
        <v>0</v>
      </c>
      <c r="W12" s="523">
        <f t="shared" si="8"/>
        <v>0</v>
      </c>
      <c r="X12" s="523">
        <f t="shared" si="8"/>
        <v>0</v>
      </c>
      <c r="Y12" s="523">
        <f t="shared" si="8"/>
        <v>0</v>
      </c>
      <c r="Z12" s="523">
        <f t="shared" si="8"/>
        <v>0</v>
      </c>
      <c r="AA12" s="523">
        <f t="shared" si="8"/>
        <v>0</v>
      </c>
      <c r="AB12" s="523">
        <f t="shared" si="8"/>
        <v>0</v>
      </c>
      <c r="AC12" s="523">
        <f t="shared" si="8"/>
        <v>0</v>
      </c>
      <c r="AD12" s="523">
        <f t="shared" si="8"/>
        <v>0</v>
      </c>
      <c r="AE12" s="523">
        <f t="shared" si="8"/>
        <v>0</v>
      </c>
      <c r="AF12" s="523">
        <f t="shared" si="8"/>
        <v>0</v>
      </c>
      <c r="AG12" s="523">
        <f t="shared" si="8"/>
        <v>0</v>
      </c>
    </row>
    <row r="13" spans="1:33" x14ac:dyDescent="0.25">
      <c r="A13" s="490"/>
      <c r="B13" s="469"/>
      <c r="C13" s="486">
        <f>B13/B35</f>
        <v>0</v>
      </c>
      <c r="D13" s="478" t="s">
        <v>541</v>
      </c>
      <c r="E13" s="480">
        <v>0</v>
      </c>
      <c r="F13" s="486">
        <f t="shared" si="9"/>
        <v>0</v>
      </c>
      <c r="G13" s="461"/>
      <c r="H13" s="528" t="s">
        <v>989</v>
      </c>
      <c r="I13" s="480">
        <f>Q23</f>
        <v>0</v>
      </c>
      <c r="J13" s="486">
        <f>I13/I35</f>
        <v>0</v>
      </c>
      <c r="K13" s="478" t="s">
        <v>541</v>
      </c>
      <c r="L13" s="480">
        <v>0</v>
      </c>
      <c r="M13" s="529">
        <f t="shared" si="10"/>
        <v>0</v>
      </c>
      <c r="N13" s="461"/>
      <c r="O13" s="579"/>
      <c r="P13" s="270" t="s">
        <v>542</v>
      </c>
      <c r="Q13" s="512">
        <f t="shared" si="4"/>
        <v>0</v>
      </c>
      <c r="R13" s="547">
        <v>0</v>
      </c>
      <c r="S13" s="547">
        <f>R13</f>
        <v>0</v>
      </c>
      <c r="T13" s="540">
        <f t="shared" si="8"/>
        <v>0</v>
      </c>
      <c r="U13" s="523">
        <f t="shared" si="8"/>
        <v>0</v>
      </c>
      <c r="V13" s="523">
        <f t="shared" si="8"/>
        <v>0</v>
      </c>
      <c r="W13" s="523">
        <f t="shared" si="8"/>
        <v>0</v>
      </c>
      <c r="X13" s="523">
        <f t="shared" si="8"/>
        <v>0</v>
      </c>
      <c r="Y13" s="523">
        <f t="shared" si="8"/>
        <v>0</v>
      </c>
      <c r="Z13" s="523">
        <f t="shared" si="8"/>
        <v>0</v>
      </c>
      <c r="AA13" s="523">
        <f t="shared" si="8"/>
        <v>0</v>
      </c>
      <c r="AB13" s="523">
        <f t="shared" si="8"/>
        <v>0</v>
      </c>
      <c r="AC13" s="523">
        <f t="shared" si="8"/>
        <v>0</v>
      </c>
      <c r="AD13" s="523">
        <f t="shared" si="8"/>
        <v>0</v>
      </c>
      <c r="AE13" s="523">
        <f t="shared" si="8"/>
        <v>0</v>
      </c>
      <c r="AF13" s="523">
        <f t="shared" si="8"/>
        <v>0</v>
      </c>
      <c r="AG13" s="523">
        <f t="shared" si="8"/>
        <v>0</v>
      </c>
    </row>
    <row r="14" spans="1:33" ht="18.75" x14ac:dyDescent="0.3">
      <c r="A14" s="488"/>
      <c r="B14" s="461"/>
      <c r="C14" s="491"/>
      <c r="D14" s="478" t="s">
        <v>543</v>
      </c>
      <c r="E14" s="480">
        <v>0</v>
      </c>
      <c r="F14" s="486">
        <f t="shared" si="9"/>
        <v>0</v>
      </c>
      <c r="G14" s="461"/>
      <c r="H14" s="488"/>
      <c r="I14" s="461"/>
      <c r="J14" s="491"/>
      <c r="K14" s="478" t="s">
        <v>543</v>
      </c>
      <c r="L14" s="480">
        <v>0</v>
      </c>
      <c r="M14" s="529">
        <f t="shared" si="10"/>
        <v>0</v>
      </c>
      <c r="N14" s="461"/>
      <c r="O14" s="287" t="s">
        <v>544</v>
      </c>
      <c r="P14" s="288"/>
      <c r="Q14" s="513">
        <f t="shared" si="4"/>
        <v>12365327</v>
      </c>
      <c r="R14" s="524">
        <f t="shared" ref="R14:AG14" si="11">SUM(R6:R13)</f>
        <v>2867812</v>
      </c>
      <c r="S14" s="524">
        <f t="shared" si="11"/>
        <v>742530</v>
      </c>
      <c r="T14" s="541">
        <f t="shared" si="11"/>
        <v>460440</v>
      </c>
      <c r="U14" s="524">
        <f t="shared" si="11"/>
        <v>422965</v>
      </c>
      <c r="V14" s="524">
        <f t="shared" si="11"/>
        <v>959965</v>
      </c>
      <c r="W14" s="524">
        <f t="shared" si="11"/>
        <v>431965</v>
      </c>
      <c r="X14" s="524">
        <f t="shared" si="11"/>
        <v>963965</v>
      </c>
      <c r="Y14" s="524">
        <f t="shared" si="11"/>
        <v>965965</v>
      </c>
      <c r="Z14" s="524">
        <f t="shared" si="11"/>
        <v>887965</v>
      </c>
      <c r="AA14" s="524">
        <f t="shared" si="11"/>
        <v>359965</v>
      </c>
      <c r="AB14" s="524">
        <f t="shared" si="11"/>
        <v>891965</v>
      </c>
      <c r="AC14" s="524">
        <f t="shared" si="11"/>
        <v>363965</v>
      </c>
      <c r="AD14" s="524">
        <f t="shared" si="11"/>
        <v>895965</v>
      </c>
      <c r="AE14" s="524">
        <f t="shared" si="11"/>
        <v>367965</v>
      </c>
      <c r="AF14" s="524">
        <f t="shared" si="11"/>
        <v>389965</v>
      </c>
      <c r="AG14" s="524">
        <f t="shared" si="11"/>
        <v>391965</v>
      </c>
    </row>
    <row r="15" spans="1:33" x14ac:dyDescent="0.25">
      <c r="A15" s="482" t="s">
        <v>545</v>
      </c>
      <c r="B15" s="464">
        <f>SUM(B16:B19)</f>
        <v>58071109</v>
      </c>
      <c r="C15" s="484">
        <f>B15/B35</f>
        <v>0.86185584114320046</v>
      </c>
      <c r="D15" s="478" t="s">
        <v>546</v>
      </c>
      <c r="E15" s="480">
        <v>0</v>
      </c>
      <c r="F15" s="486">
        <f t="shared" si="9"/>
        <v>0</v>
      </c>
      <c r="G15" s="461"/>
      <c r="H15" s="482" t="s">
        <v>545</v>
      </c>
      <c r="I15" s="464">
        <f>SUM(I16:I19)</f>
        <v>61428313</v>
      </c>
      <c r="J15" s="484">
        <f>I15/I35</f>
        <v>0.74708517619809744</v>
      </c>
      <c r="K15" s="478" t="s">
        <v>546</v>
      </c>
      <c r="L15" s="480">
        <v>0</v>
      </c>
      <c r="M15" s="529">
        <f t="shared" si="10"/>
        <v>0</v>
      </c>
      <c r="N15" s="461"/>
      <c r="O15" s="291" t="s">
        <v>383</v>
      </c>
      <c r="P15" s="292" t="str">
        <f>O15</f>
        <v>Sueldos</v>
      </c>
      <c r="Q15" s="514">
        <f t="shared" si="4"/>
        <v>5867014</v>
      </c>
      <c r="R15" s="548">
        <v>355864</v>
      </c>
      <c r="S15" s="548">
        <v>367102</v>
      </c>
      <c r="T15" s="542">
        <v>367432</v>
      </c>
      <c r="U15" s="525">
        <f t="shared" ref="U15:AG15" si="12">T15</f>
        <v>367432</v>
      </c>
      <c r="V15" s="525">
        <f t="shared" si="12"/>
        <v>367432</v>
      </c>
      <c r="W15" s="525">
        <f t="shared" si="12"/>
        <v>367432</v>
      </c>
      <c r="X15" s="525">
        <f t="shared" si="12"/>
        <v>367432</v>
      </c>
      <c r="Y15" s="525">
        <f t="shared" si="12"/>
        <v>367432</v>
      </c>
      <c r="Z15" s="525">
        <f t="shared" si="12"/>
        <v>367432</v>
      </c>
      <c r="AA15" s="525">
        <f t="shared" si="12"/>
        <v>367432</v>
      </c>
      <c r="AB15" s="525">
        <f t="shared" si="12"/>
        <v>367432</v>
      </c>
      <c r="AC15" s="525">
        <f t="shared" si="12"/>
        <v>367432</v>
      </c>
      <c r="AD15" s="525">
        <f t="shared" si="12"/>
        <v>367432</v>
      </c>
      <c r="AE15" s="525">
        <f t="shared" si="12"/>
        <v>367432</v>
      </c>
      <c r="AF15" s="525">
        <f t="shared" si="12"/>
        <v>367432</v>
      </c>
      <c r="AG15" s="525">
        <f t="shared" si="12"/>
        <v>367432</v>
      </c>
    </row>
    <row r="16" spans="1:33" x14ac:dyDescent="0.25">
      <c r="A16" s="489" t="s">
        <v>551</v>
      </c>
      <c r="B16" s="467">
        <f>44258109</f>
        <v>44258109</v>
      </c>
      <c r="C16" s="486">
        <f>B16/B35</f>
        <v>0.6568517532462218</v>
      </c>
      <c r="D16" s="473" t="s">
        <v>548</v>
      </c>
      <c r="E16" s="474">
        <v>0</v>
      </c>
      <c r="F16" s="486">
        <f t="shared" si="9"/>
        <v>0</v>
      </c>
      <c r="G16" s="461"/>
      <c r="H16" s="489" t="s">
        <v>551</v>
      </c>
      <c r="I16" s="467">
        <f>SUMIF(Plantilla!AU4:AU20,"Entrenable",Plantilla!AT4:AT20)</f>
        <v>40808109</v>
      </c>
      <c r="J16" s="486">
        <f>I16/I35</f>
        <v>0.49630425798240901</v>
      </c>
      <c r="K16" s="478" t="s">
        <v>548</v>
      </c>
      <c r="L16" s="474">
        <f>I24-L25+I33</f>
        <v>865425</v>
      </c>
      <c r="M16" s="529">
        <f t="shared" si="10"/>
        <v>1.0661360368270742E-2</v>
      </c>
      <c r="N16" s="461"/>
      <c r="O16" s="291" t="s">
        <v>549</v>
      </c>
      <c r="P16" s="292" t="str">
        <f>O16</f>
        <v xml:space="preserve">Mantenimiento </v>
      </c>
      <c r="Q16" s="514">
        <f t="shared" si="4"/>
        <v>666358</v>
      </c>
      <c r="R16" s="548">
        <v>40423</v>
      </c>
      <c r="S16" s="548">
        <v>41729</v>
      </c>
      <c r="T16" s="542">
        <f t="shared" ref="T16:AG16" si="13">S16</f>
        <v>41729</v>
      </c>
      <c r="U16" s="525">
        <f t="shared" si="13"/>
        <v>41729</v>
      </c>
      <c r="V16" s="525">
        <f t="shared" si="13"/>
        <v>41729</v>
      </c>
      <c r="W16" s="525">
        <f t="shared" si="13"/>
        <v>41729</v>
      </c>
      <c r="X16" s="525">
        <f t="shared" si="13"/>
        <v>41729</v>
      </c>
      <c r="Y16" s="525">
        <f t="shared" si="13"/>
        <v>41729</v>
      </c>
      <c r="Z16" s="525">
        <f t="shared" si="13"/>
        <v>41729</v>
      </c>
      <c r="AA16" s="525">
        <f t="shared" si="13"/>
        <v>41729</v>
      </c>
      <c r="AB16" s="525">
        <f t="shared" si="13"/>
        <v>41729</v>
      </c>
      <c r="AC16" s="525">
        <f t="shared" si="13"/>
        <v>41729</v>
      </c>
      <c r="AD16" s="525">
        <f t="shared" si="13"/>
        <v>41729</v>
      </c>
      <c r="AE16" s="525">
        <f t="shared" si="13"/>
        <v>41729</v>
      </c>
      <c r="AF16" s="525">
        <f t="shared" si="13"/>
        <v>41729</v>
      </c>
      <c r="AG16" s="525">
        <f t="shared" si="13"/>
        <v>41729</v>
      </c>
    </row>
    <row r="17" spans="1:33" x14ac:dyDescent="0.25">
      <c r="A17" s="489" t="s">
        <v>545</v>
      </c>
      <c r="B17" s="467">
        <f>16120204-(5280000+27204)+3000000</f>
        <v>13813000</v>
      </c>
      <c r="C17" s="486">
        <f>B17/B35</f>
        <v>0.20500408789697866</v>
      </c>
      <c r="D17" s="461"/>
      <c r="E17" s="463"/>
      <c r="F17" s="483"/>
      <c r="G17" s="461"/>
      <c r="H17" s="489" t="s">
        <v>545</v>
      </c>
      <c r="I17" s="467">
        <f>SUMIF(Plantilla!AU4:AU20,"Jugador",Plantilla!AT4:AT20)</f>
        <v>20620204</v>
      </c>
      <c r="J17" s="486">
        <f>I17/I35</f>
        <v>0.25078091821568849</v>
      </c>
      <c r="K17" s="461"/>
      <c r="L17" s="461"/>
      <c r="M17" s="491"/>
      <c r="N17" s="461"/>
      <c r="O17" s="291" t="s">
        <v>523</v>
      </c>
      <c r="P17" s="292" t="s">
        <v>523</v>
      </c>
      <c r="Q17" s="514">
        <f t="shared" si="4"/>
        <v>0</v>
      </c>
      <c r="R17" s="548">
        <v>0</v>
      </c>
      <c r="S17" s="548">
        <v>0</v>
      </c>
      <c r="T17" s="542">
        <v>0</v>
      </c>
      <c r="U17" s="525">
        <v>0</v>
      </c>
      <c r="V17" s="525">
        <v>0</v>
      </c>
      <c r="W17" s="525">
        <v>0</v>
      </c>
      <c r="X17" s="525">
        <v>0</v>
      </c>
      <c r="Y17" s="525">
        <v>0</v>
      </c>
      <c r="Z17" s="525">
        <v>0</v>
      </c>
      <c r="AA17" s="525">
        <v>0</v>
      </c>
      <c r="AB17" s="525">
        <v>0</v>
      </c>
      <c r="AC17" s="525">
        <v>0</v>
      </c>
      <c r="AD17" s="525">
        <v>0</v>
      </c>
      <c r="AE17" s="525">
        <v>0</v>
      </c>
      <c r="AF17" s="525">
        <v>0</v>
      </c>
      <c r="AG17" s="525">
        <v>0</v>
      </c>
    </row>
    <row r="18" spans="1:33" x14ac:dyDescent="0.25">
      <c r="A18" s="489" t="s">
        <v>982</v>
      </c>
      <c r="B18" s="467">
        <f>SUMIF(Plantilla!AU4:AU20,"Entrenador",Plantilla!AT4:AT20)</f>
        <v>0</v>
      </c>
      <c r="C18" s="486">
        <f>B18/B35</f>
        <v>0</v>
      </c>
      <c r="D18" s="461"/>
      <c r="E18" s="461"/>
      <c r="F18" s="491"/>
      <c r="G18" s="461"/>
      <c r="H18" s="489" t="s">
        <v>982</v>
      </c>
      <c r="I18" s="467">
        <f t="shared" ref="I18:I19" si="14">B18</f>
        <v>0</v>
      </c>
      <c r="J18" s="486">
        <f>I18/I35</f>
        <v>0</v>
      </c>
      <c r="K18" s="461"/>
      <c r="L18" s="461"/>
      <c r="M18" s="491"/>
      <c r="N18" s="461"/>
      <c r="O18" s="291" t="s">
        <v>553</v>
      </c>
      <c r="P18" s="292" t="str">
        <f>O18</f>
        <v>Empleados</v>
      </c>
      <c r="Q18" s="514">
        <f t="shared" si="4"/>
        <v>1044480</v>
      </c>
      <c r="R18" s="548">
        <v>65280</v>
      </c>
      <c r="S18" s="548">
        <f>R18</f>
        <v>65280</v>
      </c>
      <c r="T18" s="542">
        <f t="shared" ref="T18:AG18" si="15">S18</f>
        <v>65280</v>
      </c>
      <c r="U18" s="525">
        <f t="shared" si="15"/>
        <v>65280</v>
      </c>
      <c r="V18" s="525">
        <f t="shared" si="15"/>
        <v>65280</v>
      </c>
      <c r="W18" s="525">
        <f t="shared" si="15"/>
        <v>65280</v>
      </c>
      <c r="X18" s="525">
        <f t="shared" si="15"/>
        <v>65280</v>
      </c>
      <c r="Y18" s="525">
        <f t="shared" si="15"/>
        <v>65280</v>
      </c>
      <c r="Z18" s="525">
        <f t="shared" si="15"/>
        <v>65280</v>
      </c>
      <c r="AA18" s="525">
        <f t="shared" si="15"/>
        <v>65280</v>
      </c>
      <c r="AB18" s="525">
        <f t="shared" si="15"/>
        <v>65280</v>
      </c>
      <c r="AC18" s="525">
        <f t="shared" si="15"/>
        <v>65280</v>
      </c>
      <c r="AD18" s="525">
        <f t="shared" si="15"/>
        <v>65280</v>
      </c>
      <c r="AE18" s="525">
        <f t="shared" si="15"/>
        <v>65280</v>
      </c>
      <c r="AF18" s="525">
        <f t="shared" si="15"/>
        <v>65280</v>
      </c>
      <c r="AG18" s="525">
        <f t="shared" si="15"/>
        <v>65280</v>
      </c>
    </row>
    <row r="19" spans="1:33" x14ac:dyDescent="0.25">
      <c r="A19" s="489" t="s">
        <v>554</v>
      </c>
      <c r="B19" s="467">
        <f>SUMIF(Plantilla!AU4:AU20,"Mercadeo",Plantilla!AT4:AT20)</f>
        <v>0</v>
      </c>
      <c r="C19" s="486">
        <f>B19/B35</f>
        <v>0</v>
      </c>
      <c r="D19" s="461"/>
      <c r="E19" s="461"/>
      <c r="F19" s="491"/>
      <c r="G19" s="461"/>
      <c r="H19" s="489" t="s">
        <v>554</v>
      </c>
      <c r="I19" s="467">
        <f t="shared" si="14"/>
        <v>0</v>
      </c>
      <c r="J19" s="486">
        <f>I19/I35</f>
        <v>0</v>
      </c>
      <c r="K19" s="461"/>
      <c r="L19" s="461"/>
      <c r="M19" s="491"/>
      <c r="N19" s="461"/>
      <c r="O19" s="291" t="s">
        <v>556</v>
      </c>
      <c r="P19" s="292" t="str">
        <f>O19</f>
        <v>Juveniles</v>
      </c>
      <c r="Q19" s="514">
        <f t="shared" si="4"/>
        <v>320000</v>
      </c>
      <c r="R19" s="548">
        <v>20000</v>
      </c>
      <c r="S19" s="548">
        <f>R19</f>
        <v>20000</v>
      </c>
      <c r="T19" s="542">
        <f t="shared" ref="T19:AG21" si="16">S19</f>
        <v>20000</v>
      </c>
      <c r="U19" s="525">
        <f t="shared" si="16"/>
        <v>20000</v>
      </c>
      <c r="V19" s="525">
        <f t="shared" si="16"/>
        <v>20000</v>
      </c>
      <c r="W19" s="525">
        <f t="shared" si="16"/>
        <v>20000</v>
      </c>
      <c r="X19" s="525">
        <f t="shared" si="16"/>
        <v>20000</v>
      </c>
      <c r="Y19" s="525">
        <f t="shared" si="16"/>
        <v>20000</v>
      </c>
      <c r="Z19" s="525">
        <f t="shared" si="16"/>
        <v>20000</v>
      </c>
      <c r="AA19" s="525">
        <f t="shared" si="16"/>
        <v>20000</v>
      </c>
      <c r="AB19" s="525">
        <f t="shared" si="16"/>
        <v>20000</v>
      </c>
      <c r="AC19" s="525">
        <f t="shared" si="16"/>
        <v>20000</v>
      </c>
      <c r="AD19" s="525">
        <f t="shared" si="16"/>
        <v>20000</v>
      </c>
      <c r="AE19" s="525">
        <f t="shared" si="16"/>
        <v>20000</v>
      </c>
      <c r="AF19" s="525">
        <f t="shared" si="16"/>
        <v>20000</v>
      </c>
      <c r="AG19" s="525">
        <f t="shared" si="16"/>
        <v>20000</v>
      </c>
    </row>
    <row r="20" spans="1:33" x14ac:dyDescent="0.25">
      <c r="A20" s="488"/>
      <c r="B20" s="461"/>
      <c r="C20" s="491"/>
      <c r="D20" s="461"/>
      <c r="E20" s="461"/>
      <c r="F20" s="491"/>
      <c r="G20" s="461"/>
      <c r="H20" s="488"/>
      <c r="I20" s="461"/>
      <c r="J20" s="491"/>
      <c r="K20" s="461"/>
      <c r="L20" s="461"/>
      <c r="M20" s="491"/>
      <c r="N20" s="461"/>
      <c r="O20" s="291" t="s">
        <v>557</v>
      </c>
      <c r="P20" s="292" t="s">
        <v>555</v>
      </c>
      <c r="Q20" s="514">
        <f t="shared" si="4"/>
        <v>5307204</v>
      </c>
      <c r="R20" s="548">
        <f>5280000+27204</f>
        <v>5307204</v>
      </c>
      <c r="S20" s="548">
        <v>0</v>
      </c>
      <c r="T20" s="542">
        <f t="shared" si="16"/>
        <v>0</v>
      </c>
      <c r="U20" s="525">
        <f t="shared" si="16"/>
        <v>0</v>
      </c>
      <c r="V20" s="525">
        <f t="shared" si="16"/>
        <v>0</v>
      </c>
      <c r="W20" s="525">
        <f t="shared" si="16"/>
        <v>0</v>
      </c>
      <c r="X20" s="525">
        <f t="shared" si="16"/>
        <v>0</v>
      </c>
      <c r="Y20" s="525">
        <f t="shared" si="16"/>
        <v>0</v>
      </c>
      <c r="Z20" s="525">
        <f t="shared" si="16"/>
        <v>0</v>
      </c>
      <c r="AA20" s="525">
        <f t="shared" si="16"/>
        <v>0</v>
      </c>
      <c r="AB20" s="525">
        <f t="shared" si="16"/>
        <v>0</v>
      </c>
      <c r="AC20" s="525">
        <f t="shared" si="16"/>
        <v>0</v>
      </c>
      <c r="AD20" s="525">
        <f t="shared" si="16"/>
        <v>0</v>
      </c>
      <c r="AE20" s="525">
        <f t="shared" si="16"/>
        <v>0</v>
      </c>
      <c r="AF20" s="525">
        <f t="shared" si="16"/>
        <v>0</v>
      </c>
      <c r="AG20" s="525">
        <f t="shared" si="16"/>
        <v>0</v>
      </c>
    </row>
    <row r="21" spans="1:33" x14ac:dyDescent="0.25">
      <c r="A21" s="482" t="s">
        <v>530</v>
      </c>
      <c r="B21" s="470">
        <f>B22</f>
        <v>0</v>
      </c>
      <c r="C21" s="484">
        <f>B21/B35</f>
        <v>0</v>
      </c>
      <c r="D21" s="462" t="s">
        <v>552</v>
      </c>
      <c r="E21" s="470">
        <f>E22+E23</f>
        <v>0</v>
      </c>
      <c r="F21" s="484">
        <f>E21/E$35</f>
        <v>0</v>
      </c>
      <c r="G21" s="461"/>
      <c r="H21" s="482" t="s">
        <v>530</v>
      </c>
      <c r="I21" s="470">
        <f>I22</f>
        <v>2692350</v>
      </c>
      <c r="J21" s="484">
        <f>I21/I35</f>
        <v>3.2744099193102498E-2</v>
      </c>
      <c r="K21" s="462" t="s">
        <v>552</v>
      </c>
      <c r="L21" s="470">
        <f>L22+L23</f>
        <v>5307204</v>
      </c>
      <c r="M21" s="484">
        <f>L21/L$35</f>
        <v>6.538060997998435E-2</v>
      </c>
      <c r="N21" s="461"/>
      <c r="O21" s="580" t="s">
        <v>537</v>
      </c>
      <c r="P21" s="292" t="s">
        <v>391</v>
      </c>
      <c r="Q21" s="514">
        <f t="shared" si="4"/>
        <v>0</v>
      </c>
      <c r="R21" s="548">
        <v>0</v>
      </c>
      <c r="S21" s="548">
        <f>R21</f>
        <v>0</v>
      </c>
      <c r="T21" s="542">
        <f t="shared" si="16"/>
        <v>0</v>
      </c>
      <c r="U21" s="525">
        <f t="shared" si="16"/>
        <v>0</v>
      </c>
      <c r="V21" s="525">
        <f t="shared" si="16"/>
        <v>0</v>
      </c>
      <c r="W21" s="525">
        <f t="shared" si="16"/>
        <v>0</v>
      </c>
      <c r="X21" s="525">
        <f t="shared" si="16"/>
        <v>0</v>
      </c>
      <c r="Y21" s="525">
        <f t="shared" si="16"/>
        <v>0</v>
      </c>
      <c r="Z21" s="525">
        <f t="shared" si="16"/>
        <v>0</v>
      </c>
      <c r="AA21" s="525">
        <f t="shared" si="16"/>
        <v>0</v>
      </c>
      <c r="AB21" s="525">
        <f t="shared" si="16"/>
        <v>0</v>
      </c>
      <c r="AC21" s="525">
        <f t="shared" si="16"/>
        <v>0</v>
      </c>
      <c r="AD21" s="525">
        <f t="shared" si="16"/>
        <v>0</v>
      </c>
      <c r="AE21" s="525">
        <f t="shared" si="16"/>
        <v>0</v>
      </c>
      <c r="AF21" s="525">
        <f t="shared" si="16"/>
        <v>0</v>
      </c>
      <c r="AG21" s="525">
        <f t="shared" si="16"/>
        <v>0</v>
      </c>
    </row>
    <row r="22" spans="1:33" x14ac:dyDescent="0.25">
      <c r="A22" s="489" t="s">
        <v>530</v>
      </c>
      <c r="B22" s="467">
        <v>0</v>
      </c>
      <c r="C22" s="486">
        <f>B22/B35</f>
        <v>0</v>
      </c>
      <c r="D22" s="475" t="s">
        <v>555</v>
      </c>
      <c r="E22" s="476">
        <v>0</v>
      </c>
      <c r="F22" s="486">
        <f>E22/E$35</f>
        <v>0</v>
      </c>
      <c r="G22" s="461"/>
      <c r="H22" s="489" t="s">
        <v>530</v>
      </c>
      <c r="I22" s="467">
        <f>Q8+Q9</f>
        <v>2692350</v>
      </c>
      <c r="J22" s="486">
        <f>I22/I35</f>
        <v>3.2744099193102498E-2</v>
      </c>
      <c r="K22" s="475" t="s">
        <v>555</v>
      </c>
      <c r="L22" s="476">
        <f>Q20</f>
        <v>5307204</v>
      </c>
      <c r="M22" s="486">
        <f>L22/L$35</f>
        <v>6.538060997998435E-2</v>
      </c>
      <c r="N22" s="461"/>
      <c r="O22" s="581"/>
      <c r="P22" s="292" t="s">
        <v>559</v>
      </c>
      <c r="Q22" s="514">
        <f t="shared" si="4"/>
        <v>32000</v>
      </c>
      <c r="R22" s="548">
        <v>2000</v>
      </c>
      <c r="S22" s="548">
        <v>2000</v>
      </c>
      <c r="T22" s="542">
        <v>2000</v>
      </c>
      <c r="U22" s="525">
        <f t="shared" ref="T22:AG24" si="17">T22</f>
        <v>2000</v>
      </c>
      <c r="V22" s="525">
        <f t="shared" si="17"/>
        <v>2000</v>
      </c>
      <c r="W22" s="525">
        <f t="shared" si="17"/>
        <v>2000</v>
      </c>
      <c r="X22" s="525">
        <f t="shared" si="17"/>
        <v>2000</v>
      </c>
      <c r="Y22" s="525">
        <f t="shared" si="17"/>
        <v>2000</v>
      </c>
      <c r="Z22" s="525">
        <f t="shared" si="17"/>
        <v>2000</v>
      </c>
      <c r="AA22" s="525">
        <f t="shared" si="17"/>
        <v>2000</v>
      </c>
      <c r="AB22" s="525">
        <f t="shared" si="17"/>
        <v>2000</v>
      </c>
      <c r="AC22" s="525">
        <f t="shared" si="17"/>
        <v>2000</v>
      </c>
      <c r="AD22" s="525">
        <f t="shared" si="17"/>
        <v>2000</v>
      </c>
      <c r="AE22" s="525">
        <f t="shared" si="17"/>
        <v>2000</v>
      </c>
      <c r="AF22" s="525">
        <f t="shared" si="17"/>
        <v>2000</v>
      </c>
      <c r="AG22" s="525">
        <f t="shared" si="17"/>
        <v>2000</v>
      </c>
    </row>
    <row r="23" spans="1:33" x14ac:dyDescent="0.25">
      <c r="A23" s="488"/>
      <c r="B23" s="461"/>
      <c r="C23" s="491"/>
      <c r="D23" s="475" t="s">
        <v>981</v>
      </c>
      <c r="E23" s="476">
        <v>0</v>
      </c>
      <c r="F23" s="486">
        <f>E23/E$35</f>
        <v>0</v>
      </c>
      <c r="G23" s="461"/>
      <c r="H23" s="488"/>
      <c r="I23" s="461"/>
      <c r="J23" s="491"/>
      <c r="K23" s="466"/>
      <c r="L23" s="463"/>
      <c r="M23" s="486"/>
      <c r="N23" s="461"/>
      <c r="O23" s="582"/>
      <c r="P23" s="292" t="s">
        <v>560</v>
      </c>
      <c r="Q23" s="514">
        <f t="shared" si="4"/>
        <v>0</v>
      </c>
      <c r="R23" s="548">
        <v>0</v>
      </c>
      <c r="S23" s="548">
        <v>0</v>
      </c>
      <c r="T23" s="542">
        <f t="shared" si="17"/>
        <v>0</v>
      </c>
      <c r="U23" s="525">
        <f t="shared" si="17"/>
        <v>0</v>
      </c>
      <c r="V23" s="525">
        <f t="shared" si="17"/>
        <v>0</v>
      </c>
      <c r="W23" s="525">
        <f t="shared" si="17"/>
        <v>0</v>
      </c>
      <c r="X23" s="525">
        <f t="shared" si="17"/>
        <v>0</v>
      </c>
      <c r="Y23" s="525">
        <f t="shared" si="17"/>
        <v>0</v>
      </c>
      <c r="Z23" s="525">
        <f t="shared" si="17"/>
        <v>0</v>
      </c>
      <c r="AA23" s="525">
        <f t="shared" si="17"/>
        <v>0</v>
      </c>
      <c r="AB23" s="525">
        <f t="shared" si="17"/>
        <v>0</v>
      </c>
      <c r="AC23" s="525">
        <f t="shared" si="17"/>
        <v>0</v>
      </c>
      <c r="AD23" s="525">
        <f t="shared" si="17"/>
        <v>0</v>
      </c>
      <c r="AE23" s="525">
        <f t="shared" si="17"/>
        <v>0</v>
      </c>
      <c r="AF23" s="525">
        <f t="shared" si="17"/>
        <v>0</v>
      </c>
      <c r="AG23" s="525">
        <f t="shared" si="17"/>
        <v>0</v>
      </c>
    </row>
    <row r="24" spans="1:33" x14ac:dyDescent="0.25">
      <c r="A24" s="482" t="s">
        <v>568</v>
      </c>
      <c r="B24" s="464">
        <f>SUM(B25:B29)</f>
        <v>0</v>
      </c>
      <c r="C24" s="484">
        <f>B24/B35</f>
        <v>0</v>
      </c>
      <c r="D24" s="466"/>
      <c r="E24" s="463"/>
      <c r="F24" s="486"/>
      <c r="G24" s="461"/>
      <c r="H24" s="482" t="s">
        <v>568</v>
      </c>
      <c r="I24" s="464">
        <f>SUM(I25:I29)</f>
        <v>9672977</v>
      </c>
      <c r="J24" s="484">
        <f>I24/I35</f>
        <v>0.11764180674154513</v>
      </c>
      <c r="K24" s="466"/>
      <c r="L24" s="463"/>
      <c r="M24" s="486"/>
      <c r="N24" s="461"/>
      <c r="O24" s="291" t="s">
        <v>562</v>
      </c>
      <c r="P24" s="292" t="str">
        <f>O24</f>
        <v>Intereses</v>
      </c>
      <c r="Q24" s="514">
        <f t="shared" si="4"/>
        <v>0</v>
      </c>
      <c r="R24" s="548">
        <v>0</v>
      </c>
      <c r="S24" s="548">
        <v>0</v>
      </c>
      <c r="T24" s="542">
        <f t="shared" si="17"/>
        <v>0</v>
      </c>
      <c r="U24" s="525">
        <f t="shared" si="17"/>
        <v>0</v>
      </c>
      <c r="V24" s="525">
        <f t="shared" si="17"/>
        <v>0</v>
      </c>
      <c r="W24" s="525">
        <f t="shared" si="17"/>
        <v>0</v>
      </c>
      <c r="X24" s="525">
        <f t="shared" si="17"/>
        <v>0</v>
      </c>
      <c r="Y24" s="525">
        <f t="shared" si="17"/>
        <v>0</v>
      </c>
      <c r="Z24" s="525">
        <f t="shared" si="17"/>
        <v>0</v>
      </c>
      <c r="AA24" s="525">
        <f t="shared" si="17"/>
        <v>0</v>
      </c>
      <c r="AB24" s="525">
        <f t="shared" si="17"/>
        <v>0</v>
      </c>
      <c r="AC24" s="525">
        <f t="shared" si="17"/>
        <v>0</v>
      </c>
      <c r="AD24" s="525">
        <f t="shared" si="17"/>
        <v>0</v>
      </c>
      <c r="AE24" s="525">
        <f t="shared" si="17"/>
        <v>0</v>
      </c>
      <c r="AF24" s="525">
        <f t="shared" si="17"/>
        <v>0</v>
      </c>
      <c r="AG24" s="525">
        <f t="shared" si="17"/>
        <v>0</v>
      </c>
    </row>
    <row r="25" spans="1:33" ht="18.75" x14ac:dyDescent="0.3">
      <c r="A25" s="492" t="s">
        <v>518</v>
      </c>
      <c r="B25" s="471">
        <v>0</v>
      </c>
      <c r="C25" s="486">
        <f>B25/B35</f>
        <v>0</v>
      </c>
      <c r="D25" s="462" t="s">
        <v>565</v>
      </c>
      <c r="E25" s="464">
        <f>SUM(E26:E32)</f>
        <v>0</v>
      </c>
      <c r="F25" s="484">
        <f>E25/E$35</f>
        <v>0</v>
      </c>
      <c r="G25" s="461"/>
      <c r="H25" s="492" t="s">
        <v>518</v>
      </c>
      <c r="I25" s="471">
        <f>Q11</f>
        <v>2790</v>
      </c>
      <c r="J25" s="486">
        <f>I25/I35</f>
        <v>3.393170900839637E-5</v>
      </c>
      <c r="K25" s="462" t="s">
        <v>565</v>
      </c>
      <c r="L25" s="464">
        <f>SUM(L26:L32)</f>
        <v>7929852</v>
      </c>
      <c r="M25" s="484">
        <f>L25/L$35</f>
        <v>9.7689585855565156E-2</v>
      </c>
      <c r="N25" s="461"/>
      <c r="O25" s="307" t="s">
        <v>564</v>
      </c>
      <c r="P25" s="308"/>
      <c r="Q25" s="515">
        <f t="shared" si="4"/>
        <v>13237056</v>
      </c>
      <c r="R25" s="526">
        <f t="shared" ref="R25:AG25" si="18">SUM(R15:R24)</f>
        <v>5790771</v>
      </c>
      <c r="S25" s="526">
        <f t="shared" si="18"/>
        <v>496111</v>
      </c>
      <c r="T25" s="543">
        <f t="shared" si="18"/>
        <v>496441</v>
      </c>
      <c r="U25" s="526">
        <f t="shared" si="18"/>
        <v>496441</v>
      </c>
      <c r="V25" s="526">
        <f t="shared" si="18"/>
        <v>496441</v>
      </c>
      <c r="W25" s="526">
        <f t="shared" si="18"/>
        <v>496441</v>
      </c>
      <c r="X25" s="526">
        <f t="shared" si="18"/>
        <v>496441</v>
      </c>
      <c r="Y25" s="526">
        <f t="shared" si="18"/>
        <v>496441</v>
      </c>
      <c r="Z25" s="526">
        <f t="shared" si="18"/>
        <v>496441</v>
      </c>
      <c r="AA25" s="526">
        <f t="shared" si="18"/>
        <v>496441</v>
      </c>
      <c r="AB25" s="526">
        <f t="shared" si="18"/>
        <v>496441</v>
      </c>
      <c r="AC25" s="526">
        <f t="shared" si="18"/>
        <v>496441</v>
      </c>
      <c r="AD25" s="526">
        <f t="shared" si="18"/>
        <v>496441</v>
      </c>
      <c r="AE25" s="526">
        <f t="shared" si="18"/>
        <v>496441</v>
      </c>
      <c r="AF25" s="526">
        <f t="shared" si="18"/>
        <v>496441</v>
      </c>
      <c r="AG25" s="526">
        <f t="shared" si="18"/>
        <v>496441</v>
      </c>
    </row>
    <row r="26" spans="1:33" ht="18.75" x14ac:dyDescent="0.3">
      <c r="A26" s="492" t="s">
        <v>540</v>
      </c>
      <c r="B26" s="471">
        <v>0</v>
      </c>
      <c r="C26" s="486">
        <f>B26/B35</f>
        <v>0</v>
      </c>
      <c r="D26" s="475" t="s">
        <v>523</v>
      </c>
      <c r="E26" s="477">
        <v>0</v>
      </c>
      <c r="F26" s="486">
        <f t="shared" ref="F26:F32" si="19">E26/E$35</f>
        <v>0</v>
      </c>
      <c r="G26" s="461"/>
      <c r="H26" s="492" t="s">
        <v>540</v>
      </c>
      <c r="I26" s="471">
        <f>Q12</f>
        <v>0</v>
      </c>
      <c r="J26" s="486">
        <f>I26/I35</f>
        <v>0</v>
      </c>
      <c r="K26" s="475" t="s">
        <v>523</v>
      </c>
      <c r="L26" s="477">
        <f>Q17</f>
        <v>0</v>
      </c>
      <c r="M26" s="486">
        <f t="shared" ref="M26:M32" si="20">L26/L$35</f>
        <v>0</v>
      </c>
      <c r="N26" s="461"/>
      <c r="O26" s="311" t="s">
        <v>566</v>
      </c>
      <c r="P26" s="311"/>
      <c r="Q26" s="516">
        <f t="shared" ref="Q26:AG26" si="21">Q5+Q14-Q25</f>
        <v>2819326</v>
      </c>
      <c r="R26" s="521">
        <f t="shared" si="21"/>
        <v>768096</v>
      </c>
      <c r="S26" s="521">
        <f t="shared" si="21"/>
        <v>1014515</v>
      </c>
      <c r="T26" s="544">
        <f t="shared" si="21"/>
        <v>978514</v>
      </c>
      <c r="U26" s="521">
        <f t="shared" si="21"/>
        <v>905038</v>
      </c>
      <c r="V26" s="521">
        <f t="shared" si="21"/>
        <v>1368562</v>
      </c>
      <c r="W26" s="521">
        <f t="shared" si="21"/>
        <v>1304086</v>
      </c>
      <c r="X26" s="521">
        <f t="shared" si="21"/>
        <v>1771610</v>
      </c>
      <c r="Y26" s="521">
        <f t="shared" si="21"/>
        <v>2241134</v>
      </c>
      <c r="Z26" s="521">
        <f t="shared" si="21"/>
        <v>2632658</v>
      </c>
      <c r="AA26" s="521">
        <f t="shared" si="21"/>
        <v>2496182</v>
      </c>
      <c r="AB26" s="521">
        <f t="shared" si="21"/>
        <v>2891706</v>
      </c>
      <c r="AC26" s="521">
        <f t="shared" si="21"/>
        <v>2759230</v>
      </c>
      <c r="AD26" s="521">
        <f t="shared" si="21"/>
        <v>3158754</v>
      </c>
      <c r="AE26" s="521">
        <f t="shared" si="21"/>
        <v>3030278</v>
      </c>
      <c r="AF26" s="521">
        <f t="shared" si="21"/>
        <v>2923802</v>
      </c>
      <c r="AG26" s="521">
        <f t="shared" si="21"/>
        <v>2819326</v>
      </c>
    </row>
    <row r="27" spans="1:33" x14ac:dyDescent="0.25">
      <c r="A27" s="492" t="s">
        <v>525</v>
      </c>
      <c r="B27" s="471">
        <v>0</v>
      </c>
      <c r="C27" s="486">
        <f>B27/B35</f>
        <v>0</v>
      </c>
      <c r="D27" s="475" t="s">
        <v>567</v>
      </c>
      <c r="E27" s="477">
        <v>0</v>
      </c>
      <c r="F27" s="486">
        <f t="shared" si="19"/>
        <v>0</v>
      </c>
      <c r="G27" s="461"/>
      <c r="H27" s="492" t="s">
        <v>525</v>
      </c>
      <c r="I27" s="471">
        <f>Q6</f>
        <v>4674891</v>
      </c>
      <c r="J27" s="486">
        <f>I27/I35</f>
        <v>5.685557027167424E-2</v>
      </c>
      <c r="K27" s="475" t="s">
        <v>567</v>
      </c>
      <c r="L27" s="477">
        <f>Q15</f>
        <v>5867014</v>
      </c>
      <c r="M27" s="486">
        <f t="shared" si="20"/>
        <v>7.2277032139919234E-2</v>
      </c>
      <c r="N27" s="461"/>
      <c r="O27" s="312"/>
      <c r="P27" s="312"/>
      <c r="Q27" s="517"/>
      <c r="R27" s="527">
        <f>R1+7</f>
        <v>44100</v>
      </c>
      <c r="S27" s="527">
        <f t="shared" ref="S27:AG27" si="22">R27+7</f>
        <v>44107</v>
      </c>
      <c r="T27" s="545">
        <f t="shared" si="22"/>
        <v>44114</v>
      </c>
      <c r="U27" s="527">
        <f t="shared" si="22"/>
        <v>44121</v>
      </c>
      <c r="V27" s="527">
        <f t="shared" si="22"/>
        <v>44128</v>
      </c>
      <c r="W27" s="527">
        <f t="shared" si="22"/>
        <v>44135</v>
      </c>
      <c r="X27" s="527">
        <f t="shared" si="22"/>
        <v>44142</v>
      </c>
      <c r="Y27" s="527">
        <f t="shared" si="22"/>
        <v>44149</v>
      </c>
      <c r="Z27" s="527">
        <f t="shared" si="22"/>
        <v>44156</v>
      </c>
      <c r="AA27" s="527">
        <f t="shared" si="22"/>
        <v>44163</v>
      </c>
      <c r="AB27" s="527">
        <f t="shared" si="22"/>
        <v>44170</v>
      </c>
      <c r="AC27" s="527">
        <f t="shared" si="22"/>
        <v>44177</v>
      </c>
      <c r="AD27" s="527">
        <f t="shared" si="22"/>
        <v>44184</v>
      </c>
      <c r="AE27" s="527">
        <f t="shared" si="22"/>
        <v>44191</v>
      </c>
      <c r="AF27" s="527">
        <f t="shared" si="22"/>
        <v>44198</v>
      </c>
      <c r="AG27" s="527">
        <f t="shared" si="22"/>
        <v>44205</v>
      </c>
    </row>
    <row r="28" spans="1:33" x14ac:dyDescent="0.25">
      <c r="A28" s="492" t="s">
        <v>527</v>
      </c>
      <c r="B28" s="471">
        <v>0</v>
      </c>
      <c r="C28" s="486">
        <f>B28/B35</f>
        <v>0</v>
      </c>
      <c r="D28" s="475" t="s">
        <v>549</v>
      </c>
      <c r="E28" s="477">
        <v>0</v>
      </c>
      <c r="F28" s="486">
        <f t="shared" si="19"/>
        <v>0</v>
      </c>
      <c r="G28" s="461"/>
      <c r="H28" s="492" t="s">
        <v>527</v>
      </c>
      <c r="I28" s="471">
        <f>Q7</f>
        <v>2687660</v>
      </c>
      <c r="J28" s="486">
        <f>I28/I35</f>
        <v>3.2687059868640359E-2</v>
      </c>
      <c r="K28" s="475" t="s">
        <v>549</v>
      </c>
      <c r="L28" s="477">
        <f>Q16</f>
        <v>666358</v>
      </c>
      <c r="M28" s="486">
        <f t="shared" si="20"/>
        <v>8.2090103385968217E-3</v>
      </c>
      <c r="N28" s="461"/>
      <c r="O28" s="315"/>
      <c r="P28" s="315"/>
      <c r="Q28" s="315"/>
      <c r="R28" s="315"/>
      <c r="S28" s="549"/>
      <c r="T28" s="257"/>
      <c r="U28" s="257"/>
      <c r="V28" s="257"/>
      <c r="W28" s="257"/>
      <c r="X28" s="257"/>
      <c r="Y28" s="257"/>
      <c r="Z28" s="257"/>
      <c r="AA28" s="257"/>
      <c r="AB28" s="257"/>
      <c r="AC28" s="257"/>
      <c r="AD28" s="257"/>
      <c r="AE28" s="257"/>
      <c r="AF28" s="257"/>
      <c r="AG28" s="257"/>
    </row>
    <row r="29" spans="1:33" x14ac:dyDescent="0.25">
      <c r="A29" s="493" t="s">
        <v>534</v>
      </c>
      <c r="B29" s="472">
        <v>0</v>
      </c>
      <c r="C29" s="486">
        <f>B29/B35</f>
        <v>0</v>
      </c>
      <c r="D29" s="475" t="s">
        <v>553</v>
      </c>
      <c r="E29" s="477">
        <v>0</v>
      </c>
      <c r="F29" s="486">
        <f t="shared" si="19"/>
        <v>0</v>
      </c>
      <c r="G29" s="461"/>
      <c r="H29" s="493" t="s">
        <v>534</v>
      </c>
      <c r="I29" s="472">
        <f>Q10</f>
        <v>2307636</v>
      </c>
      <c r="J29" s="486">
        <f>I29/I35</f>
        <v>2.806524489222214E-2</v>
      </c>
      <c r="K29" s="475" t="s">
        <v>553</v>
      </c>
      <c r="L29" s="477">
        <f>Q18</f>
        <v>1044480</v>
      </c>
      <c r="M29" s="486">
        <f t="shared" si="20"/>
        <v>1.2867178181184302E-2</v>
      </c>
      <c r="N29" s="461"/>
      <c r="O29" s="316"/>
      <c r="P29" s="505"/>
      <c r="Q29" s="531" t="s">
        <v>545</v>
      </c>
      <c r="R29" s="532">
        <v>24</v>
      </c>
      <c r="S29" s="550">
        <v>25</v>
      </c>
      <c r="T29" s="532">
        <v>26</v>
      </c>
      <c r="U29" s="532"/>
      <c r="V29" s="532"/>
      <c r="W29" s="532"/>
      <c r="X29" s="532"/>
      <c r="Y29" s="532"/>
      <c r="Z29" s="532"/>
      <c r="AA29" s="532"/>
      <c r="AB29" s="532"/>
      <c r="AC29" s="532"/>
      <c r="AD29" s="532"/>
      <c r="AE29" s="532"/>
      <c r="AF29" s="532"/>
      <c r="AG29" s="532"/>
    </row>
    <row r="30" spans="1:33" x14ac:dyDescent="0.25">
      <c r="A30" s="488"/>
      <c r="B30" s="461"/>
      <c r="C30" s="491"/>
      <c r="D30" s="475" t="s">
        <v>556</v>
      </c>
      <c r="E30" s="477">
        <v>0</v>
      </c>
      <c r="F30" s="486">
        <f t="shared" si="19"/>
        <v>0</v>
      </c>
      <c r="G30" s="461"/>
      <c r="H30" s="488"/>
      <c r="I30" s="461"/>
      <c r="J30" s="491"/>
      <c r="K30" s="475" t="s">
        <v>556</v>
      </c>
      <c r="L30" s="477">
        <f>Q19</f>
        <v>320000</v>
      </c>
      <c r="M30" s="486">
        <f t="shared" si="20"/>
        <v>3.9421501780589159E-3</v>
      </c>
      <c r="N30" s="461"/>
      <c r="O30" s="41"/>
      <c r="P30" s="583"/>
      <c r="Q30" s="533" t="s">
        <v>127</v>
      </c>
      <c r="R30" s="532">
        <v>2774010</v>
      </c>
      <c r="S30" s="550">
        <v>2840420</v>
      </c>
      <c r="T30" s="532">
        <v>2900590</v>
      </c>
      <c r="U30" s="532"/>
      <c r="V30" s="532"/>
      <c r="W30" s="532"/>
      <c r="X30" s="532"/>
      <c r="Y30" s="532"/>
      <c r="Z30" s="532"/>
      <c r="AA30" s="532"/>
      <c r="AB30" s="532"/>
      <c r="AC30" s="532"/>
      <c r="AD30" s="532"/>
      <c r="AE30" s="532"/>
      <c r="AF30" s="532"/>
      <c r="AG30" s="532"/>
    </row>
    <row r="31" spans="1:33" x14ac:dyDescent="0.25">
      <c r="A31" s="482" t="s">
        <v>987</v>
      </c>
      <c r="B31" s="464">
        <f>B32+B33-B34</f>
        <v>3697026</v>
      </c>
      <c r="C31" s="484">
        <f>B31/B35</f>
        <v>5.4868996095085457E-2</v>
      </c>
      <c r="D31" s="475" t="s">
        <v>559</v>
      </c>
      <c r="E31" s="477">
        <v>0</v>
      </c>
      <c r="F31" s="486">
        <f t="shared" si="19"/>
        <v>0</v>
      </c>
      <c r="G31" s="461"/>
      <c r="H31" s="482" t="s">
        <v>987</v>
      </c>
      <c r="I31" s="464">
        <f>I32+I33</f>
        <v>2819326</v>
      </c>
      <c r="J31" s="484">
        <f>I31/I35</f>
        <v>3.4288368971973515E-2</v>
      </c>
      <c r="K31" s="475" t="s">
        <v>559</v>
      </c>
      <c r="L31" s="477">
        <f>Q22</f>
        <v>32000</v>
      </c>
      <c r="M31" s="486">
        <f t="shared" si="20"/>
        <v>3.9421501780589159E-4</v>
      </c>
      <c r="N31" s="461"/>
      <c r="O31" s="41"/>
      <c r="P31" s="583"/>
      <c r="Q31" s="533" t="s">
        <v>468</v>
      </c>
      <c r="R31" s="532">
        <v>366802</v>
      </c>
      <c r="S31" s="550">
        <v>367132</v>
      </c>
      <c r="T31" s="532">
        <v>367402</v>
      </c>
      <c r="U31" s="532"/>
      <c r="V31" s="532"/>
      <c r="W31" s="532"/>
      <c r="X31" s="532"/>
      <c r="Y31" s="532"/>
      <c r="Z31" s="532"/>
      <c r="AA31" s="532"/>
      <c r="AB31" s="532"/>
      <c r="AC31" s="532"/>
      <c r="AD31" s="532"/>
      <c r="AE31" s="532"/>
      <c r="AF31" s="532"/>
      <c r="AG31" s="532"/>
    </row>
    <row r="32" spans="1:33" x14ac:dyDescent="0.25">
      <c r="A32" s="492" t="s">
        <v>980</v>
      </c>
      <c r="B32" s="471">
        <v>3697026</v>
      </c>
      <c r="C32" s="486">
        <f>B32/B35</f>
        <v>5.4868996095085457E-2</v>
      </c>
      <c r="D32" s="475" t="s">
        <v>562</v>
      </c>
      <c r="E32" s="477">
        <v>0</v>
      </c>
      <c r="F32" s="486">
        <f t="shared" si="19"/>
        <v>0</v>
      </c>
      <c r="G32" s="461"/>
      <c r="H32" s="492" t="s">
        <v>987</v>
      </c>
      <c r="I32" s="471">
        <f>B32</f>
        <v>3697026</v>
      </c>
      <c r="J32" s="486">
        <f>I32/I35</f>
        <v>4.4962871121317423E-2</v>
      </c>
      <c r="K32" s="475" t="s">
        <v>562</v>
      </c>
      <c r="L32" s="477">
        <f>Q24</f>
        <v>0</v>
      </c>
      <c r="M32" s="486">
        <f t="shared" si="20"/>
        <v>0</v>
      </c>
      <c r="N32" s="461"/>
      <c r="O32" s="41"/>
      <c r="P32" s="583"/>
      <c r="Q32" s="533" t="s">
        <v>384</v>
      </c>
      <c r="R32" s="532">
        <v>2193630</v>
      </c>
      <c r="S32" s="550">
        <v>2281980</v>
      </c>
      <c r="T32" s="532">
        <v>2332770</v>
      </c>
      <c r="U32" s="532"/>
      <c r="V32" s="532"/>
      <c r="W32" s="532"/>
      <c r="X32" s="532"/>
      <c r="Y32" s="532"/>
      <c r="Z32" s="532"/>
      <c r="AA32" s="532"/>
      <c r="AB32" s="532"/>
      <c r="AC32" s="532"/>
      <c r="AD32" s="532"/>
      <c r="AE32" s="532"/>
      <c r="AF32" s="532"/>
      <c r="AG32" s="532"/>
    </row>
    <row r="33" spans="1:33" x14ac:dyDescent="0.25">
      <c r="A33" s="490"/>
      <c r="B33" s="481"/>
      <c r="C33" s="499"/>
      <c r="D33" s="466"/>
      <c r="E33" s="463"/>
      <c r="F33" s="486"/>
      <c r="G33" s="461"/>
      <c r="H33" s="530" t="s">
        <v>990</v>
      </c>
      <c r="I33" s="471">
        <f>Q26-I32</f>
        <v>-877700</v>
      </c>
      <c r="J33" s="529">
        <f>I33/I35</f>
        <v>-1.0674502149343906E-2</v>
      </c>
      <c r="K33" s="466"/>
      <c r="L33" s="463"/>
      <c r="M33" s="486"/>
      <c r="N33" s="461"/>
      <c r="O33" s="41"/>
      <c r="P33" s="583"/>
      <c r="Q33" s="533" t="s">
        <v>385</v>
      </c>
      <c r="R33" s="532">
        <v>245364</v>
      </c>
      <c r="S33" s="550">
        <v>244144</v>
      </c>
      <c r="T33" s="532">
        <v>244144</v>
      </c>
      <c r="U33" s="532"/>
      <c r="V33" s="532"/>
      <c r="W33" s="532"/>
      <c r="X33" s="532"/>
      <c r="Y33" s="532"/>
      <c r="Z33" s="532"/>
      <c r="AA33" s="532"/>
      <c r="AB33" s="532"/>
      <c r="AC33" s="532"/>
      <c r="AD33" s="532"/>
      <c r="AE33" s="532"/>
      <c r="AF33" s="532"/>
      <c r="AG33" s="532"/>
    </row>
    <row r="34" spans="1:33" x14ac:dyDescent="0.25">
      <c r="A34" s="490"/>
      <c r="B34" s="481"/>
      <c r="C34" s="499"/>
      <c r="D34" s="466"/>
      <c r="E34" s="463"/>
      <c r="F34" s="486"/>
      <c r="G34" s="461"/>
      <c r="H34" s="490"/>
      <c r="I34" s="481"/>
      <c r="J34" s="499"/>
      <c r="K34" s="466"/>
      <c r="L34" s="463"/>
      <c r="M34" s="486"/>
      <c r="N34" s="461"/>
      <c r="O34" s="41"/>
      <c r="P34" s="583"/>
      <c r="Q34" s="533" t="s">
        <v>389</v>
      </c>
      <c r="R34" s="534" t="s">
        <v>992</v>
      </c>
      <c r="S34" s="551" t="s">
        <v>993</v>
      </c>
      <c r="T34" s="534" t="s">
        <v>994</v>
      </c>
      <c r="U34" s="534"/>
      <c r="V34" s="534"/>
      <c r="W34" s="534"/>
      <c r="X34" s="534"/>
      <c r="Y34" s="534"/>
      <c r="Z34" s="534"/>
      <c r="AA34" s="534"/>
      <c r="AB34" s="534"/>
      <c r="AC34" s="534"/>
      <c r="AD34" s="534"/>
      <c r="AE34" s="534"/>
      <c r="AF34" s="534"/>
      <c r="AG34" s="534"/>
    </row>
    <row r="35" spans="1:33" ht="18.75" x14ac:dyDescent="0.3">
      <c r="A35" s="494" t="s">
        <v>581</v>
      </c>
      <c r="B35" s="495">
        <f>B24+B21+B15+B5+B10+B31</f>
        <v>67379144.200000003</v>
      </c>
      <c r="C35" s="497">
        <f>C24+C21+C15+C5+C10+C31</f>
        <v>0.99999999999999989</v>
      </c>
      <c r="D35" s="496" t="s">
        <v>581</v>
      </c>
      <c r="E35" s="495">
        <f>E5+E10+E21+E25</f>
        <v>67379144</v>
      </c>
      <c r="F35" s="497">
        <f>F25+F21+F10+F5</f>
        <v>1</v>
      </c>
      <c r="G35" s="461"/>
      <c r="H35" s="494" t="s">
        <v>581</v>
      </c>
      <c r="I35" s="495">
        <f>I24+I21+I15+I5+I10+I31</f>
        <v>82223975.200000003</v>
      </c>
      <c r="J35" s="497">
        <f>J24+J21+J15+J5+J10+J31</f>
        <v>0.99999999999999989</v>
      </c>
      <c r="K35" s="496" t="s">
        <v>581</v>
      </c>
      <c r="L35" s="495">
        <f>L5+L10+L21+L25</f>
        <v>81173975</v>
      </c>
      <c r="M35" s="497">
        <f>M25+M21+M10+M5</f>
        <v>1</v>
      </c>
      <c r="N35" s="461"/>
      <c r="O35" s="41"/>
      <c r="P35" s="583"/>
      <c r="Q35" s="533" t="s">
        <v>582</v>
      </c>
      <c r="R35" s="535">
        <v>6.75</v>
      </c>
      <c r="S35" s="552">
        <v>6.75</v>
      </c>
      <c r="T35" s="535">
        <v>6.75</v>
      </c>
      <c r="U35" s="535"/>
      <c r="V35" s="535"/>
      <c r="W35" s="535"/>
      <c r="X35" s="535"/>
      <c r="Y35" s="535"/>
      <c r="Z35" s="535"/>
      <c r="AA35" s="535"/>
      <c r="AB35" s="535"/>
      <c r="AC35" s="535"/>
      <c r="AD35" s="535"/>
      <c r="AE35" s="535"/>
      <c r="AF35" s="535"/>
      <c r="AG35" s="535"/>
    </row>
    <row r="36" spans="1:33" x14ac:dyDescent="0.25">
      <c r="A36" s="461"/>
      <c r="B36" s="461"/>
      <c r="C36" s="461"/>
      <c r="D36" s="461"/>
      <c r="E36" s="461"/>
      <c r="F36" s="461"/>
      <c r="G36" s="461"/>
      <c r="H36" s="461"/>
      <c r="I36" s="461"/>
      <c r="J36" s="461"/>
      <c r="K36" s="461"/>
      <c r="L36" s="461"/>
      <c r="M36" s="461"/>
      <c r="N36" s="461"/>
      <c r="O36" s="41"/>
      <c r="P36" s="583"/>
      <c r="Q36" s="533" t="s">
        <v>386</v>
      </c>
      <c r="R36" s="535">
        <v>5.75</v>
      </c>
      <c r="S36" s="552">
        <v>6</v>
      </c>
      <c r="T36" s="553">
        <v>6</v>
      </c>
      <c r="U36" s="535"/>
      <c r="V36" s="535"/>
      <c r="W36" s="535"/>
      <c r="X36" s="535"/>
      <c r="Y36" s="535"/>
      <c r="Z36" s="535"/>
      <c r="AA36" s="535"/>
      <c r="AB36" s="535"/>
      <c r="AC36" s="535"/>
      <c r="AD36" s="535"/>
      <c r="AE36" s="535"/>
      <c r="AF36" s="535"/>
      <c r="AG36" s="535"/>
    </row>
    <row r="37" spans="1:33" x14ac:dyDescent="0.25">
      <c r="E37" s="277"/>
      <c r="O37" s="41"/>
      <c r="P37" s="583"/>
      <c r="Q37" s="533" t="s">
        <v>583</v>
      </c>
      <c r="R37" s="535">
        <v>7.25</v>
      </c>
      <c r="S37" s="552">
        <v>7.25</v>
      </c>
      <c r="T37" s="553">
        <v>7.5</v>
      </c>
      <c r="U37" s="535"/>
      <c r="V37" s="535"/>
      <c r="W37" s="535"/>
      <c r="X37" s="535"/>
      <c r="Y37" s="535"/>
      <c r="Z37" s="535"/>
      <c r="AA37" s="535"/>
      <c r="AB37" s="535"/>
      <c r="AC37" s="535"/>
      <c r="AD37" s="535"/>
      <c r="AE37" s="535"/>
      <c r="AF37" s="535"/>
      <c r="AG37" s="535"/>
    </row>
    <row r="38" spans="1:33" x14ac:dyDescent="0.25">
      <c r="I38" s="277"/>
      <c r="L38" s="277"/>
      <c r="O38" s="41"/>
      <c r="P38" s="506"/>
      <c r="Q38" s="536" t="s">
        <v>584</v>
      </c>
      <c r="R38" s="537">
        <f t="shared" ref="R38:T38" si="23">R30/R31</f>
        <v>7.5626904978707863</v>
      </c>
      <c r="S38" s="537">
        <f t="shared" si="23"/>
        <v>7.7367813211596923</v>
      </c>
      <c r="T38" s="537">
        <f t="shared" si="23"/>
        <v>7.8948672026826205</v>
      </c>
      <c r="U38" s="537"/>
      <c r="V38" s="537"/>
      <c r="W38" s="537"/>
      <c r="X38" s="537"/>
      <c r="Y38" s="537"/>
      <c r="Z38" s="537"/>
      <c r="AA38" s="537"/>
      <c r="AB38" s="537"/>
      <c r="AC38" s="537"/>
      <c r="AD38" s="537"/>
      <c r="AE38" s="537"/>
      <c r="AF38" s="537"/>
      <c r="AG38" s="537"/>
    </row>
    <row r="39" spans="1:33" x14ac:dyDescent="0.25">
      <c r="I39" s="277"/>
      <c r="L39" s="277"/>
      <c r="P39" s="458"/>
    </row>
    <row r="40" spans="1:33" x14ac:dyDescent="0.25">
      <c r="L40" s="277"/>
    </row>
    <row r="41" spans="1:33" x14ac:dyDescent="0.25">
      <c r="L41" s="277"/>
    </row>
  </sheetData>
  <mergeCells count="11">
    <mergeCell ref="O11:O13"/>
    <mergeCell ref="O21:O23"/>
    <mergeCell ref="P30:P37"/>
    <mergeCell ref="D3:E3"/>
    <mergeCell ref="A1:F1"/>
    <mergeCell ref="A2:F2"/>
    <mergeCell ref="A3:B3"/>
    <mergeCell ref="H1:M1"/>
    <mergeCell ref="H2:M2"/>
    <mergeCell ref="H3:I3"/>
    <mergeCell ref="K3:L3"/>
  </mergeCells>
  <conditionalFormatting sqref="E11:E16">
    <cfRule type="cellIs" dxfId="35" priority="13" operator="lessThan">
      <formula>0</formula>
    </cfRule>
  </conditionalFormatting>
  <conditionalFormatting sqref="E11:E16">
    <cfRule type="cellIs" dxfId="34" priority="14" operator="greaterThan">
      <formula>0</formula>
    </cfRule>
  </conditionalFormatting>
  <conditionalFormatting sqref="L11:L16">
    <cfRule type="cellIs" dxfId="33" priority="9" operator="lessThan">
      <formula>0</formula>
    </cfRule>
  </conditionalFormatting>
  <conditionalFormatting sqref="L11:L16">
    <cfRule type="cellIs" dxfId="32" priority="10" operator="greaterThan">
      <formula>0</formula>
    </cfRule>
  </conditionalFormatting>
  <conditionalFormatting sqref="I33">
    <cfRule type="cellIs" dxfId="31" priority="7" operator="lessThan">
      <formula>0</formula>
    </cfRule>
    <cfRule type="cellIs" dxfId="30" priority="8" operator="greaterThan">
      <formula>0</formula>
    </cfRule>
  </conditionalFormatting>
  <conditionalFormatting sqref="J33">
    <cfRule type="cellIs" dxfId="29" priority="5" operator="lessThan">
      <formula>0</formula>
    </cfRule>
    <cfRule type="cellIs" dxfId="28" priority="6" operator="greaterThan">
      <formula>0</formula>
    </cfRule>
  </conditionalFormatting>
  <conditionalFormatting sqref="M11:M16">
    <cfRule type="cellIs" dxfId="27" priority="1" operator="lessThan">
      <formula>0</formula>
    </cfRule>
    <cfRule type="cellIs" dxfId="26" priority="2" operator="greaterThan">
      <formula>0</formula>
    </cfRule>
  </conditionalFormatting>
  <pageMargins left="0.7" right="0.7" top="0.75" bottom="0.75" header="0.3" footer="0.3"/>
  <pageSetup paperSize="9" fitToWidth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ABF8F"/>
  </sheetPr>
  <dimension ref="A1:AL120"/>
  <sheetViews>
    <sheetView zoomScale="80" workbookViewId="0">
      <pane xSplit="13" ySplit="1" topLeftCell="V2" activePane="bottomRight" state="frozen"/>
      <selection pane="topRight"/>
      <selection pane="bottomLeft"/>
      <selection pane="bottomRight" activeCell="K1" sqref="K1:AC38"/>
    </sheetView>
  </sheetViews>
  <sheetFormatPr baseColWidth="10" defaultColWidth="10.7109375" defaultRowHeight="15" x14ac:dyDescent="0.25"/>
  <cols>
    <col min="1" max="1" width="15.42578125" customWidth="1"/>
    <col min="2" max="2" width="9.7109375" customWidth="1"/>
    <col min="3" max="3" width="6.42578125" customWidth="1"/>
    <col min="4" max="4" width="16.28515625" customWidth="1"/>
    <col min="5" max="5" width="18" customWidth="1"/>
    <col min="6" max="6" width="7.28515625" customWidth="1"/>
    <col min="7" max="7" width="17" customWidth="1"/>
    <col min="8" max="8" width="18" customWidth="1"/>
    <col min="9" max="9" width="6.5703125" customWidth="1"/>
    <col min="10" max="10" width="5" customWidth="1"/>
    <col min="11" max="11" width="23" customWidth="1"/>
    <col min="12" max="12" width="17.42578125" customWidth="1"/>
    <col min="13" max="30" width="18" customWidth="1"/>
  </cols>
  <sheetData>
    <row r="1" spans="1:37" ht="21" x14ac:dyDescent="0.35">
      <c r="A1" s="239"/>
      <c r="B1" s="239"/>
      <c r="C1" s="239"/>
      <c r="D1" s="599" t="s">
        <v>497</v>
      </c>
      <c r="E1" s="600"/>
      <c r="F1" s="600"/>
      <c r="G1" s="600"/>
      <c r="H1" s="600"/>
      <c r="I1" s="601"/>
      <c r="K1" s="239"/>
      <c r="L1" s="239"/>
      <c r="M1" s="239"/>
      <c r="N1" s="240">
        <v>43757</v>
      </c>
      <c r="O1" s="240">
        <f t="shared" ref="O1:AC1" si="0">N1+7</f>
        <v>43764</v>
      </c>
      <c r="P1" s="240">
        <f t="shared" si="0"/>
        <v>43771</v>
      </c>
      <c r="Q1" s="240">
        <f t="shared" si="0"/>
        <v>43778</v>
      </c>
      <c r="R1" s="240">
        <f t="shared" si="0"/>
        <v>43785</v>
      </c>
      <c r="S1" s="240">
        <f t="shared" si="0"/>
        <v>43792</v>
      </c>
      <c r="T1" s="240">
        <f t="shared" si="0"/>
        <v>43799</v>
      </c>
      <c r="U1" s="240">
        <f t="shared" si="0"/>
        <v>43806</v>
      </c>
      <c r="V1" s="240">
        <f t="shared" si="0"/>
        <v>43813</v>
      </c>
      <c r="W1" s="240">
        <f t="shared" si="0"/>
        <v>43820</v>
      </c>
      <c r="X1" s="240">
        <f t="shared" si="0"/>
        <v>43827</v>
      </c>
      <c r="Y1" s="240">
        <f t="shared" si="0"/>
        <v>43834</v>
      </c>
      <c r="Z1" s="240">
        <f t="shared" si="0"/>
        <v>43841</v>
      </c>
      <c r="AA1" s="240">
        <f t="shared" si="0"/>
        <v>43848</v>
      </c>
      <c r="AB1" s="240">
        <f t="shared" si="0"/>
        <v>43855</v>
      </c>
      <c r="AC1" s="240">
        <f t="shared" si="0"/>
        <v>43862</v>
      </c>
    </row>
    <row r="2" spans="1:37" x14ac:dyDescent="0.25">
      <c r="A2" s="43"/>
      <c r="B2" s="43"/>
      <c r="C2" s="43"/>
      <c r="D2" s="602" t="s">
        <v>498</v>
      </c>
      <c r="E2" s="603"/>
      <c r="F2" s="604"/>
      <c r="G2" s="604"/>
      <c r="H2" s="604"/>
      <c r="I2" s="605"/>
      <c r="K2" s="43"/>
      <c r="L2" s="43"/>
      <c r="M2" s="43" t="s">
        <v>499</v>
      </c>
      <c r="N2" s="408" t="s">
        <v>500</v>
      </c>
      <c r="O2" s="242" t="s">
        <v>501</v>
      </c>
      <c r="P2" s="242" t="s">
        <v>502</v>
      </c>
      <c r="Q2" s="242" t="s">
        <v>503</v>
      </c>
      <c r="R2" s="242" t="s">
        <v>504</v>
      </c>
      <c r="S2" s="242" t="s">
        <v>505</v>
      </c>
      <c r="T2" s="242" t="s">
        <v>506</v>
      </c>
      <c r="U2" s="242" t="s">
        <v>507</v>
      </c>
      <c r="V2" s="242" t="s">
        <v>508</v>
      </c>
      <c r="W2" s="242" t="s">
        <v>509</v>
      </c>
      <c r="X2" s="242" t="s">
        <v>510</v>
      </c>
      <c r="Y2" s="242" t="s">
        <v>511</v>
      </c>
      <c r="Z2" s="242" t="s">
        <v>512</v>
      </c>
      <c r="AA2" s="242" t="s">
        <v>513</v>
      </c>
      <c r="AB2" s="242" t="s">
        <v>514</v>
      </c>
      <c r="AC2" s="242" t="s">
        <v>515</v>
      </c>
    </row>
    <row r="3" spans="1:37" ht="18.75" x14ac:dyDescent="0.3">
      <c r="A3" s="41"/>
      <c r="B3" s="41"/>
      <c r="C3" s="41"/>
      <c r="D3" s="606" t="s">
        <v>516</v>
      </c>
      <c r="E3" s="607"/>
      <c r="F3" s="243"/>
      <c r="G3" s="608" t="s">
        <v>517</v>
      </c>
      <c r="H3" s="609"/>
      <c r="I3" s="244"/>
      <c r="K3" s="41"/>
      <c r="L3" s="90"/>
      <c r="M3" s="90" t="s">
        <v>518</v>
      </c>
      <c r="N3" s="409">
        <v>2101</v>
      </c>
      <c r="O3" s="246">
        <f t="shared" ref="O3:AC3" si="1">N3+N11/30</f>
        <v>2105</v>
      </c>
      <c r="P3" s="246">
        <f t="shared" si="1"/>
        <v>2113</v>
      </c>
      <c r="Q3" s="246">
        <f t="shared" si="1"/>
        <v>2123</v>
      </c>
      <c r="R3" s="246">
        <f t="shared" si="1"/>
        <v>2133</v>
      </c>
      <c r="S3" s="246">
        <f t="shared" si="1"/>
        <v>2142</v>
      </c>
      <c r="T3" s="246">
        <f t="shared" si="1"/>
        <v>2152</v>
      </c>
      <c r="U3" s="246">
        <f t="shared" si="1"/>
        <v>2160</v>
      </c>
      <c r="V3" s="246">
        <f t="shared" si="1"/>
        <v>2168</v>
      </c>
      <c r="W3" s="246">
        <f t="shared" si="1"/>
        <v>2176</v>
      </c>
      <c r="X3" s="246">
        <f t="shared" si="1"/>
        <v>2184</v>
      </c>
      <c r="Y3" s="246">
        <f t="shared" si="1"/>
        <v>2192</v>
      </c>
      <c r="Z3" s="246">
        <f t="shared" si="1"/>
        <v>2200</v>
      </c>
      <c r="AA3" s="246">
        <f t="shared" si="1"/>
        <v>2206</v>
      </c>
      <c r="AB3" s="246">
        <f t="shared" si="1"/>
        <v>2212</v>
      </c>
      <c r="AC3" s="246">
        <f t="shared" si="1"/>
        <v>2220</v>
      </c>
    </row>
    <row r="4" spans="1:37" ht="18.75" x14ac:dyDescent="0.3">
      <c r="A4" s="41"/>
      <c r="B4" s="41"/>
      <c r="C4" s="41"/>
      <c r="D4" s="247"/>
      <c r="E4" s="248"/>
      <c r="F4" s="249"/>
      <c r="G4" s="250"/>
      <c r="H4" s="249"/>
      <c r="I4" s="251"/>
      <c r="K4" s="252" t="s">
        <v>519</v>
      </c>
      <c r="L4" s="252"/>
      <c r="M4" s="253">
        <f>AD43-AD52</f>
        <v>11299694</v>
      </c>
      <c r="N4" s="416">
        <f>M4</f>
        <v>11299694</v>
      </c>
      <c r="O4" s="254">
        <f t="shared" ref="O4:AC4" si="2">N4-N13+N23</f>
        <v>10799694</v>
      </c>
      <c r="P4" s="254">
        <f t="shared" si="2"/>
        <v>10299694</v>
      </c>
      <c r="Q4" s="254">
        <f t="shared" si="2"/>
        <v>9799694</v>
      </c>
      <c r="R4" s="254">
        <f t="shared" si="2"/>
        <v>9299694</v>
      </c>
      <c r="S4" s="254">
        <f t="shared" si="2"/>
        <v>8799694</v>
      </c>
      <c r="T4" s="254">
        <f t="shared" si="2"/>
        <v>8299694</v>
      </c>
      <c r="U4" s="254">
        <f t="shared" si="2"/>
        <v>7799694</v>
      </c>
      <c r="V4" s="254">
        <f t="shared" si="2"/>
        <v>7299694</v>
      </c>
      <c r="W4" s="254">
        <f t="shared" si="2"/>
        <v>6799694</v>
      </c>
      <c r="X4" s="254">
        <f t="shared" si="2"/>
        <v>6299694</v>
      </c>
      <c r="Y4" s="254">
        <f t="shared" si="2"/>
        <v>5799694</v>
      </c>
      <c r="Z4" s="254">
        <f t="shared" si="2"/>
        <v>5299694</v>
      </c>
      <c r="AA4" s="254">
        <f t="shared" si="2"/>
        <v>4799694</v>
      </c>
      <c r="AB4" s="254">
        <f t="shared" si="2"/>
        <v>4299694</v>
      </c>
      <c r="AC4" s="254">
        <f t="shared" si="2"/>
        <v>3799694</v>
      </c>
    </row>
    <row r="5" spans="1:37" ht="18.75" x14ac:dyDescent="0.3">
      <c r="A5" s="255"/>
      <c r="B5" s="255"/>
      <c r="C5" s="255"/>
      <c r="D5" s="247" t="s">
        <v>520</v>
      </c>
      <c r="E5" s="256">
        <f>SUM(E6:E8)</f>
        <v>6219750</v>
      </c>
      <c r="F5" s="257">
        <f>E5/E35</f>
        <v>8.619008603164563E-2</v>
      </c>
      <c r="G5" s="247" t="s">
        <v>521</v>
      </c>
      <c r="H5" s="258">
        <f>H6+H7</f>
        <v>66666908</v>
      </c>
      <c r="I5" s="259">
        <f>H5/$H$74</f>
        <v>0.80764388557843592</v>
      </c>
      <c r="K5" s="260" t="s">
        <v>522</v>
      </c>
      <c r="L5" s="260"/>
      <c r="M5" s="261">
        <f>AD65</f>
        <v>10158019</v>
      </c>
      <c r="N5" s="416">
        <f>M5</f>
        <v>10158019</v>
      </c>
      <c r="O5" s="262">
        <f t="shared" ref="O5:AC5" si="3">N26</f>
        <v>10411148</v>
      </c>
      <c r="P5" s="262">
        <f t="shared" si="3"/>
        <v>10724597.384388324</v>
      </c>
      <c r="Q5" s="262">
        <f t="shared" si="3"/>
        <v>11515350.603804525</v>
      </c>
      <c r="R5" s="262">
        <f t="shared" si="3"/>
        <v>12026821.30665792</v>
      </c>
      <c r="S5" s="262">
        <f t="shared" si="3"/>
        <v>12648046.295178747</v>
      </c>
      <c r="T5" s="262">
        <f t="shared" si="3"/>
        <v>13310605.245654313</v>
      </c>
      <c r="U5" s="262">
        <f t="shared" si="3"/>
        <v>13605817.497868154</v>
      </c>
      <c r="V5" s="262">
        <f t="shared" si="3"/>
        <v>14273655.816005249</v>
      </c>
      <c r="W5" s="262">
        <f t="shared" si="3"/>
        <v>14543485.178091178</v>
      </c>
      <c r="X5" s="262">
        <f t="shared" si="3"/>
        <v>15201984.584125943</v>
      </c>
      <c r="Y5" s="262">
        <f t="shared" si="3"/>
        <v>15479739.034109544</v>
      </c>
      <c r="Z5" s="262">
        <f t="shared" si="3"/>
        <v>15748516.528041981</v>
      </c>
      <c r="AA5" s="262">
        <f t="shared" si="3"/>
        <v>16429515.065923255</v>
      </c>
      <c r="AB5" s="262">
        <f t="shared" si="3"/>
        <v>17148047.66972778</v>
      </c>
      <c r="AC5" s="262">
        <f t="shared" si="3"/>
        <v>17439369.317481142</v>
      </c>
    </row>
    <row r="6" spans="1:37" x14ac:dyDescent="0.25">
      <c r="A6" s="263" t="str">
        <f t="shared" ref="A6:A13" si="4">L6</f>
        <v>Taquillas</v>
      </c>
      <c r="B6" s="264">
        <f t="shared" ref="B6:B13" si="5">M6/$M$53</f>
        <v>0.20024518541390554</v>
      </c>
      <c r="D6" s="265" t="s">
        <v>523</v>
      </c>
      <c r="E6" s="266">
        <f>2231620+305380</f>
        <v>2537000</v>
      </c>
      <c r="F6" s="58">
        <f>E6/E35</f>
        <v>3.5156436876447601E-2</v>
      </c>
      <c r="G6" s="267" t="s">
        <v>524</v>
      </c>
      <c r="H6" s="268">
        <v>300000</v>
      </c>
      <c r="I6" s="269">
        <f>H6/$H$74</f>
        <v>3.6343843286316918E-3</v>
      </c>
      <c r="K6" s="270" t="s">
        <v>525</v>
      </c>
      <c r="L6" s="270" t="s">
        <v>525</v>
      </c>
      <c r="M6" s="271">
        <f t="shared" ref="M6:M25" si="6">SUM(N6:AC6)</f>
        <v>3474771</v>
      </c>
      <c r="N6" s="410">
        <v>7904</v>
      </c>
      <c r="O6" s="272">
        <v>74243</v>
      </c>
      <c r="P6" s="272">
        <v>543126</v>
      </c>
      <c r="Q6" s="272">
        <v>259003</v>
      </c>
      <c r="R6" s="272">
        <f>29598+336329</f>
        <v>365927</v>
      </c>
      <c r="S6" s="272">
        <f>36229+369218</f>
        <v>405447</v>
      </c>
      <c r="T6" s="272">
        <v>37304</v>
      </c>
      <c r="U6" s="272">
        <f>400709+8561</f>
        <v>409270</v>
      </c>
      <c r="V6" s="272">
        <v>10821</v>
      </c>
      <c r="W6" s="272">
        <v>399051</v>
      </c>
      <c r="X6" s="272">
        <v>17866</v>
      </c>
      <c r="Y6" s="272">
        <v>8449</v>
      </c>
      <c r="Z6" s="272">
        <v>420290</v>
      </c>
      <c r="AA6" s="272">
        <v>457164</v>
      </c>
      <c r="AB6" s="272">
        <v>29453</v>
      </c>
      <c r="AC6" s="272">
        <v>29453</v>
      </c>
    </row>
    <row r="7" spans="1:37" x14ac:dyDescent="0.25">
      <c r="A7" s="263" t="str">
        <f t="shared" si="4"/>
        <v>Patrocinadores</v>
      </c>
      <c r="B7" s="264">
        <f t="shared" si="5"/>
        <v>0.11081295943361641</v>
      </c>
      <c r="D7" s="265" t="s">
        <v>391</v>
      </c>
      <c r="E7" s="266">
        <f>102000+300+2105000+1475000+450</f>
        <v>3682750</v>
      </c>
      <c r="F7" s="58">
        <f>E7/E35</f>
        <v>5.1033649155198028E-2</v>
      </c>
      <c r="G7" s="267" t="s">
        <v>526</v>
      </c>
      <c r="H7" s="268">
        <f>63754290+151930+937650+1523038</f>
        <v>66366908</v>
      </c>
      <c r="I7" s="269">
        <f>H7/$H$74</f>
        <v>0.80400950124980419</v>
      </c>
      <c r="K7" s="270" t="s">
        <v>527</v>
      </c>
      <c r="L7" s="270" t="s">
        <v>527</v>
      </c>
      <c r="M7" s="271">
        <f t="shared" si="6"/>
        <v>1922890.9652345022</v>
      </c>
      <c r="N7" s="411">
        <v>90655</v>
      </c>
      <c r="O7" s="273">
        <v>104516.38438832403</v>
      </c>
      <c r="P7" s="273">
        <v>112877.219416202</v>
      </c>
      <c r="Q7" s="273">
        <v>117717.70285339454</v>
      </c>
      <c r="R7" s="273">
        <v>120577.98852082647</v>
      </c>
      <c r="S7" s="273">
        <v>122361.95047556573</v>
      </c>
      <c r="T7" s="273">
        <v>123218.25221384056</v>
      </c>
      <c r="U7" s="273">
        <v>123878.31813709407</v>
      </c>
      <c r="V7" s="273">
        <v>124318.36208592977</v>
      </c>
      <c r="W7" s="273">
        <v>124758.40603476544</v>
      </c>
      <c r="X7" s="273">
        <v>125198.44998360112</v>
      </c>
      <c r="Y7" s="273">
        <v>125638.4939324368</v>
      </c>
      <c r="Z7" s="273">
        <v>126078.53788127248</v>
      </c>
      <c r="AA7" s="273">
        <v>126738.60380452601</v>
      </c>
      <c r="AB7" s="273">
        <v>127178.64775336169</v>
      </c>
      <c r="AC7" s="273">
        <f>AB7</f>
        <v>127178.64775336169</v>
      </c>
    </row>
    <row r="8" spans="1:37" x14ac:dyDescent="0.25">
      <c r="A8" s="263" t="str">
        <f t="shared" si="4"/>
        <v>Ventas</v>
      </c>
      <c r="B8" s="264">
        <f t="shared" si="5"/>
        <v>0</v>
      </c>
      <c r="D8" s="274" t="s">
        <v>528</v>
      </c>
      <c r="E8" s="275">
        <v>0</v>
      </c>
      <c r="F8" s="58">
        <f>E8/E35</f>
        <v>0</v>
      </c>
      <c r="G8" s="276"/>
      <c r="H8" s="277"/>
      <c r="I8" s="259"/>
      <c r="K8" s="270" t="s">
        <v>529</v>
      </c>
      <c r="L8" s="270" t="s">
        <v>530</v>
      </c>
      <c r="M8" s="271">
        <f t="shared" si="6"/>
        <v>0</v>
      </c>
      <c r="N8" s="410">
        <v>0</v>
      </c>
      <c r="O8" s="272">
        <v>0</v>
      </c>
      <c r="P8" s="272">
        <v>0</v>
      </c>
      <c r="Q8" s="272">
        <v>0</v>
      </c>
      <c r="R8" s="272">
        <v>0</v>
      </c>
      <c r="S8" s="272">
        <v>0</v>
      </c>
      <c r="T8" s="272">
        <v>0</v>
      </c>
      <c r="U8" s="272">
        <v>0</v>
      </c>
      <c r="V8" s="272">
        <v>0</v>
      </c>
      <c r="W8" s="272">
        <v>0</v>
      </c>
      <c r="X8" s="272">
        <v>0</v>
      </c>
      <c r="Y8" s="272">
        <v>0</v>
      </c>
      <c r="Z8" s="272">
        <v>0</v>
      </c>
      <c r="AA8" s="272">
        <v>0</v>
      </c>
      <c r="AB8" s="272">
        <v>0</v>
      </c>
      <c r="AC8" s="272">
        <v>0</v>
      </c>
      <c r="AE8" s="277"/>
      <c r="AF8" s="277"/>
    </row>
    <row r="9" spans="1:37" x14ac:dyDescent="0.25">
      <c r="A9" s="263" t="str">
        <f t="shared" si="4"/>
        <v>VentasCantera</v>
      </c>
      <c r="B9" s="264">
        <f t="shared" si="5"/>
        <v>0</v>
      </c>
      <c r="D9" s="278"/>
      <c r="E9" s="248"/>
      <c r="F9" s="257"/>
      <c r="G9" s="276"/>
      <c r="H9" s="277"/>
      <c r="I9" s="259"/>
      <c r="K9" s="270"/>
      <c r="L9" s="270" t="s">
        <v>531</v>
      </c>
      <c r="M9" s="271">
        <f t="shared" si="6"/>
        <v>0</v>
      </c>
      <c r="N9" s="410">
        <v>0</v>
      </c>
      <c r="O9" s="272">
        <v>0</v>
      </c>
      <c r="P9" s="272">
        <v>0</v>
      </c>
      <c r="Q9" s="272">
        <v>0</v>
      </c>
      <c r="R9" s="272">
        <v>0</v>
      </c>
      <c r="S9" s="272">
        <v>0</v>
      </c>
      <c r="T9" s="272">
        <v>0</v>
      </c>
      <c r="U9" s="272">
        <v>0</v>
      </c>
      <c r="V9" s="272">
        <v>0</v>
      </c>
      <c r="W9" s="272">
        <v>0</v>
      </c>
      <c r="X9" s="272">
        <v>0</v>
      </c>
      <c r="Y9" s="272">
        <v>0</v>
      </c>
      <c r="Z9" s="272">
        <v>0</v>
      </c>
      <c r="AA9" s="272">
        <v>0</v>
      </c>
      <c r="AB9" s="272">
        <v>0</v>
      </c>
      <c r="AC9" s="272">
        <v>0</v>
      </c>
    </row>
    <row r="10" spans="1:37" x14ac:dyDescent="0.25">
      <c r="A10" s="263" t="str">
        <f t="shared" si="4"/>
        <v>Comisiones</v>
      </c>
      <c r="B10" s="264">
        <f t="shared" si="5"/>
        <v>1.8441059664780722E-3</v>
      </c>
      <c r="D10" s="247" t="s">
        <v>532</v>
      </c>
      <c r="E10" s="256">
        <f>E11+E12+E13</f>
        <v>3299694</v>
      </c>
      <c r="F10" s="257">
        <f>E10/E35</f>
        <v>4.5725456768858058E-2</v>
      </c>
      <c r="G10" s="247" t="s">
        <v>533</v>
      </c>
      <c r="H10" s="258">
        <f>SUM(H11:H16)</f>
        <v>-364536.03476549778</v>
      </c>
      <c r="I10" s="259">
        <f t="shared" ref="I10:I16" si="7">H10/$H$74</f>
        <v>-4.4162135065775425E-3</v>
      </c>
      <c r="K10" s="270" t="s">
        <v>534</v>
      </c>
      <c r="L10" s="270" t="s">
        <v>534</v>
      </c>
      <c r="M10" s="271">
        <f t="shared" si="6"/>
        <v>32000</v>
      </c>
      <c r="N10" s="411">
        <v>2000</v>
      </c>
      <c r="O10" s="273">
        <f t="shared" ref="O10:AC10" si="8">N10</f>
        <v>2000</v>
      </c>
      <c r="P10" s="273">
        <f t="shared" si="8"/>
        <v>2000</v>
      </c>
      <c r="Q10" s="273">
        <f t="shared" si="8"/>
        <v>2000</v>
      </c>
      <c r="R10" s="273">
        <f t="shared" si="8"/>
        <v>2000</v>
      </c>
      <c r="S10" s="273">
        <f t="shared" si="8"/>
        <v>2000</v>
      </c>
      <c r="T10" s="273">
        <f t="shared" si="8"/>
        <v>2000</v>
      </c>
      <c r="U10" s="273">
        <f t="shared" si="8"/>
        <v>2000</v>
      </c>
      <c r="V10" s="273">
        <f t="shared" si="8"/>
        <v>2000</v>
      </c>
      <c r="W10" s="273">
        <f t="shared" si="8"/>
        <v>2000</v>
      </c>
      <c r="X10" s="273">
        <f t="shared" si="8"/>
        <v>2000</v>
      </c>
      <c r="Y10" s="273">
        <f t="shared" si="8"/>
        <v>2000</v>
      </c>
      <c r="Z10" s="273">
        <f t="shared" si="8"/>
        <v>2000</v>
      </c>
      <c r="AA10" s="273">
        <f t="shared" si="8"/>
        <v>2000</v>
      </c>
      <c r="AB10" s="273">
        <f t="shared" si="8"/>
        <v>2000</v>
      </c>
      <c r="AC10" s="273">
        <f t="shared" si="8"/>
        <v>2000</v>
      </c>
    </row>
    <row r="11" spans="1:37" x14ac:dyDescent="0.25">
      <c r="A11" s="263" t="str">
        <f t="shared" si="4"/>
        <v>Nuevos Socios</v>
      </c>
      <c r="B11" s="264">
        <f t="shared" si="5"/>
        <v>3.8381607993553928E-3</v>
      </c>
      <c r="D11" s="279" t="s">
        <v>535</v>
      </c>
      <c r="E11" s="280">
        <f>N4</f>
        <v>11299694</v>
      </c>
      <c r="F11" s="58">
        <f>E11/E35</f>
        <v>0.15658532866936292</v>
      </c>
      <c r="G11" s="281" t="s">
        <v>536</v>
      </c>
      <c r="H11" s="282">
        <v>0</v>
      </c>
      <c r="I11" s="269">
        <f t="shared" si="7"/>
        <v>0</v>
      </c>
      <c r="K11" s="577" t="s">
        <v>537</v>
      </c>
      <c r="L11" s="270" t="s">
        <v>538</v>
      </c>
      <c r="M11" s="271">
        <f t="shared" si="6"/>
        <v>66602</v>
      </c>
      <c r="N11" s="411">
        <v>120</v>
      </c>
      <c r="O11" s="273">
        <v>240</v>
      </c>
      <c r="P11" s="273">
        <v>300</v>
      </c>
      <c r="Q11" s="273">
        <v>300</v>
      </c>
      <c r="R11" s="273">
        <v>270</v>
      </c>
      <c r="S11" s="273">
        <v>300</v>
      </c>
      <c r="T11" s="273">
        <v>240</v>
      </c>
      <c r="U11" s="273">
        <v>240</v>
      </c>
      <c r="V11" s="273">
        <v>240</v>
      </c>
      <c r="W11" s="273">
        <v>240</v>
      </c>
      <c r="X11" s="273">
        <f>W11</f>
        <v>240</v>
      </c>
      <c r="Y11" s="273">
        <f>X11</f>
        <v>240</v>
      </c>
      <c r="Z11" s="273">
        <v>180</v>
      </c>
      <c r="AA11" s="273">
        <v>180</v>
      </c>
      <c r="AB11" s="273">
        <v>240</v>
      </c>
      <c r="AC11" s="273">
        <f>57032+5730+150+120</f>
        <v>63032</v>
      </c>
    </row>
    <row r="12" spans="1:37" x14ac:dyDescent="0.25">
      <c r="A12" s="263" t="str">
        <f t="shared" si="4"/>
        <v>Premios</v>
      </c>
      <c r="B12" s="264">
        <f t="shared" si="5"/>
        <v>0</v>
      </c>
      <c r="D12" s="279" t="str">
        <f>L13</f>
        <v>Ing Reservas</v>
      </c>
      <c r="E12" s="347">
        <f>M13*-1</f>
        <v>-8000000</v>
      </c>
      <c r="F12" s="58">
        <f>E12/E35</f>
        <v>-0.11085987190050485</v>
      </c>
      <c r="G12" s="281" t="s">
        <v>539</v>
      </c>
      <c r="H12" s="282">
        <v>0</v>
      </c>
      <c r="I12" s="269">
        <f t="shared" si="7"/>
        <v>0</v>
      </c>
      <c r="K12" s="578"/>
      <c r="L12" s="270" t="s">
        <v>540</v>
      </c>
      <c r="M12" s="271">
        <f t="shared" si="6"/>
        <v>0</v>
      </c>
      <c r="N12" s="411">
        <v>0</v>
      </c>
      <c r="O12" s="273">
        <v>0</v>
      </c>
      <c r="P12" s="273">
        <v>0</v>
      </c>
      <c r="Q12" s="273">
        <v>0</v>
      </c>
      <c r="R12" s="273">
        <v>0</v>
      </c>
      <c r="S12" s="273">
        <v>0</v>
      </c>
      <c r="T12" s="273">
        <v>0</v>
      </c>
      <c r="U12" s="273">
        <v>0</v>
      </c>
      <c r="V12" s="273">
        <v>0</v>
      </c>
      <c r="W12" s="273">
        <v>0</v>
      </c>
      <c r="X12" s="273">
        <v>0</v>
      </c>
      <c r="Y12" s="273">
        <v>0</v>
      </c>
      <c r="Z12" s="273">
        <v>0</v>
      </c>
      <c r="AA12" s="273">
        <v>0</v>
      </c>
      <c r="AB12" s="273">
        <v>0</v>
      </c>
      <c r="AC12" s="273">
        <v>0</v>
      </c>
    </row>
    <row r="13" spans="1:37" ht="18.75" x14ac:dyDescent="0.3">
      <c r="A13" s="263" t="str">
        <f t="shared" si="4"/>
        <v>Ing Reservas</v>
      </c>
      <c r="B13" s="264">
        <f t="shared" si="5"/>
        <v>0.46102649161951809</v>
      </c>
      <c r="C13" s="283"/>
      <c r="D13" s="279" t="str">
        <f>L23</f>
        <v>Pago Reservas</v>
      </c>
      <c r="E13" s="280">
        <f>M23</f>
        <v>0</v>
      </c>
      <c r="F13" s="58">
        <f>E13/E35</f>
        <v>0</v>
      </c>
      <c r="G13" s="281" t="s">
        <v>541</v>
      </c>
      <c r="H13" s="282">
        <v>0</v>
      </c>
      <c r="I13" s="269">
        <f t="shared" si="7"/>
        <v>0</v>
      </c>
      <c r="J13" s="284"/>
      <c r="K13" s="579"/>
      <c r="L13" s="270" t="s">
        <v>542</v>
      </c>
      <c r="M13" s="271">
        <f t="shared" si="6"/>
        <v>8000000</v>
      </c>
      <c r="N13" s="411">
        <v>500000</v>
      </c>
      <c r="O13" s="273">
        <f t="shared" ref="O13:AC13" si="9">N13</f>
        <v>500000</v>
      </c>
      <c r="P13" s="273">
        <f t="shared" si="9"/>
        <v>500000</v>
      </c>
      <c r="Q13" s="273">
        <f t="shared" si="9"/>
        <v>500000</v>
      </c>
      <c r="R13" s="273">
        <f t="shared" si="9"/>
        <v>500000</v>
      </c>
      <c r="S13" s="273">
        <f t="shared" si="9"/>
        <v>500000</v>
      </c>
      <c r="T13" s="273">
        <f t="shared" si="9"/>
        <v>500000</v>
      </c>
      <c r="U13" s="273">
        <f t="shared" si="9"/>
        <v>500000</v>
      </c>
      <c r="V13" s="273">
        <f t="shared" si="9"/>
        <v>500000</v>
      </c>
      <c r="W13" s="273">
        <f t="shared" si="9"/>
        <v>500000</v>
      </c>
      <c r="X13" s="273">
        <f t="shared" si="9"/>
        <v>500000</v>
      </c>
      <c r="Y13" s="273">
        <f t="shared" si="9"/>
        <v>500000</v>
      </c>
      <c r="Z13" s="273">
        <f t="shared" si="9"/>
        <v>500000</v>
      </c>
      <c r="AA13" s="273">
        <f t="shared" si="9"/>
        <v>500000</v>
      </c>
      <c r="AB13" s="273">
        <f t="shared" si="9"/>
        <v>500000</v>
      </c>
      <c r="AC13" s="273">
        <f t="shared" si="9"/>
        <v>500000</v>
      </c>
      <c r="AD13" s="284"/>
      <c r="AE13" s="284"/>
      <c r="AF13" s="284"/>
      <c r="AG13" s="284"/>
      <c r="AH13" s="284"/>
      <c r="AI13" s="284"/>
      <c r="AJ13" s="284"/>
      <c r="AK13" s="284"/>
    </row>
    <row r="14" spans="1:37" ht="18.75" x14ac:dyDescent="0.3">
      <c r="A14" s="283"/>
      <c r="B14" s="285">
        <f>SUM(B6:B13)</f>
        <v>0.77776690323287345</v>
      </c>
      <c r="D14" s="278"/>
      <c r="E14" s="286"/>
      <c r="G14" s="281" t="s">
        <v>543</v>
      </c>
      <c r="H14" s="282">
        <v>0</v>
      </c>
      <c r="I14" s="269">
        <f t="shared" si="7"/>
        <v>0</v>
      </c>
      <c r="K14" s="287" t="s">
        <v>544</v>
      </c>
      <c r="L14" s="288"/>
      <c r="M14" s="289">
        <f t="shared" si="6"/>
        <v>13496263.965234503</v>
      </c>
      <c r="N14" s="412">
        <f t="shared" ref="N14:AC14" si="10">SUM(N6:N13)</f>
        <v>600679</v>
      </c>
      <c r="O14" s="290">
        <f t="shared" si="10"/>
        <v>680999.38438832411</v>
      </c>
      <c r="P14" s="290">
        <f t="shared" si="10"/>
        <v>1158303.219416202</v>
      </c>
      <c r="Q14" s="290">
        <f t="shared" si="10"/>
        <v>879020.70285339456</v>
      </c>
      <c r="R14" s="290">
        <f t="shared" si="10"/>
        <v>988774.98852082645</v>
      </c>
      <c r="S14" s="290">
        <f t="shared" si="10"/>
        <v>1030108.9504755657</v>
      </c>
      <c r="T14" s="290">
        <f t="shared" si="10"/>
        <v>662762.25221384061</v>
      </c>
      <c r="U14" s="290">
        <f t="shared" si="10"/>
        <v>1035388.318137094</v>
      </c>
      <c r="V14" s="290">
        <f t="shared" si="10"/>
        <v>637379.36208592984</v>
      </c>
      <c r="W14" s="290">
        <f t="shared" si="10"/>
        <v>1026049.4060347654</v>
      </c>
      <c r="X14" s="290">
        <f t="shared" si="10"/>
        <v>645304.44998360111</v>
      </c>
      <c r="Y14" s="290">
        <f t="shared" si="10"/>
        <v>636327.4939324368</v>
      </c>
      <c r="Z14" s="290">
        <f t="shared" si="10"/>
        <v>1048548.5378812725</v>
      </c>
      <c r="AA14" s="290">
        <f t="shared" si="10"/>
        <v>1086082.6038045259</v>
      </c>
      <c r="AB14" s="290">
        <f t="shared" si="10"/>
        <v>658871.64775336161</v>
      </c>
      <c r="AC14" s="290">
        <f t="shared" si="10"/>
        <v>721663.64775336161</v>
      </c>
    </row>
    <row r="15" spans="1:37" ht="18.75" x14ac:dyDescent="0.3">
      <c r="A15" s="596">
        <f>M14</f>
        <v>13496263.965234503</v>
      </c>
      <c r="B15" s="596"/>
      <c r="D15" s="247" t="s">
        <v>545</v>
      </c>
      <c r="E15" s="256">
        <f>SUM(E16:E19)</f>
        <v>38989445</v>
      </c>
      <c r="F15" s="257">
        <f>E15/E35</f>
        <v>0.5402956097714724</v>
      </c>
      <c r="G15" s="281" t="s">
        <v>546</v>
      </c>
      <c r="H15" s="282">
        <v>0</v>
      </c>
      <c r="I15" s="269">
        <f t="shared" si="7"/>
        <v>0</v>
      </c>
      <c r="K15" s="291" t="s">
        <v>383</v>
      </c>
      <c r="L15" s="292" t="str">
        <f>K15</f>
        <v>Sueldos</v>
      </c>
      <c r="M15" s="293">
        <f t="shared" si="6"/>
        <v>3934400</v>
      </c>
      <c r="N15" s="413">
        <f>AD54</f>
        <v>227150</v>
      </c>
      <c r="O15" s="294">
        <f>N15+20000</f>
        <v>247150</v>
      </c>
      <c r="P15" s="294">
        <f t="shared" ref="P15:AC15" si="11">O15</f>
        <v>247150</v>
      </c>
      <c r="Q15" s="294">
        <f t="shared" si="11"/>
        <v>247150</v>
      </c>
      <c r="R15" s="294">
        <f t="shared" si="11"/>
        <v>247150</v>
      </c>
      <c r="S15" s="294">
        <f t="shared" si="11"/>
        <v>247150</v>
      </c>
      <c r="T15" s="294">
        <f t="shared" si="11"/>
        <v>247150</v>
      </c>
      <c r="U15" s="294">
        <f t="shared" si="11"/>
        <v>247150</v>
      </c>
      <c r="V15" s="294">
        <f t="shared" si="11"/>
        <v>247150</v>
      </c>
      <c r="W15" s="294">
        <f t="shared" si="11"/>
        <v>247150</v>
      </c>
      <c r="X15" s="294">
        <f t="shared" si="11"/>
        <v>247150</v>
      </c>
      <c r="Y15" s="294">
        <f t="shared" si="11"/>
        <v>247150</v>
      </c>
      <c r="Z15" s="294">
        <f t="shared" si="11"/>
        <v>247150</v>
      </c>
      <c r="AA15" s="294">
        <f t="shared" si="11"/>
        <v>247150</v>
      </c>
      <c r="AB15" s="294">
        <f t="shared" si="11"/>
        <v>247150</v>
      </c>
      <c r="AC15" s="294">
        <f t="shared" si="11"/>
        <v>247150</v>
      </c>
    </row>
    <row r="16" spans="1:37" x14ac:dyDescent="0.25">
      <c r="D16" s="279" t="s">
        <v>547</v>
      </c>
      <c r="E16" s="280">
        <f>E55</f>
        <v>0</v>
      </c>
      <c r="F16" s="58">
        <f>E16/E35</f>
        <v>0</v>
      </c>
      <c r="G16" s="295" t="s">
        <v>548</v>
      </c>
      <c r="H16" s="296">
        <f>E29-H26</f>
        <v>-364536.03476549778</v>
      </c>
      <c r="I16" s="269">
        <f t="shared" si="7"/>
        <v>-4.4162135065775425E-3</v>
      </c>
      <c r="K16" s="291" t="s">
        <v>549</v>
      </c>
      <c r="L16" s="292" t="str">
        <f>K16</f>
        <v xml:space="preserve">Mantenimiento </v>
      </c>
      <c r="M16" s="293">
        <f t="shared" si="6"/>
        <v>465920</v>
      </c>
      <c r="N16" s="413">
        <v>29120</v>
      </c>
      <c r="O16" s="294">
        <f>N16</f>
        <v>29120</v>
      </c>
      <c r="P16" s="294">
        <f t="shared" ref="P16:AC16" si="12">O16</f>
        <v>29120</v>
      </c>
      <c r="Q16" s="294">
        <f t="shared" si="12"/>
        <v>29120</v>
      </c>
      <c r="R16" s="294">
        <f t="shared" si="12"/>
        <v>29120</v>
      </c>
      <c r="S16" s="294">
        <f t="shared" si="12"/>
        <v>29120</v>
      </c>
      <c r="T16" s="294">
        <f t="shared" si="12"/>
        <v>29120</v>
      </c>
      <c r="U16" s="294">
        <f t="shared" si="12"/>
        <v>29120</v>
      </c>
      <c r="V16" s="294">
        <f t="shared" si="12"/>
        <v>29120</v>
      </c>
      <c r="W16" s="294">
        <f t="shared" si="12"/>
        <v>29120</v>
      </c>
      <c r="X16" s="294">
        <f t="shared" si="12"/>
        <v>29120</v>
      </c>
      <c r="Y16" s="294">
        <f t="shared" si="12"/>
        <v>29120</v>
      </c>
      <c r="Z16" s="294">
        <f t="shared" si="12"/>
        <v>29120</v>
      </c>
      <c r="AA16" s="294">
        <f t="shared" si="12"/>
        <v>29120</v>
      </c>
      <c r="AB16" s="294">
        <f t="shared" si="12"/>
        <v>29120</v>
      </c>
      <c r="AC16" s="294">
        <f t="shared" si="12"/>
        <v>29120</v>
      </c>
    </row>
    <row r="17" spans="1:29" ht="20.25" customHeight="1" x14ac:dyDescent="0.25">
      <c r="D17" s="279" t="s">
        <v>545</v>
      </c>
      <c r="E17" s="280">
        <f>14003+1100+450+378420+6200+2100000+19100+99021+350+895000+8000+1838000+8434+5000+1570248+4162000+13170</f>
        <v>11118496</v>
      </c>
      <c r="F17" s="58">
        <f>E17/E35</f>
        <v>0.15407438028578446</v>
      </c>
      <c r="G17" s="278"/>
      <c r="H17" s="277"/>
      <c r="I17" s="297"/>
      <c r="K17" s="291" t="s">
        <v>550</v>
      </c>
      <c r="L17" s="292" t="s">
        <v>523</v>
      </c>
      <c r="M17" s="293">
        <f t="shared" si="6"/>
        <v>0</v>
      </c>
      <c r="N17" s="413">
        <v>0</v>
      </c>
      <c r="O17" s="294">
        <v>0</v>
      </c>
      <c r="P17" s="294">
        <v>0</v>
      </c>
      <c r="Q17" s="294">
        <v>0</v>
      </c>
      <c r="R17" s="294">
        <v>0</v>
      </c>
      <c r="S17" s="294">
        <v>0</v>
      </c>
      <c r="T17" s="294">
        <v>0</v>
      </c>
      <c r="U17" s="294">
        <v>0</v>
      </c>
      <c r="V17" s="294">
        <v>0</v>
      </c>
      <c r="W17" s="294">
        <v>0</v>
      </c>
      <c r="X17" s="294">
        <v>0</v>
      </c>
      <c r="Y17" s="294">
        <v>0</v>
      </c>
      <c r="Z17" s="294">
        <v>0</v>
      </c>
      <c r="AA17" s="294">
        <v>0</v>
      </c>
      <c r="AB17" s="294">
        <v>0</v>
      </c>
      <c r="AC17" s="294">
        <v>0</v>
      </c>
    </row>
    <row r="18" spans="1:29" x14ac:dyDescent="0.25">
      <c r="D18" s="279" t="s">
        <v>551</v>
      </c>
      <c r="E18" s="280">
        <f>7000000+19000+600000+4000+496109+4000+1530000+5500+3450000+10000+2500000+5000+3600000+15000+3869000+5000+245000+2000+4500000+11340</f>
        <v>27870949</v>
      </c>
      <c r="F18" s="58">
        <f>E18/E35</f>
        <v>0.38622122948568799</v>
      </c>
      <c r="G18" s="247" t="s">
        <v>552</v>
      </c>
      <c r="H18" s="298">
        <f>H19</f>
        <v>0</v>
      </c>
      <c r="I18" s="259">
        <f>H18/$H$74</f>
        <v>0</v>
      </c>
      <c r="K18" s="291" t="s">
        <v>553</v>
      </c>
      <c r="L18" s="292" t="str">
        <f>K18</f>
        <v>Empleados</v>
      </c>
      <c r="M18" s="293">
        <f t="shared" si="6"/>
        <v>1044480</v>
      </c>
      <c r="N18" s="413">
        <v>65280</v>
      </c>
      <c r="O18" s="294">
        <f t="shared" ref="O18:AC18" si="13">N18</f>
        <v>65280</v>
      </c>
      <c r="P18" s="294">
        <f t="shared" si="13"/>
        <v>65280</v>
      </c>
      <c r="Q18" s="294">
        <f t="shared" si="13"/>
        <v>65280</v>
      </c>
      <c r="R18" s="294">
        <f t="shared" si="13"/>
        <v>65280</v>
      </c>
      <c r="S18" s="294">
        <f t="shared" si="13"/>
        <v>65280</v>
      </c>
      <c r="T18" s="294">
        <f t="shared" si="13"/>
        <v>65280</v>
      </c>
      <c r="U18" s="294">
        <f t="shared" si="13"/>
        <v>65280</v>
      </c>
      <c r="V18" s="294">
        <f t="shared" si="13"/>
        <v>65280</v>
      </c>
      <c r="W18" s="294">
        <f t="shared" si="13"/>
        <v>65280</v>
      </c>
      <c r="X18" s="294">
        <f t="shared" si="13"/>
        <v>65280</v>
      </c>
      <c r="Y18" s="294">
        <f t="shared" si="13"/>
        <v>65280</v>
      </c>
      <c r="Z18" s="294">
        <f t="shared" si="13"/>
        <v>65280</v>
      </c>
      <c r="AA18" s="294">
        <f t="shared" si="13"/>
        <v>65280</v>
      </c>
      <c r="AB18" s="294">
        <f t="shared" si="13"/>
        <v>65280</v>
      </c>
      <c r="AC18" s="294">
        <f t="shared" si="13"/>
        <v>65280</v>
      </c>
    </row>
    <row r="19" spans="1:29" x14ac:dyDescent="0.25">
      <c r="D19" s="279" t="s">
        <v>554</v>
      </c>
      <c r="E19" s="280">
        <v>0</v>
      </c>
      <c r="F19" s="58">
        <f>E19/E35</f>
        <v>0</v>
      </c>
      <c r="G19" s="299" t="s">
        <v>555</v>
      </c>
      <c r="H19" s="300">
        <f>M20</f>
        <v>0</v>
      </c>
      <c r="I19" s="269">
        <f>H19/$H$74</f>
        <v>0</v>
      </c>
      <c r="K19" s="291" t="s">
        <v>556</v>
      </c>
      <c r="L19" s="292" t="str">
        <f>K19</f>
        <v>Juveniles</v>
      </c>
      <c r="M19" s="293">
        <f t="shared" si="6"/>
        <v>320000</v>
      </c>
      <c r="N19" s="413">
        <v>20000</v>
      </c>
      <c r="O19" s="294">
        <f t="shared" ref="O19:AC19" si="14">N19</f>
        <v>20000</v>
      </c>
      <c r="P19" s="294">
        <f t="shared" si="14"/>
        <v>20000</v>
      </c>
      <c r="Q19" s="294">
        <f t="shared" si="14"/>
        <v>20000</v>
      </c>
      <c r="R19" s="294">
        <f t="shared" si="14"/>
        <v>20000</v>
      </c>
      <c r="S19" s="294">
        <f t="shared" si="14"/>
        <v>20000</v>
      </c>
      <c r="T19" s="294">
        <f t="shared" si="14"/>
        <v>20000</v>
      </c>
      <c r="U19" s="294">
        <f t="shared" si="14"/>
        <v>20000</v>
      </c>
      <c r="V19" s="294">
        <f t="shared" si="14"/>
        <v>20000</v>
      </c>
      <c r="W19" s="294">
        <f t="shared" si="14"/>
        <v>20000</v>
      </c>
      <c r="X19" s="294">
        <f t="shared" si="14"/>
        <v>20000</v>
      </c>
      <c r="Y19" s="294">
        <f t="shared" si="14"/>
        <v>20000</v>
      </c>
      <c r="Z19" s="294">
        <f t="shared" si="14"/>
        <v>20000</v>
      </c>
      <c r="AA19" s="294">
        <f t="shared" si="14"/>
        <v>20000</v>
      </c>
      <c r="AB19" s="294">
        <f t="shared" si="14"/>
        <v>20000</v>
      </c>
      <c r="AC19" s="294">
        <f t="shared" si="14"/>
        <v>20000</v>
      </c>
    </row>
    <row r="20" spans="1:29" ht="20.25" customHeight="1" x14ac:dyDescent="0.25">
      <c r="D20" s="278"/>
      <c r="E20" s="286"/>
      <c r="G20" s="276"/>
      <c r="H20" s="277"/>
      <c r="I20" s="269"/>
      <c r="K20" s="291" t="s">
        <v>557</v>
      </c>
      <c r="L20" s="292" t="s">
        <v>555</v>
      </c>
      <c r="M20" s="293">
        <f t="shared" si="6"/>
        <v>0</v>
      </c>
      <c r="N20" s="413">
        <v>0</v>
      </c>
      <c r="O20" s="294">
        <v>0</v>
      </c>
      <c r="P20" s="294">
        <f t="shared" ref="P20:T24" si="15">O20</f>
        <v>0</v>
      </c>
      <c r="Q20" s="294">
        <f t="shared" si="15"/>
        <v>0</v>
      </c>
      <c r="R20" s="294">
        <f t="shared" si="15"/>
        <v>0</v>
      </c>
      <c r="S20" s="294">
        <f t="shared" si="15"/>
        <v>0</v>
      </c>
      <c r="T20" s="294">
        <f t="shared" si="15"/>
        <v>0</v>
      </c>
      <c r="U20" s="294">
        <v>0</v>
      </c>
      <c r="V20" s="294">
        <v>0</v>
      </c>
      <c r="W20" s="294">
        <v>0</v>
      </c>
      <c r="X20" s="294">
        <v>0</v>
      </c>
      <c r="Y20" s="294">
        <f t="shared" ref="Y20:Z24" si="16">X20</f>
        <v>0</v>
      </c>
      <c r="Z20" s="294">
        <f t="shared" si="16"/>
        <v>0</v>
      </c>
      <c r="AA20" s="294">
        <v>0</v>
      </c>
      <c r="AB20" s="294">
        <v>0</v>
      </c>
      <c r="AC20" s="294">
        <v>0</v>
      </c>
    </row>
    <row r="21" spans="1:29" x14ac:dyDescent="0.25">
      <c r="D21" s="247" t="s">
        <v>530</v>
      </c>
      <c r="E21" s="301">
        <f>E22</f>
        <v>0</v>
      </c>
      <c r="F21" s="257">
        <f>E21/E35</f>
        <v>0</v>
      </c>
      <c r="G21" s="276"/>
      <c r="H21" s="277"/>
      <c r="I21" s="269"/>
      <c r="K21" s="580" t="s">
        <v>537</v>
      </c>
      <c r="L21" s="292" t="s">
        <v>391</v>
      </c>
      <c r="M21" s="293">
        <f t="shared" si="6"/>
        <v>0</v>
      </c>
      <c r="N21" s="413">
        <v>0</v>
      </c>
      <c r="O21" s="294">
        <f>N21</f>
        <v>0</v>
      </c>
      <c r="P21" s="294">
        <f t="shared" si="15"/>
        <v>0</v>
      </c>
      <c r="Q21" s="294">
        <f t="shared" si="15"/>
        <v>0</v>
      </c>
      <c r="R21" s="294">
        <f t="shared" si="15"/>
        <v>0</v>
      </c>
      <c r="S21" s="294">
        <f t="shared" si="15"/>
        <v>0</v>
      </c>
      <c r="T21" s="294">
        <f t="shared" si="15"/>
        <v>0</v>
      </c>
      <c r="U21" s="294">
        <f t="shared" ref="U21:X24" si="17">T21</f>
        <v>0</v>
      </c>
      <c r="V21" s="294">
        <f t="shared" si="17"/>
        <v>0</v>
      </c>
      <c r="W21" s="294">
        <f t="shared" si="17"/>
        <v>0</v>
      </c>
      <c r="X21" s="294">
        <f t="shared" si="17"/>
        <v>0</v>
      </c>
      <c r="Y21" s="294">
        <f t="shared" si="16"/>
        <v>0</v>
      </c>
      <c r="Z21" s="294">
        <f t="shared" si="16"/>
        <v>0</v>
      </c>
      <c r="AA21" s="294">
        <v>0</v>
      </c>
      <c r="AB21" s="294">
        <f t="shared" ref="AB21:AC24" si="18">AA21</f>
        <v>0</v>
      </c>
      <c r="AC21" s="294">
        <f t="shared" si="18"/>
        <v>0</v>
      </c>
    </row>
    <row r="22" spans="1:29" x14ac:dyDescent="0.25">
      <c r="D22" s="279" t="s">
        <v>530</v>
      </c>
      <c r="E22" s="280">
        <f>M8+M9</f>
        <v>0</v>
      </c>
      <c r="F22" s="58">
        <f>E22/E35</f>
        <v>0</v>
      </c>
      <c r="G22" s="247" t="s">
        <v>558</v>
      </c>
      <c r="H22" s="258">
        <f>SUM(H23:H24)</f>
        <v>0</v>
      </c>
      <c r="I22" s="259">
        <f>H22/$H$74</f>
        <v>0</v>
      </c>
      <c r="K22" s="581"/>
      <c r="L22" s="292" t="s">
        <v>559</v>
      </c>
      <c r="M22" s="293">
        <f t="shared" si="6"/>
        <v>96000</v>
      </c>
      <c r="N22" s="413">
        <v>6000</v>
      </c>
      <c r="O22" s="294">
        <f>N22</f>
        <v>6000</v>
      </c>
      <c r="P22" s="294">
        <f t="shared" si="15"/>
        <v>6000</v>
      </c>
      <c r="Q22" s="294">
        <f t="shared" si="15"/>
        <v>6000</v>
      </c>
      <c r="R22" s="294">
        <f t="shared" si="15"/>
        <v>6000</v>
      </c>
      <c r="S22" s="294">
        <f t="shared" si="15"/>
        <v>6000</v>
      </c>
      <c r="T22" s="294">
        <f t="shared" si="15"/>
        <v>6000</v>
      </c>
      <c r="U22" s="294">
        <f t="shared" si="17"/>
        <v>6000</v>
      </c>
      <c r="V22" s="294">
        <f t="shared" si="17"/>
        <v>6000</v>
      </c>
      <c r="W22" s="294">
        <f t="shared" si="17"/>
        <v>6000</v>
      </c>
      <c r="X22" s="294">
        <f t="shared" si="17"/>
        <v>6000</v>
      </c>
      <c r="Y22" s="294">
        <f t="shared" si="16"/>
        <v>6000</v>
      </c>
      <c r="Z22" s="294">
        <f t="shared" si="16"/>
        <v>6000</v>
      </c>
      <c r="AA22" s="294">
        <f>Z22</f>
        <v>6000</v>
      </c>
      <c r="AB22" s="294">
        <f t="shared" si="18"/>
        <v>6000</v>
      </c>
      <c r="AC22" s="294">
        <f t="shared" si="18"/>
        <v>6000</v>
      </c>
    </row>
    <row r="23" spans="1:29" ht="18.75" x14ac:dyDescent="0.3">
      <c r="C23" s="302"/>
      <c r="D23" s="278"/>
      <c r="E23" s="286"/>
      <c r="G23" s="299" t="s">
        <v>523</v>
      </c>
      <c r="H23" s="303">
        <f>M17</f>
        <v>0</v>
      </c>
      <c r="I23" s="269">
        <f>H23/$H$74</f>
        <v>0</v>
      </c>
      <c r="K23" s="582"/>
      <c r="L23" s="292" t="s">
        <v>560</v>
      </c>
      <c r="M23" s="293">
        <f t="shared" si="6"/>
        <v>0</v>
      </c>
      <c r="N23" s="413">
        <v>0</v>
      </c>
      <c r="O23" s="294">
        <f>N23</f>
        <v>0</v>
      </c>
      <c r="P23" s="294">
        <f t="shared" si="15"/>
        <v>0</v>
      </c>
      <c r="Q23" s="294">
        <f t="shared" si="15"/>
        <v>0</v>
      </c>
      <c r="R23" s="294">
        <f t="shared" si="15"/>
        <v>0</v>
      </c>
      <c r="S23" s="294">
        <f t="shared" si="15"/>
        <v>0</v>
      </c>
      <c r="T23" s="294">
        <f t="shared" si="15"/>
        <v>0</v>
      </c>
      <c r="U23" s="294">
        <f t="shared" si="17"/>
        <v>0</v>
      </c>
      <c r="V23" s="294">
        <f t="shared" si="17"/>
        <v>0</v>
      </c>
      <c r="W23" s="294">
        <f t="shared" si="17"/>
        <v>0</v>
      </c>
      <c r="X23" s="294">
        <f t="shared" si="17"/>
        <v>0</v>
      </c>
      <c r="Y23" s="294">
        <f t="shared" si="16"/>
        <v>0</v>
      </c>
      <c r="Z23" s="294">
        <f t="shared" si="16"/>
        <v>0</v>
      </c>
      <c r="AA23" s="294">
        <v>0</v>
      </c>
      <c r="AB23" s="294">
        <f t="shared" si="18"/>
        <v>0</v>
      </c>
      <c r="AC23" s="294">
        <f t="shared" si="18"/>
        <v>0</v>
      </c>
    </row>
    <row r="24" spans="1:29" ht="18.75" x14ac:dyDescent="0.3">
      <c r="A24" s="304" t="str">
        <f t="shared" ref="A24:A31" si="19">L15</f>
        <v>Sueldos</v>
      </c>
      <c r="B24" s="305">
        <f t="shared" ref="B24:B31" si="20">M15/$M$64</f>
        <v>0.24778905080242364</v>
      </c>
      <c r="C24" s="255"/>
      <c r="D24" s="247" t="s">
        <v>561</v>
      </c>
      <c r="E24" s="256">
        <f>E25+E26-E27</f>
        <v>18158019</v>
      </c>
      <c r="F24" s="257">
        <f>E24/E35</f>
        <v>0.25162445753836665</v>
      </c>
      <c r="G24" s="299" t="s">
        <v>391</v>
      </c>
      <c r="H24" s="303">
        <f>M21</f>
        <v>0</v>
      </c>
      <c r="I24" s="269">
        <f>H24/$H$74</f>
        <v>0</v>
      </c>
      <c r="K24" s="291" t="s">
        <v>562</v>
      </c>
      <c r="L24" s="292" t="str">
        <f>K24</f>
        <v>Intereses</v>
      </c>
      <c r="M24" s="293">
        <f t="shared" si="6"/>
        <v>0</v>
      </c>
      <c r="N24" s="413">
        <v>0</v>
      </c>
      <c r="O24" s="294">
        <f>N24</f>
        <v>0</v>
      </c>
      <c r="P24" s="294">
        <f t="shared" si="15"/>
        <v>0</v>
      </c>
      <c r="Q24" s="294">
        <f t="shared" si="15"/>
        <v>0</v>
      </c>
      <c r="R24" s="294">
        <f t="shared" si="15"/>
        <v>0</v>
      </c>
      <c r="S24" s="294">
        <f t="shared" si="15"/>
        <v>0</v>
      </c>
      <c r="T24" s="294">
        <f t="shared" si="15"/>
        <v>0</v>
      </c>
      <c r="U24" s="294">
        <f t="shared" si="17"/>
        <v>0</v>
      </c>
      <c r="V24" s="294">
        <f t="shared" si="17"/>
        <v>0</v>
      </c>
      <c r="W24" s="294">
        <f t="shared" si="17"/>
        <v>0</v>
      </c>
      <c r="X24" s="294">
        <f t="shared" si="17"/>
        <v>0</v>
      </c>
      <c r="Y24" s="294">
        <f t="shared" si="16"/>
        <v>0</v>
      </c>
      <c r="Z24" s="294">
        <f t="shared" si="16"/>
        <v>0</v>
      </c>
      <c r="AA24" s="294">
        <v>0</v>
      </c>
      <c r="AB24" s="294">
        <f t="shared" si="18"/>
        <v>0</v>
      </c>
      <c r="AC24" s="294">
        <f t="shared" si="18"/>
        <v>0</v>
      </c>
    </row>
    <row r="25" spans="1:29" ht="18.75" x14ac:dyDescent="0.3">
      <c r="A25" s="304" t="str">
        <f t="shared" si="19"/>
        <v xml:space="preserve">Mantenimiento </v>
      </c>
      <c r="B25" s="305">
        <f t="shared" si="20"/>
        <v>2.9343705406126783E-2</v>
      </c>
      <c r="C25" s="239"/>
      <c r="D25" s="281" t="s">
        <v>563</v>
      </c>
      <c r="E25" s="306">
        <f>N5</f>
        <v>10158019</v>
      </c>
      <c r="F25" s="58">
        <f>E25/E35</f>
        <v>0.14076458563786179</v>
      </c>
      <c r="G25" s="276"/>
      <c r="H25" s="277"/>
      <c r="I25" s="269"/>
      <c r="K25" s="307" t="s">
        <v>564</v>
      </c>
      <c r="L25" s="308"/>
      <c r="M25" s="309">
        <f t="shared" si="6"/>
        <v>5860800</v>
      </c>
      <c r="N25" s="414">
        <f t="shared" ref="N25:AC25" si="21">SUM(N15:N24)</f>
        <v>347550</v>
      </c>
      <c r="O25" s="310">
        <f t="shared" si="21"/>
        <v>367550</v>
      </c>
      <c r="P25" s="310">
        <f t="shared" si="21"/>
        <v>367550</v>
      </c>
      <c r="Q25" s="310">
        <f t="shared" si="21"/>
        <v>367550</v>
      </c>
      <c r="R25" s="310">
        <f t="shared" si="21"/>
        <v>367550</v>
      </c>
      <c r="S25" s="310">
        <f t="shared" si="21"/>
        <v>367550</v>
      </c>
      <c r="T25" s="310">
        <f t="shared" si="21"/>
        <v>367550</v>
      </c>
      <c r="U25" s="310">
        <f t="shared" si="21"/>
        <v>367550</v>
      </c>
      <c r="V25" s="310">
        <f t="shared" si="21"/>
        <v>367550</v>
      </c>
      <c r="W25" s="310">
        <f t="shared" si="21"/>
        <v>367550</v>
      </c>
      <c r="X25" s="310">
        <f t="shared" si="21"/>
        <v>367550</v>
      </c>
      <c r="Y25" s="310">
        <f t="shared" si="21"/>
        <v>367550</v>
      </c>
      <c r="Z25" s="310">
        <f t="shared" si="21"/>
        <v>367550</v>
      </c>
      <c r="AA25" s="310">
        <f t="shared" si="21"/>
        <v>367550</v>
      </c>
      <c r="AB25" s="310">
        <f t="shared" si="21"/>
        <v>367550</v>
      </c>
      <c r="AC25" s="310">
        <f t="shared" si="21"/>
        <v>367550</v>
      </c>
    </row>
    <row r="26" spans="1:29" ht="18.75" x14ac:dyDescent="0.3">
      <c r="A26" s="304" t="str">
        <f t="shared" si="19"/>
        <v>Estadio</v>
      </c>
      <c r="B26" s="305">
        <f t="shared" si="20"/>
        <v>0</v>
      </c>
      <c r="C26" s="41"/>
      <c r="D26" s="281" t="str">
        <f>D12</f>
        <v>Ing Reservas</v>
      </c>
      <c r="E26" s="351">
        <f>M13</f>
        <v>8000000</v>
      </c>
      <c r="F26" s="58">
        <f>E26/E35</f>
        <v>0.11085987190050485</v>
      </c>
      <c r="G26" s="247" t="s">
        <v>565</v>
      </c>
      <c r="H26" s="258">
        <f>SUM(H27:H32)</f>
        <v>5860800</v>
      </c>
      <c r="I26" s="259">
        <f t="shared" ref="I26:I32" si="22">H26/$H$74</f>
        <v>7.1001332244148729E-2</v>
      </c>
      <c r="K26" s="311" t="s">
        <v>566</v>
      </c>
      <c r="L26" s="311"/>
      <c r="M26" s="262">
        <f t="shared" ref="M26:AC26" si="23">M5+M14-M25</f>
        <v>17793482.965234503</v>
      </c>
      <c r="N26" s="416">
        <f t="shared" si="23"/>
        <v>10411148</v>
      </c>
      <c r="O26" s="262">
        <f t="shared" si="23"/>
        <v>10724597.384388324</v>
      </c>
      <c r="P26" s="262">
        <f t="shared" si="23"/>
        <v>11515350.603804525</v>
      </c>
      <c r="Q26" s="262">
        <f t="shared" si="23"/>
        <v>12026821.30665792</v>
      </c>
      <c r="R26" s="262">
        <f t="shared" si="23"/>
        <v>12648046.295178747</v>
      </c>
      <c r="S26" s="262">
        <f t="shared" si="23"/>
        <v>13310605.245654313</v>
      </c>
      <c r="T26" s="262">
        <f t="shared" si="23"/>
        <v>13605817.497868154</v>
      </c>
      <c r="U26" s="262">
        <f t="shared" si="23"/>
        <v>14273655.816005249</v>
      </c>
      <c r="V26" s="262">
        <f t="shared" si="23"/>
        <v>14543485.178091178</v>
      </c>
      <c r="W26" s="262">
        <f t="shared" si="23"/>
        <v>15201984.584125943</v>
      </c>
      <c r="X26" s="262">
        <f t="shared" si="23"/>
        <v>15479739.034109544</v>
      </c>
      <c r="Y26" s="262">
        <f t="shared" si="23"/>
        <v>15748516.528041981</v>
      </c>
      <c r="Z26" s="262">
        <f t="shared" si="23"/>
        <v>16429515.065923255</v>
      </c>
      <c r="AA26" s="262">
        <f t="shared" si="23"/>
        <v>17148047.66972778</v>
      </c>
      <c r="AB26" s="262">
        <f t="shared" si="23"/>
        <v>17439369.317481142</v>
      </c>
      <c r="AC26" s="262">
        <f t="shared" si="23"/>
        <v>17793482.965234503</v>
      </c>
    </row>
    <row r="27" spans="1:29" x14ac:dyDescent="0.25">
      <c r="A27" s="304" t="str">
        <f t="shared" si="19"/>
        <v>Empleados</v>
      </c>
      <c r="B27" s="305">
        <f t="shared" si="20"/>
        <v>6.5781493437910593E-2</v>
      </c>
      <c r="C27" s="43"/>
      <c r="D27" s="281" t="str">
        <f>D13</f>
        <v>Pago Reservas</v>
      </c>
      <c r="E27" s="306">
        <f>M23*-1</f>
        <v>0</v>
      </c>
      <c r="F27" s="58">
        <f>E27/E35</f>
        <v>0</v>
      </c>
      <c r="G27" s="299" t="s">
        <v>567</v>
      </c>
      <c r="H27" s="303">
        <f>M15</f>
        <v>3934400</v>
      </c>
      <c r="I27" s="269">
        <f t="shared" si="22"/>
        <v>4.7663739008561759E-2</v>
      </c>
      <c r="K27" s="312"/>
      <c r="L27" s="312"/>
      <c r="M27" s="312"/>
      <c r="N27" s="415">
        <f>N1+7</f>
        <v>43764</v>
      </c>
      <c r="O27" s="313">
        <f t="shared" ref="O27:AC27" si="24">N27+7</f>
        <v>43771</v>
      </c>
      <c r="P27" s="313">
        <f t="shared" si="24"/>
        <v>43778</v>
      </c>
      <c r="Q27" s="313">
        <f t="shared" si="24"/>
        <v>43785</v>
      </c>
      <c r="R27" s="313">
        <f t="shared" si="24"/>
        <v>43792</v>
      </c>
      <c r="S27" s="313">
        <f t="shared" si="24"/>
        <v>43799</v>
      </c>
      <c r="T27" s="313">
        <f t="shared" si="24"/>
        <v>43806</v>
      </c>
      <c r="U27" s="313">
        <f t="shared" si="24"/>
        <v>43813</v>
      </c>
      <c r="V27" s="313">
        <f t="shared" si="24"/>
        <v>43820</v>
      </c>
      <c r="W27" s="313">
        <f t="shared" si="24"/>
        <v>43827</v>
      </c>
      <c r="X27" s="313">
        <f t="shared" si="24"/>
        <v>43834</v>
      </c>
      <c r="Y27" s="313">
        <f t="shared" si="24"/>
        <v>43841</v>
      </c>
      <c r="Z27" s="313">
        <f t="shared" si="24"/>
        <v>43848</v>
      </c>
      <c r="AA27" s="313">
        <f t="shared" si="24"/>
        <v>43855</v>
      </c>
      <c r="AB27" s="313">
        <f t="shared" si="24"/>
        <v>43862</v>
      </c>
      <c r="AC27" s="313">
        <f t="shared" si="24"/>
        <v>43869</v>
      </c>
    </row>
    <row r="28" spans="1:29" x14ac:dyDescent="0.25">
      <c r="A28" s="304" t="str">
        <f t="shared" si="19"/>
        <v>Juveniles</v>
      </c>
      <c r="B28" s="305">
        <f t="shared" si="20"/>
        <v>2.0153643822889273E-2</v>
      </c>
      <c r="C28" s="41"/>
      <c r="D28" s="276"/>
      <c r="E28" s="314"/>
      <c r="F28" s="58"/>
      <c r="G28" s="299" t="s">
        <v>549</v>
      </c>
      <c r="H28" s="303">
        <f>M16</f>
        <v>465920</v>
      </c>
      <c r="I28" s="269">
        <f t="shared" si="22"/>
        <v>5.6444411546535929E-3</v>
      </c>
      <c r="K28" s="315"/>
      <c r="L28" s="315"/>
      <c r="M28" s="315"/>
      <c r="N28" s="315"/>
      <c r="O28" s="257"/>
      <c r="P28" s="257"/>
      <c r="Q28" s="257"/>
      <c r="R28" s="257"/>
      <c r="S28" s="257"/>
      <c r="T28" s="257"/>
      <c r="U28" s="257"/>
      <c r="V28" s="257"/>
      <c r="W28" s="257"/>
      <c r="X28" s="257"/>
      <c r="Y28" s="257"/>
      <c r="Z28" s="257"/>
      <c r="AA28" s="257"/>
      <c r="AB28" s="257"/>
      <c r="AC28" s="257"/>
    </row>
    <row r="29" spans="1:29" x14ac:dyDescent="0.25">
      <c r="A29" s="304" t="str">
        <f t="shared" si="19"/>
        <v>Compra</v>
      </c>
      <c r="B29" s="305">
        <f t="shared" si="20"/>
        <v>0</v>
      </c>
      <c r="D29" s="247" t="s">
        <v>568</v>
      </c>
      <c r="E29" s="256">
        <f>SUM(E30:E34)</f>
        <v>5496263.9652345022</v>
      </c>
      <c r="F29" s="257">
        <f>E29/E35</f>
        <v>7.6164389889657222E-2</v>
      </c>
      <c r="G29" s="299" t="s">
        <v>553</v>
      </c>
      <c r="H29" s="303">
        <f>M18</f>
        <v>1044480</v>
      </c>
      <c r="I29" s="269">
        <f t="shared" si="22"/>
        <v>1.2653472478564099E-2</v>
      </c>
      <c r="K29" s="316"/>
      <c r="L29" s="316"/>
      <c r="M29" s="317" t="s">
        <v>545</v>
      </c>
      <c r="N29" s="318">
        <v>18</v>
      </c>
      <c r="O29" s="318">
        <v>18</v>
      </c>
      <c r="P29" s="318">
        <v>18</v>
      </c>
      <c r="Q29" s="318">
        <v>18</v>
      </c>
      <c r="R29" s="318">
        <v>18</v>
      </c>
      <c r="S29" s="318">
        <v>18</v>
      </c>
      <c r="T29" s="318"/>
      <c r="U29" s="318"/>
      <c r="V29" s="318">
        <v>17</v>
      </c>
      <c r="W29" s="318">
        <v>17</v>
      </c>
      <c r="X29" s="318">
        <v>19</v>
      </c>
      <c r="Y29" s="318">
        <v>19</v>
      </c>
      <c r="Z29" s="318"/>
      <c r="AA29" s="318">
        <v>20</v>
      </c>
      <c r="AB29" s="318">
        <v>22</v>
      </c>
      <c r="AC29" s="318">
        <v>21</v>
      </c>
    </row>
    <row r="30" spans="1:29" x14ac:dyDescent="0.25">
      <c r="A30" s="304" t="str">
        <f t="shared" si="19"/>
        <v>Entrenador</v>
      </c>
      <c r="B30" s="305">
        <f t="shared" si="20"/>
        <v>0</v>
      </c>
      <c r="D30" s="281" t="s">
        <v>518</v>
      </c>
      <c r="E30" s="306">
        <f>M11</f>
        <v>66602</v>
      </c>
      <c r="F30" s="58">
        <f>E30/E35</f>
        <v>9.2293614853967802E-4</v>
      </c>
      <c r="G30" s="299" t="s">
        <v>556</v>
      </c>
      <c r="H30" s="303">
        <f>M19</f>
        <v>320000</v>
      </c>
      <c r="I30" s="269">
        <f t="shared" si="22"/>
        <v>3.8766766172071382E-3</v>
      </c>
      <c r="K30" s="41"/>
      <c r="L30" s="597" t="s">
        <v>569</v>
      </c>
      <c r="M30" s="319" t="s">
        <v>127</v>
      </c>
      <c r="N30" s="318">
        <v>950340</v>
      </c>
      <c r="O30" s="318">
        <v>949900</v>
      </c>
      <c r="P30" s="318">
        <v>1007530</v>
      </c>
      <c r="Q30" s="318">
        <v>1065770</v>
      </c>
      <c r="R30" s="318">
        <v>1065800</v>
      </c>
      <c r="S30" s="318">
        <v>1092850</v>
      </c>
      <c r="T30" s="318"/>
      <c r="U30" s="318"/>
      <c r="V30" s="318">
        <v>1154480</v>
      </c>
      <c r="W30" s="318">
        <v>1166260</v>
      </c>
      <c r="X30" s="318">
        <v>1290910</v>
      </c>
      <c r="Y30" s="318">
        <v>1318910</v>
      </c>
      <c r="Z30" s="318"/>
      <c r="AA30" s="318">
        <v>1335700</v>
      </c>
      <c r="AB30" s="318">
        <v>1391860</v>
      </c>
      <c r="AC30" s="318">
        <v>1417100</v>
      </c>
    </row>
    <row r="31" spans="1:29" x14ac:dyDescent="0.25">
      <c r="A31" s="304" t="str">
        <f t="shared" si="19"/>
        <v>Viajes+Venta</v>
      </c>
      <c r="B31" s="305">
        <f t="shared" si="20"/>
        <v>6.0460931468667824E-3</v>
      </c>
      <c r="D31" s="281" t="s">
        <v>540</v>
      </c>
      <c r="E31" s="306">
        <f>M12</f>
        <v>0</v>
      </c>
      <c r="F31" s="58">
        <f>E31/E35</f>
        <v>0</v>
      </c>
      <c r="G31" s="299" t="s">
        <v>559</v>
      </c>
      <c r="H31" s="303">
        <f>M22</f>
        <v>96000</v>
      </c>
      <c r="I31" s="269">
        <f t="shared" si="22"/>
        <v>1.1630029851621413E-3</v>
      </c>
      <c r="K31" s="41"/>
      <c r="L31" s="597"/>
      <c r="M31" s="319" t="s">
        <v>468</v>
      </c>
      <c r="N31" s="318">
        <v>162436</v>
      </c>
      <c r="O31" s="318">
        <v>162436</v>
      </c>
      <c r="P31" s="318">
        <v>162436</v>
      </c>
      <c r="Q31" s="318">
        <v>162436</v>
      </c>
      <c r="R31" s="318">
        <v>162436</v>
      </c>
      <c r="S31" s="318">
        <v>168396</v>
      </c>
      <c r="T31" s="318"/>
      <c r="U31" s="318"/>
      <c r="V31" s="318">
        <v>175918</v>
      </c>
      <c r="W31" s="318">
        <v>187048</v>
      </c>
      <c r="X31" s="318">
        <v>208526</v>
      </c>
      <c r="Y31" s="318">
        <v>208526</v>
      </c>
      <c r="Z31" s="318"/>
      <c r="AA31" s="318">
        <v>215974</v>
      </c>
      <c r="AB31" s="318">
        <v>225484</v>
      </c>
      <c r="AC31" s="318">
        <v>226850</v>
      </c>
    </row>
    <row r="32" spans="1:29" x14ac:dyDescent="0.25">
      <c r="A32" s="304" t="str">
        <f>L24</f>
        <v>Intereses</v>
      </c>
      <c r="B32" s="305">
        <f>M24/$M$64</f>
        <v>0</v>
      </c>
      <c r="D32" s="281" t="s">
        <v>525</v>
      </c>
      <c r="E32" s="306">
        <f>M6</f>
        <v>3474771</v>
      </c>
      <c r="F32" s="58">
        <f>E32/E35</f>
        <v>4.8151583492948645E-2</v>
      </c>
      <c r="G32" s="299" t="s">
        <v>562</v>
      </c>
      <c r="H32" s="303">
        <f>M24</f>
        <v>0</v>
      </c>
      <c r="I32" s="269">
        <f t="shared" si="22"/>
        <v>0</v>
      </c>
      <c r="K32" s="41"/>
      <c r="L32" s="597"/>
      <c r="M32" s="319" t="s">
        <v>384</v>
      </c>
      <c r="N32" s="318">
        <v>867000</v>
      </c>
      <c r="O32" s="318">
        <v>866870</v>
      </c>
      <c r="P32" s="318">
        <v>921130</v>
      </c>
      <c r="Q32" s="318">
        <v>981580</v>
      </c>
      <c r="R32" s="318">
        <v>981420</v>
      </c>
      <c r="S32" s="318">
        <v>1007480</v>
      </c>
      <c r="T32" s="318"/>
      <c r="U32" s="318"/>
      <c r="V32" s="318">
        <v>1062240</v>
      </c>
      <c r="W32" s="318">
        <v>1070780</v>
      </c>
      <c r="X32" s="318">
        <v>1132060</v>
      </c>
      <c r="Y32" s="318">
        <v>1158820</v>
      </c>
      <c r="Z32" s="318"/>
      <c r="AA32" s="318">
        <v>1184390</v>
      </c>
      <c r="AB32" s="318">
        <v>1192530</v>
      </c>
      <c r="AC32" s="318">
        <v>1226010</v>
      </c>
    </row>
    <row r="33" spans="1:33" ht="18.75" x14ac:dyDescent="0.3">
      <c r="A33" s="41"/>
      <c r="B33" s="320">
        <f>SUM(B24:B32)</f>
        <v>0.36911398661621703</v>
      </c>
      <c r="D33" s="281" t="s">
        <v>527</v>
      </c>
      <c r="E33" s="306">
        <f>M7</f>
        <v>1922890.9652345022</v>
      </c>
      <c r="F33" s="58">
        <f>E33/E35</f>
        <v>2.6646430760566879E-2</v>
      </c>
      <c r="G33" s="276"/>
      <c r="H33" s="277"/>
      <c r="I33" s="269"/>
      <c r="K33" s="41"/>
      <c r="L33" s="597"/>
      <c r="M33" s="319" t="s">
        <v>385</v>
      </c>
      <c r="N33" s="318">
        <v>140830</v>
      </c>
      <c r="O33" s="318">
        <v>140830</v>
      </c>
      <c r="P33" s="318">
        <v>140830</v>
      </c>
      <c r="Q33" s="318">
        <v>140830</v>
      </c>
      <c r="R33" s="318">
        <v>140830</v>
      </c>
      <c r="S33" s="318">
        <v>146790</v>
      </c>
      <c r="T33" s="318"/>
      <c r="U33" s="318"/>
      <c r="V33" s="318">
        <v>148210</v>
      </c>
      <c r="W33" s="318">
        <v>159030</v>
      </c>
      <c r="X33" s="318">
        <v>163720</v>
      </c>
      <c r="Y33" s="318">
        <v>163720</v>
      </c>
      <c r="Z33" s="318"/>
      <c r="AA33" s="318">
        <v>173310</v>
      </c>
      <c r="AB33" s="318">
        <v>173310</v>
      </c>
      <c r="AC33" s="318">
        <v>176410</v>
      </c>
    </row>
    <row r="34" spans="1:33" ht="18.75" x14ac:dyDescent="0.3">
      <c r="A34" s="43"/>
      <c r="B34" s="321"/>
      <c r="D34" s="322" t="s">
        <v>534</v>
      </c>
      <c r="E34" s="323">
        <f>M10</f>
        <v>32000</v>
      </c>
      <c r="F34" s="58">
        <f>E34/E35</f>
        <v>4.4343948760201942E-4</v>
      </c>
      <c r="G34" s="324"/>
      <c r="H34" s="325"/>
      <c r="I34" s="326"/>
      <c r="K34" s="41"/>
      <c r="L34" s="597"/>
      <c r="M34" s="319" t="s">
        <v>389</v>
      </c>
      <c r="N34" s="327" t="s">
        <v>570</v>
      </c>
      <c r="O34" s="327" t="s">
        <v>571</v>
      </c>
      <c r="P34" s="327" t="s">
        <v>572</v>
      </c>
      <c r="Q34" s="327" t="s">
        <v>573</v>
      </c>
      <c r="R34" s="327" t="s">
        <v>574</v>
      </c>
      <c r="S34" s="327" t="s">
        <v>575</v>
      </c>
      <c r="T34" s="327"/>
      <c r="U34" s="327"/>
      <c r="V34" s="327" t="s">
        <v>576</v>
      </c>
      <c r="W34" s="327" t="s">
        <v>577</v>
      </c>
      <c r="X34" s="327" t="s">
        <v>578</v>
      </c>
      <c r="Y34" s="327" t="s">
        <v>571</v>
      </c>
      <c r="Z34" s="327"/>
      <c r="AA34" s="327" t="s">
        <v>574</v>
      </c>
      <c r="AB34" s="327" t="s">
        <v>579</v>
      </c>
      <c r="AC34" s="327" t="s">
        <v>580</v>
      </c>
    </row>
    <row r="35" spans="1:33" ht="18.75" x14ac:dyDescent="0.3">
      <c r="A35" s="598">
        <f>M25</f>
        <v>5860800</v>
      </c>
      <c r="B35" s="598"/>
      <c r="D35" s="328" t="s">
        <v>581</v>
      </c>
      <c r="E35" s="329">
        <f>E29+E21+E15+E5+E10+E24</f>
        <v>72163171.965234503</v>
      </c>
      <c r="F35" s="330">
        <f>F29+F21+F15+F5+F10+F24</f>
        <v>1</v>
      </c>
      <c r="G35" s="328" t="s">
        <v>581</v>
      </c>
      <c r="H35" s="329">
        <f>H26+H18+H10+H5+H22</f>
        <v>72163171.965234503</v>
      </c>
      <c r="I35" s="331">
        <f>H35/$H$74</f>
        <v>0.87422900431600714</v>
      </c>
      <c r="K35" s="41"/>
      <c r="L35" s="597"/>
      <c r="M35" s="319" t="s">
        <v>582</v>
      </c>
      <c r="N35" s="332">
        <v>6</v>
      </c>
      <c r="O35" s="332">
        <v>6</v>
      </c>
      <c r="P35" s="332">
        <v>6</v>
      </c>
      <c r="Q35" s="332">
        <v>6</v>
      </c>
      <c r="R35" s="332">
        <v>6</v>
      </c>
      <c r="S35" s="332">
        <v>6</v>
      </c>
      <c r="T35" s="332"/>
      <c r="U35" s="332"/>
      <c r="V35" s="332">
        <v>6.25</v>
      </c>
      <c r="W35" s="332">
        <v>6.25</v>
      </c>
      <c r="X35" s="332">
        <v>6.25</v>
      </c>
      <c r="Y35" s="332">
        <v>6.25</v>
      </c>
      <c r="Z35" s="332"/>
      <c r="AA35" s="332">
        <v>6.5</v>
      </c>
      <c r="AB35" s="332">
        <v>6.5</v>
      </c>
      <c r="AC35" s="332">
        <v>6.5</v>
      </c>
    </row>
    <row r="36" spans="1:33" x14ac:dyDescent="0.25">
      <c r="E36" s="277"/>
      <c r="F36" s="249"/>
      <c r="G36" s="333"/>
      <c r="H36" s="334">
        <f>E35-H35</f>
        <v>0</v>
      </c>
      <c r="I36" s="277"/>
      <c r="K36" s="41">
        <v>1523038</v>
      </c>
      <c r="L36" s="597"/>
      <c r="M36" s="319" t="s">
        <v>386</v>
      </c>
      <c r="N36" s="332">
        <v>5.25</v>
      </c>
      <c r="O36" s="332">
        <v>5.25</v>
      </c>
      <c r="P36" s="332">
        <v>5.75</v>
      </c>
      <c r="Q36" s="332">
        <v>6</v>
      </c>
      <c r="R36" s="332">
        <v>6</v>
      </c>
      <c r="S36" s="332">
        <v>6</v>
      </c>
      <c r="T36" s="332"/>
      <c r="U36" s="332"/>
      <c r="V36" s="332">
        <v>6</v>
      </c>
      <c r="W36" s="332">
        <v>5.75</v>
      </c>
      <c r="X36" s="332">
        <v>5.75</v>
      </c>
      <c r="Y36" s="332">
        <v>5.75</v>
      </c>
      <c r="Z36" s="332"/>
      <c r="AA36" s="332">
        <v>5.5</v>
      </c>
      <c r="AB36" s="332">
        <v>5.5</v>
      </c>
      <c r="AC36" s="332">
        <v>5.25</v>
      </c>
    </row>
    <row r="37" spans="1:33" x14ac:dyDescent="0.25">
      <c r="E37" s="277"/>
      <c r="F37" s="277"/>
      <c r="H37" s="277"/>
      <c r="I37" s="277"/>
      <c r="K37" s="41"/>
      <c r="L37" s="597"/>
      <c r="M37" s="319" t="s">
        <v>583</v>
      </c>
      <c r="N37" s="332">
        <v>4.25</v>
      </c>
      <c r="O37" s="332">
        <v>4.25</v>
      </c>
      <c r="P37" s="332">
        <v>4.25</v>
      </c>
      <c r="Q37" s="332">
        <v>4.5</v>
      </c>
      <c r="R37" s="332">
        <v>4.5</v>
      </c>
      <c r="S37" s="332">
        <v>4.5</v>
      </c>
      <c r="T37" s="332"/>
      <c r="U37" s="332"/>
      <c r="V37" s="332">
        <v>4.5</v>
      </c>
      <c r="W37" s="332">
        <v>4.75</v>
      </c>
      <c r="X37" s="332">
        <v>4.5</v>
      </c>
      <c r="Y37" s="332">
        <v>4.5</v>
      </c>
      <c r="Z37" s="332"/>
      <c r="AA37" s="332">
        <v>4.5</v>
      </c>
      <c r="AB37" s="332">
        <v>4.5</v>
      </c>
      <c r="AC37" s="332">
        <v>4.5</v>
      </c>
    </row>
    <row r="38" spans="1:33" ht="15.75" x14ac:dyDescent="0.25">
      <c r="D38" s="335"/>
      <c r="E38" s="336"/>
      <c r="F38" s="277"/>
      <c r="G38" s="41"/>
      <c r="H38" s="258"/>
      <c r="I38" s="258"/>
      <c r="K38" s="41"/>
      <c r="L38" s="41"/>
      <c r="M38" s="90" t="s">
        <v>584</v>
      </c>
      <c r="N38" s="337">
        <f t="shared" ref="N38:S38" si="25">N30/N31</f>
        <v>5.8505503706075004</v>
      </c>
      <c r="O38" s="337">
        <f t="shared" si="25"/>
        <v>5.847841611465439</v>
      </c>
      <c r="P38" s="337">
        <f t="shared" si="25"/>
        <v>6.2026274963677999</v>
      </c>
      <c r="Q38" s="337">
        <f t="shared" si="25"/>
        <v>6.5611687064443842</v>
      </c>
      <c r="R38" s="337">
        <f t="shared" si="25"/>
        <v>6.5613533945677069</v>
      </c>
      <c r="S38" s="337">
        <f t="shared" si="25"/>
        <v>6.489762227131286</v>
      </c>
      <c r="T38" s="337"/>
      <c r="U38" s="337"/>
      <c r="V38" s="337">
        <f t="shared" ref="V38:AC38" si="26">V30/V31</f>
        <v>6.5626030309576056</v>
      </c>
      <c r="W38" s="337">
        <f t="shared" si="26"/>
        <v>6.2350840425986913</v>
      </c>
      <c r="X38" s="337">
        <f t="shared" si="26"/>
        <v>6.1906428934521358</v>
      </c>
      <c r="Y38" s="337">
        <f t="shared" si="26"/>
        <v>6.3249187151722088</v>
      </c>
      <c r="Z38" s="337" t="e">
        <f t="shared" si="26"/>
        <v>#DIV/0!</v>
      </c>
      <c r="AA38" s="337">
        <f t="shared" si="26"/>
        <v>6.1845407317547485</v>
      </c>
      <c r="AB38" s="337">
        <f t="shared" si="26"/>
        <v>6.1727661386173738</v>
      </c>
      <c r="AC38" s="337">
        <f t="shared" si="26"/>
        <v>6.246859158033943</v>
      </c>
    </row>
    <row r="39" spans="1:33" x14ac:dyDescent="0.25">
      <c r="E39" s="258"/>
      <c r="F39" s="277"/>
      <c r="H39" s="277"/>
      <c r="I39" s="277"/>
      <c r="K39" s="41"/>
      <c r="L39" s="41"/>
      <c r="M39" s="41"/>
      <c r="N39" s="42"/>
      <c r="O39" s="338"/>
      <c r="P39" s="594"/>
      <c r="Q39" s="594"/>
      <c r="R39" s="594"/>
      <c r="S39" s="594"/>
    </row>
    <row r="40" spans="1:33" ht="21" x14ac:dyDescent="0.35">
      <c r="A40" s="417"/>
      <c r="B40" s="417"/>
      <c r="C40" s="417"/>
      <c r="D40" s="599" t="s">
        <v>585</v>
      </c>
      <c r="E40" s="600"/>
      <c r="F40" s="600"/>
      <c r="G40" s="600"/>
      <c r="H40" s="600"/>
      <c r="I40" s="601"/>
      <c r="J40" s="418"/>
      <c r="K40" s="417"/>
      <c r="L40" s="417"/>
      <c r="M40" s="417"/>
      <c r="N40" s="419">
        <v>43637</v>
      </c>
      <c r="O40" s="419">
        <f t="shared" ref="O40:AD40" si="27">N40+7</f>
        <v>43644</v>
      </c>
      <c r="P40" s="419">
        <f t="shared" si="27"/>
        <v>43651</v>
      </c>
      <c r="Q40" s="419">
        <f t="shared" si="27"/>
        <v>43658</v>
      </c>
      <c r="R40" s="419">
        <f t="shared" si="27"/>
        <v>43665</v>
      </c>
      <c r="S40" s="419">
        <f t="shared" si="27"/>
        <v>43672</v>
      </c>
      <c r="T40" s="419">
        <f t="shared" si="27"/>
        <v>43679</v>
      </c>
      <c r="U40" s="419">
        <f t="shared" si="27"/>
        <v>43686</v>
      </c>
      <c r="V40" s="419">
        <f t="shared" si="27"/>
        <v>43693</v>
      </c>
      <c r="W40" s="419">
        <f t="shared" si="27"/>
        <v>43700</v>
      </c>
      <c r="X40" s="419">
        <f t="shared" si="27"/>
        <v>43707</v>
      </c>
      <c r="Y40" s="419">
        <f t="shared" si="27"/>
        <v>43714</v>
      </c>
      <c r="Z40" s="419">
        <f t="shared" si="27"/>
        <v>43721</v>
      </c>
      <c r="AA40" s="419">
        <f t="shared" si="27"/>
        <v>43728</v>
      </c>
      <c r="AB40" s="419">
        <f t="shared" si="27"/>
        <v>43735</v>
      </c>
      <c r="AC40" s="419">
        <f t="shared" si="27"/>
        <v>43742</v>
      </c>
      <c r="AD40" s="420">
        <f t="shared" si="27"/>
        <v>43749</v>
      </c>
      <c r="AE40" s="418"/>
    </row>
    <row r="41" spans="1:33" x14ac:dyDescent="0.25">
      <c r="A41" s="43"/>
      <c r="B41" s="43"/>
      <c r="C41" s="43"/>
      <c r="D41" s="602" t="s">
        <v>498</v>
      </c>
      <c r="E41" s="603"/>
      <c r="F41" s="604"/>
      <c r="G41" s="604"/>
      <c r="H41" s="604"/>
      <c r="I41" s="605"/>
      <c r="K41" s="43"/>
      <c r="L41" s="43"/>
      <c r="M41" s="43" t="s">
        <v>499</v>
      </c>
      <c r="N41" s="242" t="s">
        <v>515</v>
      </c>
      <c r="O41" s="242" t="s">
        <v>500</v>
      </c>
      <c r="P41" s="242" t="s">
        <v>501</v>
      </c>
      <c r="Q41" s="242" t="s">
        <v>502</v>
      </c>
      <c r="R41" s="242" t="s">
        <v>503</v>
      </c>
      <c r="S41" s="242" t="s">
        <v>504</v>
      </c>
      <c r="T41" s="242" t="s">
        <v>505</v>
      </c>
      <c r="U41" s="242" t="s">
        <v>506</v>
      </c>
      <c r="V41" s="242" t="s">
        <v>507</v>
      </c>
      <c r="W41" s="242" t="s">
        <v>508</v>
      </c>
      <c r="X41" s="242" t="s">
        <v>509</v>
      </c>
      <c r="Y41" s="242" t="s">
        <v>510</v>
      </c>
      <c r="Z41" s="242" t="s">
        <v>511</v>
      </c>
      <c r="AA41" s="242" t="s">
        <v>512</v>
      </c>
      <c r="AB41" s="242" t="s">
        <v>513</v>
      </c>
      <c r="AC41" s="242" t="s">
        <v>514</v>
      </c>
      <c r="AD41" s="241" t="s">
        <v>515</v>
      </c>
    </row>
    <row r="42" spans="1:33" ht="18.75" x14ac:dyDescent="0.3">
      <c r="A42" s="41"/>
      <c r="B42" s="41"/>
      <c r="C42" s="41"/>
      <c r="D42" s="606" t="s">
        <v>516</v>
      </c>
      <c r="E42" s="607"/>
      <c r="F42" s="243"/>
      <c r="G42" s="608" t="s">
        <v>517</v>
      </c>
      <c r="H42" s="609"/>
      <c r="I42" s="244"/>
      <c r="K42" s="41"/>
      <c r="L42" s="90"/>
      <c r="M42" s="90" t="s">
        <v>518</v>
      </c>
      <c r="N42" s="246">
        <v>1766</v>
      </c>
      <c r="O42" s="246">
        <v>1776</v>
      </c>
      <c r="P42" s="246">
        <f t="shared" ref="P42:AD42" si="28">O42+O50/30</f>
        <v>1784</v>
      </c>
      <c r="Q42" s="246">
        <f t="shared" si="28"/>
        <v>1794</v>
      </c>
      <c r="R42" s="246">
        <f t="shared" si="28"/>
        <v>1804</v>
      </c>
      <c r="S42" s="246">
        <f t="shared" si="28"/>
        <v>1813</v>
      </c>
      <c r="T42" s="246">
        <f t="shared" si="28"/>
        <v>1823</v>
      </c>
      <c r="U42" s="246">
        <f t="shared" si="28"/>
        <v>1831</v>
      </c>
      <c r="V42" s="246">
        <f t="shared" si="28"/>
        <v>1839</v>
      </c>
      <c r="W42" s="246">
        <f t="shared" si="28"/>
        <v>1847</v>
      </c>
      <c r="X42" s="246">
        <f t="shared" si="28"/>
        <v>1855</v>
      </c>
      <c r="Y42" s="246">
        <f t="shared" si="28"/>
        <v>1863</v>
      </c>
      <c r="Z42" s="246">
        <f t="shared" si="28"/>
        <v>1871</v>
      </c>
      <c r="AA42" s="246">
        <f t="shared" si="28"/>
        <v>1877</v>
      </c>
      <c r="AB42" s="246">
        <f t="shared" si="28"/>
        <v>1885</v>
      </c>
      <c r="AC42" s="246">
        <f t="shared" si="28"/>
        <v>1893</v>
      </c>
      <c r="AD42" s="245">
        <f t="shared" si="28"/>
        <v>1901</v>
      </c>
    </row>
    <row r="43" spans="1:33" ht="18.75" x14ac:dyDescent="0.3">
      <c r="A43" s="41"/>
      <c r="B43" s="41"/>
      <c r="C43" s="41"/>
      <c r="D43" s="247"/>
      <c r="E43" s="248"/>
      <c r="F43" s="249"/>
      <c r="G43" s="250"/>
      <c r="H43" s="249"/>
      <c r="I43" s="251"/>
      <c r="K43" s="252" t="s">
        <v>519</v>
      </c>
      <c r="L43" s="252"/>
      <c r="M43" s="253">
        <f>19299694+500000</f>
        <v>19799694</v>
      </c>
      <c r="N43" s="254">
        <f>M43</f>
        <v>19799694</v>
      </c>
      <c r="O43" s="254">
        <f t="shared" ref="O43:AD43" si="29">N43-N52+N62</f>
        <v>19299694</v>
      </c>
      <c r="P43" s="254">
        <f t="shared" si="29"/>
        <v>18799694</v>
      </c>
      <c r="Q43" s="254">
        <f t="shared" si="29"/>
        <v>18299694</v>
      </c>
      <c r="R43" s="254">
        <f t="shared" si="29"/>
        <v>17799694</v>
      </c>
      <c r="S43" s="254">
        <f t="shared" si="29"/>
        <v>17299694</v>
      </c>
      <c r="T43" s="254">
        <f t="shared" si="29"/>
        <v>16799694</v>
      </c>
      <c r="U43" s="254">
        <f t="shared" si="29"/>
        <v>16299694</v>
      </c>
      <c r="V43" s="254">
        <f t="shared" si="29"/>
        <v>15799694</v>
      </c>
      <c r="W43" s="254">
        <f t="shared" si="29"/>
        <v>15299694</v>
      </c>
      <c r="X43" s="254">
        <f t="shared" si="29"/>
        <v>14799694</v>
      </c>
      <c r="Y43" s="254">
        <f t="shared" si="29"/>
        <v>14299694</v>
      </c>
      <c r="Z43" s="254">
        <f t="shared" si="29"/>
        <v>13799694</v>
      </c>
      <c r="AA43" s="254">
        <f t="shared" si="29"/>
        <v>13299694</v>
      </c>
      <c r="AB43" s="254">
        <f t="shared" si="29"/>
        <v>12799694</v>
      </c>
      <c r="AC43" s="254">
        <f t="shared" si="29"/>
        <v>12299694</v>
      </c>
      <c r="AD43" s="254">
        <f t="shared" si="29"/>
        <v>11799694</v>
      </c>
    </row>
    <row r="44" spans="1:33" ht="18.75" x14ac:dyDescent="0.3">
      <c r="A44" s="255"/>
      <c r="B44" s="255"/>
      <c r="C44" s="255"/>
      <c r="D44" s="247" t="s">
        <v>520</v>
      </c>
      <c r="E44" s="256">
        <f>SUM(E45:E47)</f>
        <v>6219750</v>
      </c>
      <c r="F44" s="257">
        <f>E44/E74</f>
        <v>7.5349873093356556E-2</v>
      </c>
      <c r="G44" s="247" t="s">
        <v>521</v>
      </c>
      <c r="H44" s="258">
        <f>H45+H46</f>
        <v>64054290</v>
      </c>
      <c r="I44" s="259">
        <f>H44/$H$74</f>
        <v>0.77599302585876562</v>
      </c>
      <c r="K44" s="260" t="s">
        <v>522</v>
      </c>
      <c r="L44" s="260"/>
      <c r="M44" s="261">
        <f>8890545-289136+582050-500000</f>
        <v>8683459</v>
      </c>
      <c r="N44" s="262">
        <f>M44</f>
        <v>8683459</v>
      </c>
      <c r="O44" s="262">
        <f t="shared" ref="O44:AD44" si="30">N65</f>
        <v>9623483</v>
      </c>
      <c r="P44" s="262">
        <f t="shared" si="30"/>
        <v>9994868</v>
      </c>
      <c r="Q44" s="262">
        <f t="shared" si="30"/>
        <v>10377155</v>
      </c>
      <c r="R44" s="262">
        <f t="shared" si="30"/>
        <v>11240455</v>
      </c>
      <c r="S44" s="262">
        <f t="shared" si="30"/>
        <v>11827122</v>
      </c>
      <c r="T44" s="262">
        <f t="shared" si="30"/>
        <v>12507638</v>
      </c>
      <c r="U44" s="262">
        <f t="shared" si="30"/>
        <v>14308664</v>
      </c>
      <c r="V44" s="262">
        <f t="shared" si="30"/>
        <v>13015507</v>
      </c>
      <c r="W44" s="262">
        <f t="shared" si="30"/>
        <v>13799559</v>
      </c>
      <c r="X44" s="262">
        <f t="shared" si="30"/>
        <v>9963702</v>
      </c>
      <c r="Y44" s="262">
        <f t="shared" si="30"/>
        <v>10648895</v>
      </c>
      <c r="Z44" s="262">
        <f t="shared" si="30"/>
        <v>10943045</v>
      </c>
      <c r="AA44" s="262">
        <f t="shared" si="30"/>
        <v>11375008</v>
      </c>
      <c r="AB44" s="262">
        <f t="shared" si="30"/>
        <v>12059732</v>
      </c>
      <c r="AC44" s="262">
        <f t="shared" si="30"/>
        <v>12337744</v>
      </c>
      <c r="AD44" s="262">
        <f t="shared" si="30"/>
        <v>9052949</v>
      </c>
    </row>
    <row r="45" spans="1:33" x14ac:dyDescent="0.25">
      <c r="A45" s="263" t="str">
        <f t="shared" ref="A45:A52" si="31">L45</f>
        <v>Taquillas</v>
      </c>
      <c r="B45" s="264">
        <f t="shared" ref="B45:B52" si="32">M45/$M$53</f>
        <v>0.20206635531242556</v>
      </c>
      <c r="D45" s="265" t="s">
        <v>523</v>
      </c>
      <c r="E45" s="266">
        <f>2231620+305380</f>
        <v>2537000</v>
      </c>
      <c r="F45" s="58">
        <f>E45/E74</f>
        <v>3.0734776805795342E-2</v>
      </c>
      <c r="G45" s="267" t="s">
        <v>524</v>
      </c>
      <c r="H45" s="268">
        <v>300000</v>
      </c>
      <c r="I45" s="269">
        <f>H45/$H$74</f>
        <v>3.6343843286316918E-3</v>
      </c>
      <c r="K45" s="270" t="s">
        <v>525</v>
      </c>
      <c r="L45" s="270" t="s">
        <v>525</v>
      </c>
      <c r="M45" s="271">
        <f t="shared" ref="M45:M64" si="33">SUM(N45:AD45)</f>
        <v>3506373</v>
      </c>
      <c r="N45" s="272">
        <v>27383</v>
      </c>
      <c r="O45" s="272">
        <f>9097+21309</f>
        <v>30406</v>
      </c>
      <c r="P45" s="272">
        <v>74243</v>
      </c>
      <c r="Q45" s="272">
        <v>543126</v>
      </c>
      <c r="R45" s="272">
        <v>259003</v>
      </c>
      <c r="S45" s="272">
        <f>29598+336329</f>
        <v>365927</v>
      </c>
      <c r="T45" s="272">
        <f>36229+369218</f>
        <v>405447</v>
      </c>
      <c r="U45" s="272">
        <v>37304</v>
      </c>
      <c r="V45" s="272">
        <f>400709+8561</f>
        <v>409270</v>
      </c>
      <c r="W45" s="272">
        <v>10821</v>
      </c>
      <c r="X45" s="272">
        <v>399051</v>
      </c>
      <c r="Y45" s="272">
        <v>17866</v>
      </c>
      <c r="Z45" s="272">
        <v>8449</v>
      </c>
      <c r="AA45" s="272">
        <v>420290</v>
      </c>
      <c r="AB45" s="272">
        <v>11170</v>
      </c>
      <c r="AC45" s="272">
        <v>457164</v>
      </c>
      <c r="AD45" s="272">
        <v>29453</v>
      </c>
    </row>
    <row r="46" spans="1:33" x14ac:dyDescent="0.25">
      <c r="A46" s="263" t="str">
        <f t="shared" si="31"/>
        <v>Patrocinadores</v>
      </c>
      <c r="B46" s="264">
        <f t="shared" si="32"/>
        <v>9.8984981024725888E-2</v>
      </c>
      <c r="D46" s="265" t="s">
        <v>391</v>
      </c>
      <c r="E46" s="266">
        <f>102000+300+2105000+1475000+450</f>
        <v>3682750</v>
      </c>
      <c r="F46" s="58">
        <f>E46/E74</f>
        <v>4.4615096287561211E-2</v>
      </c>
      <c r="G46" s="267" t="s">
        <v>526</v>
      </c>
      <c r="H46" s="268">
        <f>63754290</f>
        <v>63754290</v>
      </c>
      <c r="I46" s="269">
        <f>H46/$H$74</f>
        <v>0.772358641530134</v>
      </c>
      <c r="K46" s="270" t="s">
        <v>527</v>
      </c>
      <c r="L46" s="270" t="s">
        <v>527</v>
      </c>
      <c r="M46" s="271">
        <f t="shared" si="33"/>
        <v>1717645</v>
      </c>
      <c r="N46" s="273">
        <v>101385</v>
      </c>
      <c r="O46" s="273">
        <v>76225</v>
      </c>
      <c r="P46" s="273">
        <v>87880</v>
      </c>
      <c r="Q46" s="273">
        <v>94910</v>
      </c>
      <c r="R46" s="273">
        <v>98980</v>
      </c>
      <c r="S46" s="273">
        <v>101385</v>
      </c>
      <c r="T46" s="273">
        <f>S46+1500</f>
        <v>102885</v>
      </c>
      <c r="U46" s="273">
        <v>103605</v>
      </c>
      <c r="V46" s="273">
        <v>104160</v>
      </c>
      <c r="W46" s="273">
        <v>104530</v>
      </c>
      <c r="X46" s="273">
        <v>104900</v>
      </c>
      <c r="Y46" s="273">
        <v>105270</v>
      </c>
      <c r="Z46" s="273">
        <v>105640</v>
      </c>
      <c r="AA46" s="273">
        <v>106010</v>
      </c>
      <c r="AB46" s="273">
        <v>106380</v>
      </c>
      <c r="AC46" s="273">
        <v>106565</v>
      </c>
      <c r="AD46" s="273">
        <v>106935</v>
      </c>
    </row>
    <row r="47" spans="1:33" x14ac:dyDescent="0.25">
      <c r="A47" s="263" t="str">
        <f t="shared" si="31"/>
        <v>Ventas</v>
      </c>
      <c r="B47" s="264">
        <f t="shared" si="32"/>
        <v>6.2008639405939703E-2</v>
      </c>
      <c r="D47" s="274" t="s">
        <v>528</v>
      </c>
      <c r="E47" s="275">
        <v>0</v>
      </c>
      <c r="F47" s="58">
        <f>E47/E74</f>
        <v>0</v>
      </c>
      <c r="G47" s="276"/>
      <c r="H47" s="277"/>
      <c r="I47" s="259"/>
      <c r="K47" s="270" t="s">
        <v>529</v>
      </c>
      <c r="L47" s="270" t="s">
        <v>530</v>
      </c>
      <c r="M47" s="271">
        <f t="shared" si="33"/>
        <v>1076010</v>
      </c>
      <c r="N47" s="272">
        <v>0</v>
      </c>
      <c r="O47" s="272">
        <v>0</v>
      </c>
      <c r="P47" s="272">
        <v>0</v>
      </c>
      <c r="Q47" s="272">
        <v>0</v>
      </c>
      <c r="R47" s="272">
        <v>0</v>
      </c>
      <c r="S47" s="272">
        <v>0</v>
      </c>
      <c r="T47" s="272">
        <f>959760+116250</f>
        <v>1076010</v>
      </c>
      <c r="U47" s="272">
        <v>0</v>
      </c>
      <c r="V47" s="272">
        <v>0</v>
      </c>
      <c r="W47" s="272">
        <v>0</v>
      </c>
      <c r="X47" s="272">
        <v>0</v>
      </c>
      <c r="Y47" s="272">
        <v>0</v>
      </c>
      <c r="Z47" s="272">
        <v>0</v>
      </c>
      <c r="AA47" s="272">
        <v>0</v>
      </c>
      <c r="AB47" s="272">
        <v>0</v>
      </c>
      <c r="AC47" s="272">
        <v>0</v>
      </c>
      <c r="AD47" s="272">
        <v>0</v>
      </c>
      <c r="AF47" s="277"/>
      <c r="AG47" s="277"/>
    </row>
    <row r="48" spans="1:33" x14ac:dyDescent="0.25">
      <c r="A48" s="263" t="str">
        <f t="shared" si="31"/>
        <v>VentasCantera</v>
      </c>
      <c r="B48" s="264">
        <f t="shared" si="32"/>
        <v>5.4035186233380141E-2</v>
      </c>
      <c r="D48" s="278"/>
      <c r="E48" s="248"/>
      <c r="F48" s="257"/>
      <c r="G48" s="276"/>
      <c r="H48" s="277"/>
      <c r="I48" s="259"/>
      <c r="K48" s="270"/>
      <c r="L48" s="270" t="s">
        <v>531</v>
      </c>
      <c r="M48" s="271">
        <f t="shared" si="33"/>
        <v>937650</v>
      </c>
      <c r="N48" s="272">
        <v>133000</v>
      </c>
      <c r="O48" s="272">
        <v>44650</v>
      </c>
      <c r="P48" s="272">
        <v>0</v>
      </c>
      <c r="Q48" s="272">
        <v>0</v>
      </c>
      <c r="R48" s="272">
        <v>0</v>
      </c>
      <c r="S48" s="272">
        <v>0</v>
      </c>
      <c r="T48" s="272">
        <v>0</v>
      </c>
      <c r="U48" s="272">
        <v>0</v>
      </c>
      <c r="V48" s="272">
        <v>0</v>
      </c>
      <c r="W48" s="272">
        <v>25650</v>
      </c>
      <c r="X48" s="272">
        <v>0</v>
      </c>
      <c r="Y48" s="272">
        <v>0</v>
      </c>
      <c r="Z48" s="272">
        <v>0</v>
      </c>
      <c r="AA48" s="272">
        <v>0</v>
      </c>
      <c r="AB48" s="272">
        <v>0</v>
      </c>
      <c r="AC48" s="272">
        <v>734350</v>
      </c>
      <c r="AD48" s="272">
        <v>0</v>
      </c>
    </row>
    <row r="49" spans="1:38" x14ac:dyDescent="0.25">
      <c r="A49" s="263" t="str">
        <f t="shared" si="31"/>
        <v>Comisiones</v>
      </c>
      <c r="B49" s="264">
        <f t="shared" si="32"/>
        <v>2.1313254707570319E-2</v>
      </c>
      <c r="D49" s="247" t="s">
        <v>532</v>
      </c>
      <c r="E49" s="256">
        <f>E50+E51+E52</f>
        <v>11299694</v>
      </c>
      <c r="F49" s="257">
        <f>E49/E74</f>
        <v>0.13689143597311185</v>
      </c>
      <c r="G49" s="247" t="s">
        <v>533</v>
      </c>
      <c r="H49" s="258">
        <f>SUM(H50:H55)</f>
        <v>2612618</v>
      </c>
      <c r="I49" s="259">
        <f t="shared" ref="I49:I55" si="34">H49/$H$74</f>
        <v>3.1650859719670243E-2</v>
      </c>
      <c r="K49" s="270" t="s">
        <v>534</v>
      </c>
      <c r="L49" s="270" t="s">
        <v>534</v>
      </c>
      <c r="M49" s="271">
        <f t="shared" si="33"/>
        <v>369840</v>
      </c>
      <c r="N49" s="273">
        <f>1750+16320+2040</f>
        <v>20110</v>
      </c>
      <c r="O49" s="273">
        <v>0</v>
      </c>
      <c r="P49" s="273">
        <v>0</v>
      </c>
      <c r="Q49" s="273">
        <v>5100</v>
      </c>
      <c r="R49" s="273">
        <v>8550</v>
      </c>
      <c r="S49" s="273">
        <v>0</v>
      </c>
      <c r="T49" s="273">
        <v>4040</v>
      </c>
      <c r="U49" s="273">
        <v>0</v>
      </c>
      <c r="V49" s="273">
        <f>33660+30340</f>
        <v>64000</v>
      </c>
      <c r="W49" s="273">
        <v>0</v>
      </c>
      <c r="X49" s="273">
        <v>3920</v>
      </c>
      <c r="Y49" s="273">
        <v>0</v>
      </c>
      <c r="Z49" s="273">
        <v>146920</v>
      </c>
      <c r="AA49" s="273">
        <v>0</v>
      </c>
      <c r="AB49" s="273">
        <v>0</v>
      </c>
      <c r="AC49" s="273">
        <v>78000</v>
      </c>
      <c r="AD49" s="273">
        <v>39200</v>
      </c>
    </row>
    <row r="50" spans="1:38" x14ac:dyDescent="0.25">
      <c r="A50" s="263" t="str">
        <f t="shared" si="31"/>
        <v>Nuevos Socios</v>
      </c>
      <c r="B50" s="264">
        <f t="shared" si="32"/>
        <v>6.919085586225727E-3</v>
      </c>
      <c r="D50" s="279" t="s">
        <v>535</v>
      </c>
      <c r="E50" s="280">
        <f>N43</f>
        <v>19799694</v>
      </c>
      <c r="F50" s="58">
        <f>E50/E74</f>
        <v>0.23986565861767645</v>
      </c>
      <c r="G50" s="281" t="s">
        <v>536</v>
      </c>
      <c r="H50" s="282">
        <f>37680+114250</f>
        <v>151930</v>
      </c>
      <c r="I50" s="269">
        <f t="shared" si="34"/>
        <v>1.8405733701633764E-3</v>
      </c>
      <c r="K50" s="577" t="s">
        <v>537</v>
      </c>
      <c r="L50" s="270" t="s">
        <v>538</v>
      </c>
      <c r="M50" s="271">
        <f t="shared" si="33"/>
        <v>120064</v>
      </c>
      <c r="N50" s="273">
        <f>52982+150+150</f>
        <v>53282</v>
      </c>
      <c r="O50" s="273">
        <v>240</v>
      </c>
      <c r="P50" s="273">
        <v>300</v>
      </c>
      <c r="Q50" s="273">
        <v>300</v>
      </c>
      <c r="R50" s="273">
        <v>270</v>
      </c>
      <c r="S50" s="273">
        <v>300</v>
      </c>
      <c r="T50" s="273">
        <v>240</v>
      </c>
      <c r="U50" s="273">
        <v>240</v>
      </c>
      <c r="V50" s="273">
        <v>240</v>
      </c>
      <c r="W50" s="273">
        <v>240</v>
      </c>
      <c r="X50" s="273">
        <f>W50</f>
        <v>240</v>
      </c>
      <c r="Y50" s="273">
        <f>X50</f>
        <v>240</v>
      </c>
      <c r="Z50" s="273">
        <v>180</v>
      </c>
      <c r="AA50" s="273">
        <v>240</v>
      </c>
      <c r="AB50" s="273">
        <f>AA50</f>
        <v>240</v>
      </c>
      <c r="AC50" s="273">
        <v>240</v>
      </c>
      <c r="AD50" s="273">
        <f>57032+5730+150+120</f>
        <v>63032</v>
      </c>
    </row>
    <row r="51" spans="1:38" x14ac:dyDescent="0.25">
      <c r="A51" s="263" t="str">
        <f t="shared" si="31"/>
        <v>Premios</v>
      </c>
      <c r="B51" s="264">
        <f t="shared" si="32"/>
        <v>6.4831850383994721E-2</v>
      </c>
      <c r="D51" s="279" t="str">
        <f>L52</f>
        <v>Ing Reservas</v>
      </c>
      <c r="E51" s="347">
        <f>M52*-1</f>
        <v>-8500000</v>
      </c>
      <c r="F51" s="58">
        <f>E51/E74</f>
        <v>-0.1029742226445646</v>
      </c>
      <c r="G51" s="281" t="s">
        <v>539</v>
      </c>
      <c r="H51" s="282">
        <v>0</v>
      </c>
      <c r="I51" s="269">
        <f t="shared" si="34"/>
        <v>0</v>
      </c>
      <c r="K51" s="578"/>
      <c r="L51" s="270" t="s">
        <v>540</v>
      </c>
      <c r="M51" s="271">
        <f t="shared" si="33"/>
        <v>1125000</v>
      </c>
      <c r="N51" s="273">
        <v>400000</v>
      </c>
      <c r="O51" s="273">
        <v>0</v>
      </c>
      <c r="P51" s="273">
        <v>0</v>
      </c>
      <c r="Q51" s="273">
        <v>0</v>
      </c>
      <c r="R51" s="273">
        <v>0</v>
      </c>
      <c r="S51" s="273">
        <v>0</v>
      </c>
      <c r="T51" s="273">
        <v>0</v>
      </c>
      <c r="U51" s="273">
        <v>0</v>
      </c>
      <c r="V51" s="273">
        <v>0</v>
      </c>
      <c r="W51" s="273">
        <v>0</v>
      </c>
      <c r="X51" s="273">
        <v>0</v>
      </c>
      <c r="Y51" s="273">
        <v>0</v>
      </c>
      <c r="Z51" s="273">
        <v>0</v>
      </c>
      <c r="AA51" s="273">
        <v>0</v>
      </c>
      <c r="AB51" s="273">
        <v>0</v>
      </c>
      <c r="AC51" s="273">
        <v>0</v>
      </c>
      <c r="AD51" s="273">
        <f>525000+200000</f>
        <v>725000</v>
      </c>
    </row>
    <row r="52" spans="1:38" ht="18.75" x14ac:dyDescent="0.3">
      <c r="A52" s="263" t="str">
        <f t="shared" si="31"/>
        <v>Ing Reservas</v>
      </c>
      <c r="B52" s="264">
        <f t="shared" si="32"/>
        <v>0.48984064734573796</v>
      </c>
      <c r="C52" s="283"/>
      <c r="D52" s="279" t="str">
        <f>L62</f>
        <v>Pago Reservas</v>
      </c>
      <c r="E52" s="280">
        <f>M62</f>
        <v>0</v>
      </c>
      <c r="F52" s="58">
        <f>E52/E74</f>
        <v>0</v>
      </c>
      <c r="G52" s="281" t="s">
        <v>541</v>
      </c>
      <c r="H52" s="282">
        <f>133000+44650+25650+734350</f>
        <v>937650</v>
      </c>
      <c r="I52" s="269">
        <f t="shared" si="34"/>
        <v>1.1359268219138352E-2</v>
      </c>
      <c r="J52" s="284"/>
      <c r="K52" s="579"/>
      <c r="L52" s="270" t="s">
        <v>542</v>
      </c>
      <c r="M52" s="271">
        <f t="shared" si="33"/>
        <v>8500000</v>
      </c>
      <c r="N52" s="273">
        <v>500000</v>
      </c>
      <c r="O52" s="273">
        <f t="shared" ref="O52:AD52" si="35">N52</f>
        <v>500000</v>
      </c>
      <c r="P52" s="273">
        <f t="shared" si="35"/>
        <v>500000</v>
      </c>
      <c r="Q52" s="273">
        <f t="shared" si="35"/>
        <v>500000</v>
      </c>
      <c r="R52" s="273">
        <f t="shared" si="35"/>
        <v>500000</v>
      </c>
      <c r="S52" s="273">
        <f t="shared" si="35"/>
        <v>500000</v>
      </c>
      <c r="T52" s="273">
        <f t="shared" si="35"/>
        <v>500000</v>
      </c>
      <c r="U52" s="273">
        <f t="shared" si="35"/>
        <v>500000</v>
      </c>
      <c r="V52" s="273">
        <f t="shared" si="35"/>
        <v>500000</v>
      </c>
      <c r="W52" s="273">
        <f t="shared" si="35"/>
        <v>500000</v>
      </c>
      <c r="X52" s="273">
        <f t="shared" si="35"/>
        <v>500000</v>
      </c>
      <c r="Y52" s="273">
        <f t="shared" si="35"/>
        <v>500000</v>
      </c>
      <c r="Z52" s="273">
        <f t="shared" si="35"/>
        <v>500000</v>
      </c>
      <c r="AA52" s="273">
        <f t="shared" si="35"/>
        <v>500000</v>
      </c>
      <c r="AB52" s="273">
        <f t="shared" si="35"/>
        <v>500000</v>
      </c>
      <c r="AC52" s="273">
        <f t="shared" si="35"/>
        <v>500000</v>
      </c>
      <c r="AD52" s="273">
        <f t="shared" si="35"/>
        <v>500000</v>
      </c>
      <c r="AE52" s="284"/>
      <c r="AF52" s="284"/>
      <c r="AG52" s="284"/>
      <c r="AH52" s="284"/>
      <c r="AI52" s="284"/>
      <c r="AJ52" s="284"/>
      <c r="AK52" s="284"/>
      <c r="AL52" s="284"/>
    </row>
    <row r="53" spans="1:38" ht="18.75" x14ac:dyDescent="0.3">
      <c r="A53" s="283"/>
      <c r="B53" s="285">
        <f>SUM(B45:B52)</f>
        <v>1</v>
      </c>
      <c r="D53" s="278"/>
      <c r="E53" s="286"/>
      <c r="G53" s="281" t="s">
        <v>543</v>
      </c>
      <c r="H53" s="282">
        <v>0</v>
      </c>
      <c r="I53" s="269">
        <f t="shared" si="34"/>
        <v>0</v>
      </c>
      <c r="K53" s="287" t="s">
        <v>544</v>
      </c>
      <c r="L53" s="288"/>
      <c r="M53" s="289">
        <f t="shared" si="33"/>
        <v>17352582</v>
      </c>
      <c r="N53" s="290">
        <f t="shared" ref="N53:AD53" si="36">SUM(N45:N52)</f>
        <v>1235160</v>
      </c>
      <c r="O53" s="290">
        <f t="shared" si="36"/>
        <v>651521</v>
      </c>
      <c r="P53" s="290">
        <f t="shared" si="36"/>
        <v>662423</v>
      </c>
      <c r="Q53" s="290">
        <f t="shared" si="36"/>
        <v>1143436</v>
      </c>
      <c r="R53" s="290">
        <f t="shared" si="36"/>
        <v>866803</v>
      </c>
      <c r="S53" s="290">
        <f t="shared" si="36"/>
        <v>967612</v>
      </c>
      <c r="T53" s="290">
        <f t="shared" si="36"/>
        <v>2088622</v>
      </c>
      <c r="U53" s="290">
        <f t="shared" si="36"/>
        <v>641149</v>
      </c>
      <c r="V53" s="290">
        <f t="shared" si="36"/>
        <v>1077670</v>
      </c>
      <c r="W53" s="290">
        <f t="shared" si="36"/>
        <v>641241</v>
      </c>
      <c r="X53" s="290">
        <f t="shared" si="36"/>
        <v>1008111</v>
      </c>
      <c r="Y53" s="290">
        <f t="shared" si="36"/>
        <v>623376</v>
      </c>
      <c r="Z53" s="290">
        <f t="shared" si="36"/>
        <v>761189</v>
      </c>
      <c r="AA53" s="290">
        <f t="shared" si="36"/>
        <v>1026540</v>
      </c>
      <c r="AB53" s="290">
        <f t="shared" si="36"/>
        <v>617790</v>
      </c>
      <c r="AC53" s="290">
        <f t="shared" si="36"/>
        <v>1876319</v>
      </c>
      <c r="AD53" s="290">
        <f t="shared" si="36"/>
        <v>1463620</v>
      </c>
    </row>
    <row r="54" spans="1:38" ht="18.75" x14ac:dyDescent="0.3">
      <c r="A54" s="596">
        <f>M53</f>
        <v>17352582</v>
      </c>
      <c r="B54" s="596"/>
      <c r="D54" s="247" t="s">
        <v>545</v>
      </c>
      <c r="E54" s="256">
        <f>SUM(E55:E58)</f>
        <v>38989445</v>
      </c>
      <c r="F54" s="257">
        <f>E54/E74</f>
        <v>0.47234209296682422</v>
      </c>
      <c r="G54" s="281" t="s">
        <v>546</v>
      </c>
      <c r="H54" s="282">
        <v>0</v>
      </c>
      <c r="I54" s="269">
        <f t="shared" si="34"/>
        <v>0</v>
      </c>
      <c r="K54" s="291" t="s">
        <v>383</v>
      </c>
      <c r="L54" s="292" t="str">
        <f>K54</f>
        <v>Sueldos</v>
      </c>
      <c r="M54" s="293">
        <f t="shared" si="33"/>
        <v>3165576</v>
      </c>
      <c r="N54" s="294">
        <v>162736</v>
      </c>
      <c r="O54" s="294">
        <v>162736</v>
      </c>
      <c r="P54" s="294">
        <v>162736</v>
      </c>
      <c r="Q54" s="294">
        <f>P54</f>
        <v>162736</v>
      </c>
      <c r="R54" s="294">
        <v>162736</v>
      </c>
      <c r="S54" s="294">
        <v>168696</v>
      </c>
      <c r="T54" s="294">
        <f>S54+1500</f>
        <v>170196</v>
      </c>
      <c r="U54" s="294">
        <v>165150</v>
      </c>
      <c r="V54" s="294">
        <v>176218</v>
      </c>
      <c r="W54" s="294">
        <v>176528</v>
      </c>
      <c r="X54" s="294">
        <v>200518</v>
      </c>
      <c r="Y54" s="294">
        <v>208826</v>
      </c>
      <c r="Z54" s="294">
        <v>208826</v>
      </c>
      <c r="AA54" s="294">
        <v>218416</v>
      </c>
      <c r="AB54" s="294">
        <v>217378</v>
      </c>
      <c r="AC54" s="294">
        <v>213994</v>
      </c>
      <c r="AD54" s="294">
        <v>227150</v>
      </c>
    </row>
    <row r="55" spans="1:38" x14ac:dyDescent="0.25">
      <c r="D55" s="279" t="s">
        <v>547</v>
      </c>
      <c r="E55" s="280">
        <v>0</v>
      </c>
      <c r="F55" s="58">
        <f>E55/E74</f>
        <v>0</v>
      </c>
      <c r="G55" s="295" t="s">
        <v>548</v>
      </c>
      <c r="H55" s="296">
        <f>E68-H65</f>
        <v>1523038</v>
      </c>
      <c r="I55" s="269">
        <f t="shared" si="34"/>
        <v>1.8451018130368514E-2</v>
      </c>
      <c r="K55" s="291" t="s">
        <v>549</v>
      </c>
      <c r="L55" s="292" t="str">
        <f>K55</f>
        <v xml:space="preserve">Mantenimiento </v>
      </c>
      <c r="M55" s="293">
        <f t="shared" si="33"/>
        <v>495040</v>
      </c>
      <c r="N55" s="294">
        <v>29120</v>
      </c>
      <c r="O55" s="294">
        <f>N55</f>
        <v>29120</v>
      </c>
      <c r="P55" s="294">
        <f>O55</f>
        <v>29120</v>
      </c>
      <c r="Q55" s="294">
        <f>P55</f>
        <v>29120</v>
      </c>
      <c r="R55" s="294">
        <f t="shared" ref="R55:AD55" si="37">Q55</f>
        <v>29120</v>
      </c>
      <c r="S55" s="294">
        <f t="shared" si="37"/>
        <v>29120</v>
      </c>
      <c r="T55" s="294">
        <f t="shared" si="37"/>
        <v>29120</v>
      </c>
      <c r="U55" s="294">
        <f t="shared" si="37"/>
        <v>29120</v>
      </c>
      <c r="V55" s="294">
        <f t="shared" si="37"/>
        <v>29120</v>
      </c>
      <c r="W55" s="294">
        <f t="shared" si="37"/>
        <v>29120</v>
      </c>
      <c r="X55" s="294">
        <f t="shared" si="37"/>
        <v>29120</v>
      </c>
      <c r="Y55" s="294">
        <f t="shared" si="37"/>
        <v>29120</v>
      </c>
      <c r="Z55" s="294">
        <f t="shared" si="37"/>
        <v>29120</v>
      </c>
      <c r="AA55" s="294">
        <f t="shared" si="37"/>
        <v>29120</v>
      </c>
      <c r="AB55" s="294">
        <f t="shared" si="37"/>
        <v>29120</v>
      </c>
      <c r="AC55" s="294">
        <f t="shared" si="37"/>
        <v>29120</v>
      </c>
      <c r="AD55" s="294">
        <f t="shared" si="37"/>
        <v>29120</v>
      </c>
    </row>
    <row r="56" spans="1:38" ht="20.25" customHeight="1" x14ac:dyDescent="0.25">
      <c r="D56" s="279" t="s">
        <v>545</v>
      </c>
      <c r="E56" s="280">
        <f>14003+1100+450+378420+6200+2100000+19100+99021+350+895000+8000+1838000+8434+5000+1570248+4162000+13170</f>
        <v>11118496</v>
      </c>
      <c r="F56" s="58">
        <f>E56/E74</f>
        <v>0.13469629206784717</v>
      </c>
      <c r="G56" s="278"/>
      <c r="H56" s="277"/>
      <c r="I56" s="297"/>
      <c r="K56" s="291" t="s">
        <v>550</v>
      </c>
      <c r="L56" s="292" t="s">
        <v>523</v>
      </c>
      <c r="M56" s="293">
        <f t="shared" si="33"/>
        <v>305380</v>
      </c>
      <c r="N56" s="294">
        <v>0</v>
      </c>
      <c r="O56" s="294">
        <v>0</v>
      </c>
      <c r="P56" s="294">
        <v>0</v>
      </c>
      <c r="Q56" s="294">
        <v>0</v>
      </c>
      <c r="R56" s="294">
        <v>0</v>
      </c>
      <c r="S56" s="294">
        <v>0</v>
      </c>
      <c r="T56" s="294">
        <v>0</v>
      </c>
      <c r="U56" s="294">
        <v>0</v>
      </c>
      <c r="V56" s="294">
        <v>0</v>
      </c>
      <c r="W56" s="294">
        <v>0</v>
      </c>
      <c r="X56" s="294">
        <v>0</v>
      </c>
      <c r="Y56" s="294">
        <v>0</v>
      </c>
      <c r="Z56" s="294">
        <v>0</v>
      </c>
      <c r="AA56" s="294">
        <v>0</v>
      </c>
      <c r="AB56" s="294">
        <v>0</v>
      </c>
      <c r="AC56" s="294">
        <v>305380</v>
      </c>
      <c r="AD56" s="294">
        <v>0</v>
      </c>
    </row>
    <row r="57" spans="1:38" x14ac:dyDescent="0.25">
      <c r="D57" s="279" t="s">
        <v>551</v>
      </c>
      <c r="E57" s="280">
        <f>7000000+19000+600000+4000+496109+4000+1530000+5500+3450000+10000+2500000+5000+3600000+15000+3869000+5000+245000+2000+4500000+11340</f>
        <v>27870949</v>
      </c>
      <c r="F57" s="58">
        <f>E57/E74</f>
        <v>0.33764580089897706</v>
      </c>
      <c r="G57" s="247" t="s">
        <v>552</v>
      </c>
      <c r="H57" s="298">
        <f>H58</f>
        <v>10256758</v>
      </c>
      <c r="I57" s="259">
        <f>H57/$H$74</f>
        <v>0.12425666845922578</v>
      </c>
      <c r="K57" s="291" t="s">
        <v>553</v>
      </c>
      <c r="L57" s="292" t="str">
        <f>K57</f>
        <v>Empleados</v>
      </c>
      <c r="M57" s="293">
        <f t="shared" si="33"/>
        <v>1109760</v>
      </c>
      <c r="N57" s="294">
        <v>65280</v>
      </c>
      <c r="O57" s="294">
        <f t="shared" ref="O57:AD57" si="38">N57</f>
        <v>65280</v>
      </c>
      <c r="P57" s="294">
        <f t="shared" si="38"/>
        <v>65280</v>
      </c>
      <c r="Q57" s="294">
        <f t="shared" si="38"/>
        <v>65280</v>
      </c>
      <c r="R57" s="294">
        <f t="shared" si="38"/>
        <v>65280</v>
      </c>
      <c r="S57" s="294">
        <f t="shared" si="38"/>
        <v>65280</v>
      </c>
      <c r="T57" s="294">
        <f t="shared" si="38"/>
        <v>65280</v>
      </c>
      <c r="U57" s="294">
        <f t="shared" si="38"/>
        <v>65280</v>
      </c>
      <c r="V57" s="294">
        <f t="shared" si="38"/>
        <v>65280</v>
      </c>
      <c r="W57" s="294">
        <f t="shared" si="38"/>
        <v>65280</v>
      </c>
      <c r="X57" s="294">
        <f t="shared" si="38"/>
        <v>65280</v>
      </c>
      <c r="Y57" s="294">
        <f t="shared" si="38"/>
        <v>65280</v>
      </c>
      <c r="Z57" s="294">
        <f t="shared" si="38"/>
        <v>65280</v>
      </c>
      <c r="AA57" s="294">
        <f t="shared" si="38"/>
        <v>65280</v>
      </c>
      <c r="AB57" s="294">
        <f t="shared" si="38"/>
        <v>65280</v>
      </c>
      <c r="AC57" s="294">
        <f t="shared" si="38"/>
        <v>65280</v>
      </c>
      <c r="AD57" s="294">
        <f t="shared" si="38"/>
        <v>65280</v>
      </c>
    </row>
    <row r="58" spans="1:38" x14ac:dyDescent="0.25">
      <c r="D58" s="279" t="s">
        <v>554</v>
      </c>
      <c r="E58" s="280">
        <v>0</v>
      </c>
      <c r="F58" s="58">
        <f>E58/E74</f>
        <v>0</v>
      </c>
      <c r="G58" s="299" t="s">
        <v>555</v>
      </c>
      <c r="H58" s="300">
        <f>M59</f>
        <v>10256758</v>
      </c>
      <c r="I58" s="269">
        <f>H58/$H$74</f>
        <v>0.12425666845922578</v>
      </c>
      <c r="K58" s="291" t="s">
        <v>556</v>
      </c>
      <c r="L58" s="292" t="str">
        <f>K58</f>
        <v>Juveniles</v>
      </c>
      <c r="M58" s="293">
        <f t="shared" si="33"/>
        <v>340000</v>
      </c>
      <c r="N58" s="294">
        <v>20000</v>
      </c>
      <c r="O58" s="294">
        <f t="shared" ref="O58:AD58" si="39">N58</f>
        <v>20000</v>
      </c>
      <c r="P58" s="294">
        <f t="shared" si="39"/>
        <v>20000</v>
      </c>
      <c r="Q58" s="294">
        <f t="shared" si="39"/>
        <v>20000</v>
      </c>
      <c r="R58" s="294">
        <f t="shared" si="39"/>
        <v>20000</v>
      </c>
      <c r="S58" s="294">
        <f t="shared" si="39"/>
        <v>20000</v>
      </c>
      <c r="T58" s="294">
        <f t="shared" si="39"/>
        <v>20000</v>
      </c>
      <c r="U58" s="294">
        <f t="shared" si="39"/>
        <v>20000</v>
      </c>
      <c r="V58" s="294">
        <f t="shared" si="39"/>
        <v>20000</v>
      </c>
      <c r="W58" s="294">
        <f t="shared" si="39"/>
        <v>20000</v>
      </c>
      <c r="X58" s="294">
        <f t="shared" si="39"/>
        <v>20000</v>
      </c>
      <c r="Y58" s="294">
        <f t="shared" si="39"/>
        <v>20000</v>
      </c>
      <c r="Z58" s="294">
        <f t="shared" si="39"/>
        <v>20000</v>
      </c>
      <c r="AA58" s="294">
        <f t="shared" si="39"/>
        <v>20000</v>
      </c>
      <c r="AB58" s="294">
        <f t="shared" si="39"/>
        <v>20000</v>
      </c>
      <c r="AC58" s="294">
        <f t="shared" si="39"/>
        <v>20000</v>
      </c>
      <c r="AD58" s="294">
        <f t="shared" si="39"/>
        <v>20000</v>
      </c>
    </row>
    <row r="59" spans="1:38" ht="20.25" customHeight="1" x14ac:dyDescent="0.25">
      <c r="D59" s="278"/>
      <c r="E59" s="286"/>
      <c r="G59" s="276"/>
      <c r="H59" s="277"/>
      <c r="I59" s="269"/>
      <c r="K59" s="291" t="s">
        <v>557</v>
      </c>
      <c r="L59" s="292" t="s">
        <v>555</v>
      </c>
      <c r="M59" s="293">
        <f t="shared" si="33"/>
        <v>10256758</v>
      </c>
      <c r="N59" s="294">
        <v>0</v>
      </c>
      <c r="O59" s="294">
        <v>0</v>
      </c>
      <c r="P59" s="294">
        <f t="shared" ref="P59:T60" si="40">O59</f>
        <v>0</v>
      </c>
      <c r="Q59" s="294">
        <f t="shared" si="40"/>
        <v>0</v>
      </c>
      <c r="R59" s="294">
        <f t="shared" si="40"/>
        <v>0</v>
      </c>
      <c r="S59" s="294">
        <f t="shared" si="40"/>
        <v>0</v>
      </c>
      <c r="T59" s="294">
        <f t="shared" si="40"/>
        <v>0</v>
      </c>
      <c r="U59" s="294">
        <v>1570248</v>
      </c>
      <c r="V59" s="294">
        <v>0</v>
      </c>
      <c r="W59" s="294">
        <v>4175170</v>
      </c>
      <c r="X59" s="294">
        <v>0</v>
      </c>
      <c r="Y59" s="294">
        <f t="shared" ref="Y59:AB60" si="41">X59</f>
        <v>0</v>
      </c>
      <c r="Z59" s="294">
        <f t="shared" si="41"/>
        <v>0</v>
      </c>
      <c r="AA59" s="294">
        <f t="shared" si="41"/>
        <v>0</v>
      </c>
      <c r="AB59" s="294">
        <f t="shared" si="41"/>
        <v>0</v>
      </c>
      <c r="AC59" s="294">
        <v>4511340</v>
      </c>
      <c r="AD59" s="294">
        <v>0</v>
      </c>
    </row>
    <row r="60" spans="1:38" x14ac:dyDescent="0.25">
      <c r="D60" s="247" t="s">
        <v>530</v>
      </c>
      <c r="E60" s="301">
        <f>E61</f>
        <v>2013660</v>
      </c>
      <c r="F60" s="257">
        <f>E60/E74</f>
        <v>2.4394714490641643E-2</v>
      </c>
      <c r="G60" s="276"/>
      <c r="H60" s="277"/>
      <c r="I60" s="269"/>
      <c r="K60" s="580" t="s">
        <v>537</v>
      </c>
      <c r="L60" s="292" t="s">
        <v>391</v>
      </c>
      <c r="M60" s="293">
        <f t="shared" si="33"/>
        <v>0</v>
      </c>
      <c r="N60" s="294">
        <v>0</v>
      </c>
      <c r="O60" s="294">
        <f>N60</f>
        <v>0</v>
      </c>
      <c r="P60" s="294">
        <f t="shared" si="40"/>
        <v>0</v>
      </c>
      <c r="Q60" s="294">
        <f t="shared" si="40"/>
        <v>0</v>
      </c>
      <c r="R60" s="294">
        <f t="shared" si="40"/>
        <v>0</v>
      </c>
      <c r="S60" s="294">
        <f t="shared" si="40"/>
        <v>0</v>
      </c>
      <c r="T60" s="294">
        <f t="shared" si="40"/>
        <v>0</v>
      </c>
      <c r="U60" s="294">
        <f>T60</f>
        <v>0</v>
      </c>
      <c r="V60" s="294">
        <f>U60</f>
        <v>0</v>
      </c>
      <c r="W60" s="294">
        <f>V60</f>
        <v>0</v>
      </c>
      <c r="X60" s="294">
        <f>W60</f>
        <v>0</v>
      </c>
      <c r="Y60" s="294">
        <f t="shared" si="41"/>
        <v>0</v>
      </c>
      <c r="Z60" s="294">
        <f t="shared" si="41"/>
        <v>0</v>
      </c>
      <c r="AA60" s="294">
        <f t="shared" si="41"/>
        <v>0</v>
      </c>
      <c r="AB60" s="294">
        <f t="shared" si="41"/>
        <v>0</v>
      </c>
      <c r="AC60" s="294">
        <f>AB60</f>
        <v>0</v>
      </c>
      <c r="AD60" s="294">
        <f>AC60</f>
        <v>0</v>
      </c>
    </row>
    <row r="61" spans="1:38" x14ac:dyDescent="0.25">
      <c r="D61" s="279" t="s">
        <v>530</v>
      </c>
      <c r="E61" s="280">
        <f>M47+M48</f>
        <v>2013660</v>
      </c>
      <c r="F61" s="58">
        <f>E61/E74</f>
        <v>2.4394714490641643E-2</v>
      </c>
      <c r="G61" s="247" t="s">
        <v>558</v>
      </c>
      <c r="H61" s="258">
        <f>SUM(H62:H63)</f>
        <v>305380</v>
      </c>
      <c r="I61" s="259">
        <f>H61/$H$74</f>
        <v>3.6995609542584871E-3</v>
      </c>
      <c r="K61" s="581"/>
      <c r="L61" s="292" t="s">
        <v>559</v>
      </c>
      <c r="M61" s="293">
        <f t="shared" si="33"/>
        <v>205508</v>
      </c>
      <c r="N61" s="294">
        <v>18000</v>
      </c>
      <c r="O61" s="294">
        <v>3000</v>
      </c>
      <c r="P61" s="294">
        <v>3000</v>
      </c>
      <c r="Q61" s="294">
        <v>3000</v>
      </c>
      <c r="R61" s="294">
        <v>3000</v>
      </c>
      <c r="S61" s="294">
        <v>4000</v>
      </c>
      <c r="T61" s="294">
        <v>3000</v>
      </c>
      <c r="U61" s="294">
        <v>84508</v>
      </c>
      <c r="V61" s="294">
        <v>3000</v>
      </c>
      <c r="W61" s="294">
        <v>11000</v>
      </c>
      <c r="X61" s="294">
        <v>8000</v>
      </c>
      <c r="Y61" s="294">
        <v>6000</v>
      </c>
      <c r="Z61" s="294">
        <f>Y61</f>
        <v>6000</v>
      </c>
      <c r="AA61" s="294">
        <v>9000</v>
      </c>
      <c r="AB61" s="294">
        <v>8000</v>
      </c>
      <c r="AC61" s="294">
        <v>16000</v>
      </c>
      <c r="AD61" s="294">
        <v>17000</v>
      </c>
    </row>
    <row r="62" spans="1:38" ht="18.75" x14ac:dyDescent="0.3">
      <c r="C62" s="302"/>
      <c r="D62" s="278"/>
      <c r="E62" s="286"/>
      <c r="G62" s="299" t="s">
        <v>523</v>
      </c>
      <c r="H62" s="303">
        <f>M56</f>
        <v>305380</v>
      </c>
      <c r="I62" s="269">
        <f>H62/$H$74</f>
        <v>3.6995609542584871E-3</v>
      </c>
      <c r="K62" s="582"/>
      <c r="L62" s="292" t="s">
        <v>560</v>
      </c>
      <c r="M62" s="293">
        <f t="shared" si="33"/>
        <v>0</v>
      </c>
      <c r="N62" s="294">
        <v>0</v>
      </c>
      <c r="O62" s="294">
        <f t="shared" ref="O62:Y62" si="42">N62</f>
        <v>0</v>
      </c>
      <c r="P62" s="294">
        <f t="shared" si="42"/>
        <v>0</v>
      </c>
      <c r="Q62" s="294">
        <f t="shared" si="42"/>
        <v>0</v>
      </c>
      <c r="R62" s="294">
        <f t="shared" si="42"/>
        <v>0</v>
      </c>
      <c r="S62" s="294">
        <f t="shared" si="42"/>
        <v>0</v>
      </c>
      <c r="T62" s="294">
        <f t="shared" si="42"/>
        <v>0</v>
      </c>
      <c r="U62" s="294">
        <f t="shared" si="42"/>
        <v>0</v>
      </c>
      <c r="V62" s="294">
        <f t="shared" si="42"/>
        <v>0</v>
      </c>
      <c r="W62" s="294">
        <f t="shared" si="42"/>
        <v>0</v>
      </c>
      <c r="X62" s="294">
        <f t="shared" si="42"/>
        <v>0</v>
      </c>
      <c r="Y62" s="294">
        <f t="shared" si="42"/>
        <v>0</v>
      </c>
      <c r="Z62" s="294">
        <f>Y62</f>
        <v>0</v>
      </c>
      <c r="AA62" s="294">
        <f t="shared" ref="AA62:AD63" si="43">Z62</f>
        <v>0</v>
      </c>
      <c r="AB62" s="294">
        <f t="shared" si="43"/>
        <v>0</v>
      </c>
      <c r="AC62" s="294">
        <f t="shared" si="43"/>
        <v>0</v>
      </c>
      <c r="AD62" s="294">
        <f t="shared" si="43"/>
        <v>0</v>
      </c>
    </row>
    <row r="63" spans="1:38" ht="18.75" x14ac:dyDescent="0.3">
      <c r="A63" s="304" t="str">
        <f t="shared" ref="A63:A70" si="44">L54</f>
        <v>Sueldos</v>
      </c>
      <c r="B63" s="305">
        <f t="shared" ref="B63:B70" si="45">M54/$M$64</f>
        <v>0.19936840999464542</v>
      </c>
      <c r="C63" s="255"/>
      <c r="D63" s="247" t="s">
        <v>561</v>
      </c>
      <c r="E63" s="256">
        <f>E64+E65-E66</f>
        <v>17183459</v>
      </c>
      <c r="F63" s="257">
        <f>E63/E74</f>
        <v>0.20817098033761736</v>
      </c>
      <c r="G63" s="299" t="s">
        <v>391</v>
      </c>
      <c r="H63" s="303">
        <f>M60</f>
        <v>0</v>
      </c>
      <c r="I63" s="269">
        <f>H63/$H$74</f>
        <v>0</v>
      </c>
      <c r="K63" s="291" t="s">
        <v>562</v>
      </c>
      <c r="L63" s="292" t="str">
        <f>K63</f>
        <v>Intereses</v>
      </c>
      <c r="M63" s="293">
        <f t="shared" si="33"/>
        <v>0</v>
      </c>
      <c r="N63" s="294">
        <v>0</v>
      </c>
      <c r="O63" s="294">
        <f t="shared" ref="O63:Y63" si="46">N63</f>
        <v>0</v>
      </c>
      <c r="P63" s="294">
        <f t="shared" si="46"/>
        <v>0</v>
      </c>
      <c r="Q63" s="294">
        <f t="shared" si="46"/>
        <v>0</v>
      </c>
      <c r="R63" s="294">
        <f t="shared" si="46"/>
        <v>0</v>
      </c>
      <c r="S63" s="294">
        <f t="shared" si="46"/>
        <v>0</v>
      </c>
      <c r="T63" s="294">
        <f t="shared" si="46"/>
        <v>0</v>
      </c>
      <c r="U63" s="294">
        <f t="shared" si="46"/>
        <v>0</v>
      </c>
      <c r="V63" s="294">
        <f t="shared" si="46"/>
        <v>0</v>
      </c>
      <c r="W63" s="294">
        <f t="shared" si="46"/>
        <v>0</v>
      </c>
      <c r="X63" s="294">
        <f t="shared" si="46"/>
        <v>0</v>
      </c>
      <c r="Y63" s="294">
        <f t="shared" si="46"/>
        <v>0</v>
      </c>
      <c r="Z63" s="294">
        <f>Y63</f>
        <v>0</v>
      </c>
      <c r="AA63" s="294">
        <f t="shared" si="43"/>
        <v>0</v>
      </c>
      <c r="AB63" s="294">
        <f t="shared" si="43"/>
        <v>0</v>
      </c>
      <c r="AC63" s="294">
        <f t="shared" si="43"/>
        <v>0</v>
      </c>
      <c r="AD63" s="294">
        <f t="shared" si="43"/>
        <v>0</v>
      </c>
    </row>
    <row r="64" spans="1:38" ht="18.75" x14ac:dyDescent="0.3">
      <c r="A64" s="304" t="str">
        <f t="shared" si="44"/>
        <v xml:space="preserve">Mantenimiento </v>
      </c>
      <c r="B64" s="305">
        <f t="shared" si="45"/>
        <v>3.1177686994009707E-2</v>
      </c>
      <c r="C64" s="239"/>
      <c r="D64" s="281" t="s">
        <v>563</v>
      </c>
      <c r="E64" s="306">
        <f>N44</f>
        <v>8683459</v>
      </c>
      <c r="F64" s="58">
        <f>E64/E74</f>
        <v>0.10519675769305274</v>
      </c>
      <c r="G64" s="276"/>
      <c r="H64" s="277"/>
      <c r="I64" s="269"/>
      <c r="K64" s="307" t="s">
        <v>564</v>
      </c>
      <c r="L64" s="308"/>
      <c r="M64" s="309">
        <f t="shared" si="33"/>
        <v>15878022</v>
      </c>
      <c r="N64" s="310">
        <f t="shared" ref="N64:AD64" si="47">SUM(N54:N63)</f>
        <v>295136</v>
      </c>
      <c r="O64" s="310">
        <f t="shared" si="47"/>
        <v>280136</v>
      </c>
      <c r="P64" s="310">
        <f t="shared" si="47"/>
        <v>280136</v>
      </c>
      <c r="Q64" s="310">
        <f t="shared" si="47"/>
        <v>280136</v>
      </c>
      <c r="R64" s="310">
        <f t="shared" si="47"/>
        <v>280136</v>
      </c>
      <c r="S64" s="310">
        <f t="shared" si="47"/>
        <v>287096</v>
      </c>
      <c r="T64" s="310">
        <f t="shared" si="47"/>
        <v>287596</v>
      </c>
      <c r="U64" s="310">
        <f t="shared" si="47"/>
        <v>1934306</v>
      </c>
      <c r="V64" s="310">
        <f t="shared" si="47"/>
        <v>293618</v>
      </c>
      <c r="W64" s="310">
        <f t="shared" si="47"/>
        <v>4477098</v>
      </c>
      <c r="X64" s="310">
        <f t="shared" si="47"/>
        <v>322918</v>
      </c>
      <c r="Y64" s="310">
        <f t="shared" si="47"/>
        <v>329226</v>
      </c>
      <c r="Z64" s="310">
        <f t="shared" si="47"/>
        <v>329226</v>
      </c>
      <c r="AA64" s="310">
        <f t="shared" si="47"/>
        <v>341816</v>
      </c>
      <c r="AB64" s="310">
        <f t="shared" si="47"/>
        <v>339778</v>
      </c>
      <c r="AC64" s="310">
        <f t="shared" si="47"/>
        <v>5161114</v>
      </c>
      <c r="AD64" s="310">
        <f t="shared" si="47"/>
        <v>358550</v>
      </c>
    </row>
    <row r="65" spans="1:30" ht="18.75" x14ac:dyDescent="0.3">
      <c r="A65" s="304" t="str">
        <f t="shared" si="44"/>
        <v>Estadio</v>
      </c>
      <c r="B65" s="305">
        <f t="shared" si="45"/>
        <v>1.9232874220731021E-2</v>
      </c>
      <c r="C65" s="41"/>
      <c r="D65" s="281" t="str">
        <f>D51</f>
        <v>Ing Reservas</v>
      </c>
      <c r="E65" s="351">
        <f>M52</f>
        <v>8500000</v>
      </c>
      <c r="F65" s="58">
        <f>E65/E74</f>
        <v>0.1029742226445646</v>
      </c>
      <c r="G65" s="247" t="s">
        <v>565</v>
      </c>
      <c r="H65" s="258">
        <f>SUM(H66:H71)</f>
        <v>5315884</v>
      </c>
      <c r="I65" s="259">
        <f t="shared" ref="I65:I71" si="48">H65/$H$74</f>
        <v>6.4399885008079846E-2</v>
      </c>
      <c r="K65" s="311" t="s">
        <v>566</v>
      </c>
      <c r="L65" s="311"/>
      <c r="M65" s="262">
        <f t="shared" ref="M65:AD65" si="49">M44+M53-M64</f>
        <v>10158019</v>
      </c>
      <c r="N65" s="262">
        <f t="shared" si="49"/>
        <v>9623483</v>
      </c>
      <c r="O65" s="262">
        <f t="shared" si="49"/>
        <v>9994868</v>
      </c>
      <c r="P65" s="262">
        <f t="shared" si="49"/>
        <v>10377155</v>
      </c>
      <c r="Q65" s="262">
        <f t="shared" si="49"/>
        <v>11240455</v>
      </c>
      <c r="R65" s="262">
        <f t="shared" si="49"/>
        <v>11827122</v>
      </c>
      <c r="S65" s="262">
        <f t="shared" si="49"/>
        <v>12507638</v>
      </c>
      <c r="T65" s="262">
        <f t="shared" si="49"/>
        <v>14308664</v>
      </c>
      <c r="U65" s="262">
        <f t="shared" si="49"/>
        <v>13015507</v>
      </c>
      <c r="V65" s="262">
        <f t="shared" si="49"/>
        <v>13799559</v>
      </c>
      <c r="W65" s="262">
        <f t="shared" si="49"/>
        <v>9963702</v>
      </c>
      <c r="X65" s="262">
        <f t="shared" si="49"/>
        <v>10648895</v>
      </c>
      <c r="Y65" s="262">
        <f t="shared" si="49"/>
        <v>10943045</v>
      </c>
      <c r="Z65" s="262">
        <f t="shared" si="49"/>
        <v>11375008</v>
      </c>
      <c r="AA65" s="262">
        <f t="shared" si="49"/>
        <v>12059732</v>
      </c>
      <c r="AB65" s="262">
        <f t="shared" si="49"/>
        <v>12337744</v>
      </c>
      <c r="AC65" s="262">
        <f t="shared" si="49"/>
        <v>9052949</v>
      </c>
      <c r="AD65" s="262">
        <f t="shared" si="49"/>
        <v>10158019</v>
      </c>
    </row>
    <row r="66" spans="1:30" x14ac:dyDescent="0.25">
      <c r="A66" s="304" t="str">
        <f t="shared" si="44"/>
        <v>Empleados</v>
      </c>
      <c r="B66" s="305">
        <f t="shared" si="45"/>
        <v>6.9892836777780007E-2</v>
      </c>
      <c r="C66" s="43"/>
      <c r="D66" s="281" t="str">
        <f>D52</f>
        <v>Pago Reservas</v>
      </c>
      <c r="E66" s="306">
        <f>M62*-1</f>
        <v>0</v>
      </c>
      <c r="F66" s="58">
        <f>E66/E74</f>
        <v>0</v>
      </c>
      <c r="G66" s="299" t="s">
        <v>567</v>
      </c>
      <c r="H66" s="303">
        <f>M54</f>
        <v>3165576</v>
      </c>
      <c r="I66" s="269">
        <f t="shared" si="48"/>
        <v>3.8349732684975324E-2</v>
      </c>
      <c r="K66" s="312"/>
      <c r="L66" s="312"/>
      <c r="M66" s="312"/>
      <c r="N66" s="313">
        <f>N40+7</f>
        <v>43644</v>
      </c>
      <c r="O66" s="313">
        <f t="shared" ref="O66:AD66" si="50">N66+7</f>
        <v>43651</v>
      </c>
      <c r="P66" s="313">
        <f t="shared" si="50"/>
        <v>43658</v>
      </c>
      <c r="Q66" s="313">
        <f t="shared" si="50"/>
        <v>43665</v>
      </c>
      <c r="R66" s="313">
        <f t="shared" si="50"/>
        <v>43672</v>
      </c>
      <c r="S66" s="313">
        <f t="shared" si="50"/>
        <v>43679</v>
      </c>
      <c r="T66" s="313">
        <f t="shared" si="50"/>
        <v>43686</v>
      </c>
      <c r="U66" s="313">
        <f t="shared" si="50"/>
        <v>43693</v>
      </c>
      <c r="V66" s="313">
        <f t="shared" si="50"/>
        <v>43700</v>
      </c>
      <c r="W66" s="313">
        <f t="shared" si="50"/>
        <v>43707</v>
      </c>
      <c r="X66" s="313">
        <f t="shared" si="50"/>
        <v>43714</v>
      </c>
      <c r="Y66" s="313">
        <f t="shared" si="50"/>
        <v>43721</v>
      </c>
      <c r="Z66" s="313">
        <f t="shared" si="50"/>
        <v>43728</v>
      </c>
      <c r="AA66" s="313">
        <f t="shared" si="50"/>
        <v>43735</v>
      </c>
      <c r="AB66" s="313">
        <f t="shared" si="50"/>
        <v>43742</v>
      </c>
      <c r="AC66" s="313">
        <f t="shared" si="50"/>
        <v>43749</v>
      </c>
      <c r="AD66" s="313">
        <f t="shared" si="50"/>
        <v>43756</v>
      </c>
    </row>
    <row r="67" spans="1:30" x14ac:dyDescent="0.25">
      <c r="A67" s="304" t="str">
        <f t="shared" si="44"/>
        <v>Juveniles</v>
      </c>
      <c r="B67" s="305">
        <f t="shared" si="45"/>
        <v>2.1413246561819855E-2</v>
      </c>
      <c r="C67" s="41"/>
      <c r="D67" s="276"/>
      <c r="E67" s="314"/>
      <c r="F67" s="58"/>
      <c r="G67" s="299" t="s">
        <v>549</v>
      </c>
      <c r="H67" s="303">
        <f>M55</f>
        <v>495040</v>
      </c>
      <c r="I67" s="269">
        <f t="shared" si="48"/>
        <v>5.9972187268194426E-3</v>
      </c>
      <c r="K67" s="315"/>
      <c r="L67" s="315"/>
      <c r="M67" s="315"/>
      <c r="N67" s="315"/>
      <c r="O67" s="315"/>
      <c r="P67" s="315"/>
      <c r="Q67" s="315"/>
      <c r="R67" s="315"/>
      <c r="S67" s="315"/>
      <c r="T67" s="315"/>
      <c r="U67" s="315"/>
      <c r="V67" s="315"/>
      <c r="W67" s="315"/>
      <c r="X67" s="315"/>
      <c r="Y67" s="315"/>
      <c r="Z67" s="315"/>
      <c r="AA67" s="315"/>
      <c r="AB67" s="315"/>
      <c r="AC67" s="315"/>
      <c r="AD67" s="315"/>
    </row>
    <row r="68" spans="1:30" x14ac:dyDescent="0.25">
      <c r="A68" s="304" t="str">
        <f t="shared" si="44"/>
        <v>Compra</v>
      </c>
      <c r="B68" s="305">
        <f t="shared" si="45"/>
        <v>0.64597202346740668</v>
      </c>
      <c r="D68" s="247" t="s">
        <v>568</v>
      </c>
      <c r="E68" s="256">
        <f>SUM(E69:E73)</f>
        <v>6838922</v>
      </c>
      <c r="F68" s="257">
        <f>E68/E74</f>
        <v>8.2850903138448354E-2</v>
      </c>
      <c r="G68" s="299" t="s">
        <v>553</v>
      </c>
      <c r="H68" s="303">
        <f>M57</f>
        <v>1109760</v>
      </c>
      <c r="I68" s="269">
        <f t="shared" si="48"/>
        <v>1.3444314508474355E-2</v>
      </c>
      <c r="K68" s="316"/>
      <c r="L68" s="316"/>
      <c r="M68" s="317" t="s">
        <v>545</v>
      </c>
      <c r="N68" s="318">
        <v>18</v>
      </c>
      <c r="O68" s="318">
        <v>18</v>
      </c>
      <c r="P68" s="318">
        <v>18</v>
      </c>
      <c r="Q68" s="318">
        <v>18</v>
      </c>
      <c r="R68" s="318">
        <v>18</v>
      </c>
      <c r="S68" s="318">
        <v>18</v>
      </c>
      <c r="T68" s="318"/>
      <c r="U68" s="318"/>
      <c r="V68" s="318">
        <v>17</v>
      </c>
      <c r="W68" s="318">
        <v>17</v>
      </c>
      <c r="X68" s="318">
        <v>19</v>
      </c>
      <c r="Y68" s="318">
        <v>19</v>
      </c>
      <c r="Z68" s="318"/>
      <c r="AA68" s="318">
        <v>20</v>
      </c>
      <c r="AB68" s="318">
        <v>20</v>
      </c>
      <c r="AC68" s="318">
        <v>22</v>
      </c>
      <c r="AD68" s="318">
        <v>21</v>
      </c>
    </row>
    <row r="69" spans="1:30" x14ac:dyDescent="0.25">
      <c r="A69" s="304" t="str">
        <f t="shared" si="44"/>
        <v>Entrenador</v>
      </c>
      <c r="B69" s="305">
        <f t="shared" si="45"/>
        <v>0</v>
      </c>
      <c r="D69" s="281" t="s">
        <v>518</v>
      </c>
      <c r="E69" s="306">
        <f>M50</f>
        <v>120064</v>
      </c>
      <c r="F69" s="58">
        <f>E69/E74</f>
        <v>1.4545290667761183E-3</v>
      </c>
      <c r="G69" s="299" t="s">
        <v>556</v>
      </c>
      <c r="H69" s="303">
        <f>M58</f>
        <v>340000</v>
      </c>
      <c r="I69" s="269">
        <f t="shared" si="48"/>
        <v>4.1189689057825841E-3</v>
      </c>
      <c r="K69" s="41"/>
      <c r="L69" s="597" t="s">
        <v>569</v>
      </c>
      <c r="M69" s="319" t="s">
        <v>127</v>
      </c>
      <c r="N69" s="318">
        <v>950340</v>
      </c>
      <c r="O69" s="318">
        <v>949900</v>
      </c>
      <c r="P69" s="318">
        <v>1007530</v>
      </c>
      <c r="Q69" s="318">
        <v>1065770</v>
      </c>
      <c r="R69" s="318">
        <v>1065800</v>
      </c>
      <c r="S69" s="318">
        <v>1092850</v>
      </c>
      <c r="T69" s="318"/>
      <c r="U69" s="318"/>
      <c r="V69" s="318">
        <v>1154480</v>
      </c>
      <c r="W69" s="318">
        <v>1166260</v>
      </c>
      <c r="X69" s="318">
        <v>1290910</v>
      </c>
      <c r="Y69" s="318">
        <v>1318910</v>
      </c>
      <c r="Z69" s="318"/>
      <c r="AA69" s="318">
        <v>1329090</v>
      </c>
      <c r="AB69" s="318">
        <v>1335700</v>
      </c>
      <c r="AC69" s="318">
        <v>1391860</v>
      </c>
      <c r="AD69" s="318">
        <v>1417100</v>
      </c>
    </row>
    <row r="70" spans="1:30" x14ac:dyDescent="0.25">
      <c r="A70" s="304" t="str">
        <f t="shared" si="44"/>
        <v>Viajes+Venta</v>
      </c>
      <c r="B70" s="305">
        <f t="shared" si="45"/>
        <v>1.2942921983607279E-2</v>
      </c>
      <c r="D70" s="281" t="s">
        <v>540</v>
      </c>
      <c r="E70" s="306">
        <f>M51</f>
        <v>1125000</v>
      </c>
      <c r="F70" s="58">
        <f>E70/E74</f>
        <v>1.3628941232368845E-2</v>
      </c>
      <c r="G70" s="299" t="s">
        <v>559</v>
      </c>
      <c r="H70" s="303">
        <f>M61</f>
        <v>205508</v>
      </c>
      <c r="I70" s="269">
        <f t="shared" si="48"/>
        <v>2.489650182028139E-3</v>
      </c>
      <c r="K70" s="41"/>
      <c r="L70" s="597"/>
      <c r="M70" s="319" t="s">
        <v>468</v>
      </c>
      <c r="N70" s="318">
        <v>162436</v>
      </c>
      <c r="O70" s="318">
        <v>162436</v>
      </c>
      <c r="P70" s="318">
        <v>162436</v>
      </c>
      <c r="Q70" s="318">
        <v>162436</v>
      </c>
      <c r="R70" s="318">
        <v>162436</v>
      </c>
      <c r="S70" s="318">
        <v>168396</v>
      </c>
      <c r="T70" s="318"/>
      <c r="U70" s="318"/>
      <c r="V70" s="318">
        <v>175918</v>
      </c>
      <c r="W70" s="318">
        <v>187048</v>
      </c>
      <c r="X70" s="318">
        <v>208526</v>
      </c>
      <c r="Y70" s="318">
        <v>208526</v>
      </c>
      <c r="Z70" s="318"/>
      <c r="AA70" s="318">
        <v>217078</v>
      </c>
      <c r="AB70" s="318">
        <v>215974</v>
      </c>
      <c r="AC70" s="318">
        <v>225484</v>
      </c>
      <c r="AD70" s="318">
        <v>226850</v>
      </c>
    </row>
    <row r="71" spans="1:30" x14ac:dyDescent="0.25">
      <c r="A71" s="304" t="str">
        <f>L63</f>
        <v>Intereses</v>
      </c>
      <c r="B71" s="305">
        <f>M63/$M$64</f>
        <v>0</v>
      </c>
      <c r="D71" s="281" t="s">
        <v>525</v>
      </c>
      <c r="E71" s="306">
        <f>M45</f>
        <v>3506373</v>
      </c>
      <c r="F71" s="58">
        <f>E71/E74</f>
        <v>4.247835693845764E-2</v>
      </c>
      <c r="G71" s="299" t="s">
        <v>562</v>
      </c>
      <c r="H71" s="303">
        <f>M63</f>
        <v>0</v>
      </c>
      <c r="I71" s="269">
        <f t="shared" si="48"/>
        <v>0</v>
      </c>
      <c r="K71" s="41"/>
      <c r="L71" s="597"/>
      <c r="M71" s="319" t="s">
        <v>384</v>
      </c>
      <c r="N71" s="318">
        <v>867000</v>
      </c>
      <c r="O71" s="318">
        <v>866870</v>
      </c>
      <c r="P71" s="318">
        <v>921130</v>
      </c>
      <c r="Q71" s="318">
        <v>981580</v>
      </c>
      <c r="R71" s="318">
        <v>981420</v>
      </c>
      <c r="S71" s="318">
        <v>1007480</v>
      </c>
      <c r="T71" s="318"/>
      <c r="U71" s="318"/>
      <c r="V71" s="318">
        <v>1062240</v>
      </c>
      <c r="W71" s="318">
        <v>1070780</v>
      </c>
      <c r="X71" s="318">
        <v>1132060</v>
      </c>
      <c r="Y71" s="318">
        <v>1158820</v>
      </c>
      <c r="Z71" s="318"/>
      <c r="AA71" s="318">
        <v>1172920</v>
      </c>
      <c r="AB71" s="318">
        <v>1184390</v>
      </c>
      <c r="AC71" s="318">
        <v>1192530</v>
      </c>
      <c r="AD71" s="318">
        <v>1226010</v>
      </c>
    </row>
    <row r="72" spans="1:30" ht="18.75" x14ac:dyDescent="0.3">
      <c r="A72" s="41"/>
      <c r="B72" s="320">
        <f>SUM(B63:B71)</f>
        <v>1</v>
      </c>
      <c r="D72" s="281" t="s">
        <v>527</v>
      </c>
      <c r="E72" s="306">
        <f>M46</f>
        <v>1717645</v>
      </c>
      <c r="F72" s="58">
        <f>E72/E74</f>
        <v>2.0808606900508609E-2</v>
      </c>
      <c r="G72" s="276"/>
      <c r="H72" s="277"/>
      <c r="I72" s="269"/>
      <c r="K72" s="41"/>
      <c r="L72" s="597"/>
      <c r="M72" s="319" t="s">
        <v>385</v>
      </c>
      <c r="N72" s="318">
        <v>140830</v>
      </c>
      <c r="O72" s="318">
        <v>140830</v>
      </c>
      <c r="P72" s="318">
        <v>140830</v>
      </c>
      <c r="Q72" s="318">
        <v>140830</v>
      </c>
      <c r="R72" s="318">
        <v>140830</v>
      </c>
      <c r="S72" s="318">
        <v>146790</v>
      </c>
      <c r="T72" s="318"/>
      <c r="U72" s="318"/>
      <c r="V72" s="318">
        <v>148210</v>
      </c>
      <c r="W72" s="318">
        <v>159030</v>
      </c>
      <c r="X72" s="318">
        <v>163720</v>
      </c>
      <c r="Y72" s="318">
        <v>163720</v>
      </c>
      <c r="Z72" s="318"/>
      <c r="AA72" s="318">
        <v>161620</v>
      </c>
      <c r="AB72" s="318">
        <v>173310</v>
      </c>
      <c r="AC72" s="318">
        <v>173310</v>
      </c>
      <c r="AD72" s="318">
        <v>176410</v>
      </c>
    </row>
    <row r="73" spans="1:30" ht="18.75" x14ac:dyDescent="0.3">
      <c r="A73" s="43"/>
      <c r="B73" s="321"/>
      <c r="D73" s="322" t="s">
        <v>534</v>
      </c>
      <c r="E73" s="323">
        <f>M49</f>
        <v>369840</v>
      </c>
      <c r="F73" s="58">
        <f>E73/E74</f>
        <v>4.4804690003371495E-3</v>
      </c>
      <c r="G73" s="324"/>
      <c r="H73" s="325"/>
      <c r="I73" s="326"/>
      <c r="K73" s="41"/>
      <c r="L73" s="597"/>
      <c r="M73" s="319" t="s">
        <v>389</v>
      </c>
      <c r="N73" s="327" t="s">
        <v>570</v>
      </c>
      <c r="O73" s="327" t="s">
        <v>571</v>
      </c>
      <c r="P73" s="327" t="s">
        <v>572</v>
      </c>
      <c r="Q73" s="327" t="s">
        <v>573</v>
      </c>
      <c r="R73" s="327" t="s">
        <v>574</v>
      </c>
      <c r="S73" s="327" t="s">
        <v>575</v>
      </c>
      <c r="T73" s="327"/>
      <c r="U73" s="327"/>
      <c r="V73" s="327" t="s">
        <v>576</v>
      </c>
      <c r="W73" s="327" t="s">
        <v>577</v>
      </c>
      <c r="X73" s="327" t="s">
        <v>578</v>
      </c>
      <c r="Y73" s="327" t="s">
        <v>571</v>
      </c>
      <c r="Z73" s="327"/>
      <c r="AA73" s="327" t="s">
        <v>586</v>
      </c>
      <c r="AB73" s="327" t="s">
        <v>574</v>
      </c>
      <c r="AC73" s="327" t="s">
        <v>579</v>
      </c>
      <c r="AD73" s="327" t="s">
        <v>580</v>
      </c>
    </row>
    <row r="74" spans="1:30" ht="18.75" x14ac:dyDescent="0.3">
      <c r="A74" s="598">
        <f>M64</f>
        <v>15878022</v>
      </c>
      <c r="B74" s="598"/>
      <c r="D74" s="328" t="s">
        <v>581</v>
      </c>
      <c r="E74" s="329">
        <f>E68+E60+E54+E44+E49+E63</f>
        <v>82544930</v>
      </c>
      <c r="F74" s="330">
        <f>F68+F60+F54+F44+F49+F63</f>
        <v>1</v>
      </c>
      <c r="G74" s="328" t="s">
        <v>581</v>
      </c>
      <c r="H74" s="329">
        <f>H65+H57+H49+H44+H61</f>
        <v>82544930</v>
      </c>
      <c r="I74" s="331">
        <f>H74/$H$74</f>
        <v>1</v>
      </c>
      <c r="K74" s="41"/>
      <c r="L74" s="597"/>
      <c r="M74" s="319" t="s">
        <v>582</v>
      </c>
      <c r="N74" s="332">
        <v>6</v>
      </c>
      <c r="O74" s="332">
        <v>6</v>
      </c>
      <c r="P74" s="332">
        <v>6</v>
      </c>
      <c r="Q74" s="332">
        <v>6</v>
      </c>
      <c r="R74" s="332">
        <v>6</v>
      </c>
      <c r="S74" s="332">
        <v>6</v>
      </c>
      <c r="T74" s="332"/>
      <c r="U74" s="332"/>
      <c r="V74" s="332">
        <v>6.25</v>
      </c>
      <c r="W74" s="332">
        <v>6.25</v>
      </c>
      <c r="X74" s="332">
        <v>6.25</v>
      </c>
      <c r="Y74" s="332">
        <v>6.25</v>
      </c>
      <c r="Z74" s="332"/>
      <c r="AA74" s="332">
        <v>6.25</v>
      </c>
      <c r="AB74" s="332">
        <v>6.5</v>
      </c>
      <c r="AC74" s="332">
        <v>6.5</v>
      </c>
      <c r="AD74" s="332">
        <v>6.5</v>
      </c>
    </row>
    <row r="75" spans="1:30" x14ac:dyDescent="0.25">
      <c r="E75" s="277"/>
      <c r="F75" s="249"/>
      <c r="G75" s="333"/>
      <c r="H75" s="334">
        <f>E74-H74</f>
        <v>0</v>
      </c>
      <c r="I75" s="277"/>
      <c r="K75" s="41"/>
      <c r="L75" s="597"/>
      <c r="M75" s="319" t="s">
        <v>386</v>
      </c>
      <c r="N75" s="332">
        <v>5.25</v>
      </c>
      <c r="O75" s="332">
        <v>5.25</v>
      </c>
      <c r="P75" s="332">
        <v>5.75</v>
      </c>
      <c r="Q75" s="332">
        <v>6</v>
      </c>
      <c r="R75" s="332">
        <v>6</v>
      </c>
      <c r="S75" s="332">
        <v>6</v>
      </c>
      <c r="T75" s="332"/>
      <c r="U75" s="332"/>
      <c r="V75" s="332">
        <v>6</v>
      </c>
      <c r="W75" s="332">
        <v>5.75</v>
      </c>
      <c r="X75" s="332">
        <v>5.75</v>
      </c>
      <c r="Y75" s="332">
        <v>5.75</v>
      </c>
      <c r="Z75" s="332"/>
      <c r="AA75" s="332">
        <v>5.5</v>
      </c>
      <c r="AB75" s="332">
        <v>5.5</v>
      </c>
      <c r="AC75" s="332">
        <v>5.5</v>
      </c>
      <c r="AD75" s="332">
        <v>5.25</v>
      </c>
    </row>
    <row r="76" spans="1:30" x14ac:dyDescent="0.25">
      <c r="E76" s="277"/>
      <c r="F76" s="277"/>
      <c r="H76" s="277"/>
      <c r="I76" s="277"/>
      <c r="K76" s="41"/>
      <c r="L76" s="597"/>
      <c r="M76" s="319" t="s">
        <v>583</v>
      </c>
      <c r="N76" s="332">
        <v>4.25</v>
      </c>
      <c r="O76" s="332">
        <v>4.25</v>
      </c>
      <c r="P76" s="332">
        <v>4.25</v>
      </c>
      <c r="Q76" s="332">
        <v>4.5</v>
      </c>
      <c r="R76" s="332">
        <v>4.5</v>
      </c>
      <c r="S76" s="332">
        <v>4.5</v>
      </c>
      <c r="T76" s="332"/>
      <c r="U76" s="332"/>
      <c r="V76" s="332">
        <v>4.5</v>
      </c>
      <c r="W76" s="332">
        <v>4.75</v>
      </c>
      <c r="X76" s="332">
        <v>4.5</v>
      </c>
      <c r="Y76" s="332">
        <v>4.5</v>
      </c>
      <c r="Z76" s="332"/>
      <c r="AA76" s="332">
        <v>4.75</v>
      </c>
      <c r="AB76" s="332">
        <v>4.5</v>
      </c>
      <c r="AC76" s="332">
        <v>4.5</v>
      </c>
      <c r="AD76" s="332">
        <v>4.5</v>
      </c>
    </row>
    <row r="77" spans="1:30" ht="15.75" x14ac:dyDescent="0.25">
      <c r="D77" s="335"/>
      <c r="E77" s="336"/>
      <c r="F77" s="277"/>
      <c r="G77" s="41"/>
      <c r="H77" s="258"/>
      <c r="I77" s="258"/>
      <c r="K77" s="41"/>
      <c r="L77" s="41"/>
      <c r="M77" s="90" t="s">
        <v>584</v>
      </c>
      <c r="N77" s="337">
        <f t="shared" ref="N77:S77" si="51">N69/N70</f>
        <v>5.8505503706075004</v>
      </c>
      <c r="O77" s="337">
        <f t="shared" si="51"/>
        <v>5.847841611465439</v>
      </c>
      <c r="P77" s="337">
        <f t="shared" si="51"/>
        <v>6.2026274963677999</v>
      </c>
      <c r="Q77" s="337">
        <f t="shared" si="51"/>
        <v>6.5611687064443842</v>
      </c>
      <c r="R77" s="337">
        <f t="shared" si="51"/>
        <v>6.5613533945677069</v>
      </c>
      <c r="S77" s="337">
        <f t="shared" si="51"/>
        <v>6.489762227131286</v>
      </c>
      <c r="T77" s="337"/>
      <c r="U77" s="337"/>
      <c r="V77" s="337">
        <f t="shared" ref="V77:AD77" si="52">V69/V70</f>
        <v>6.5626030309576056</v>
      </c>
      <c r="W77" s="337">
        <f t="shared" si="52"/>
        <v>6.2350840425986913</v>
      </c>
      <c r="X77" s="337">
        <f t="shared" si="52"/>
        <v>6.1906428934521358</v>
      </c>
      <c r="Y77" s="337">
        <f t="shared" si="52"/>
        <v>6.3249187151722088</v>
      </c>
      <c r="Z77" s="337" t="e">
        <f t="shared" si="52"/>
        <v>#DIV/0!</v>
      </c>
      <c r="AA77" s="337">
        <f t="shared" si="52"/>
        <v>6.1226379458074982</v>
      </c>
      <c r="AB77" s="337">
        <f t="shared" si="52"/>
        <v>6.1845407317547485</v>
      </c>
      <c r="AC77" s="337">
        <f t="shared" si="52"/>
        <v>6.1727661386173738</v>
      </c>
      <c r="AD77" s="337">
        <f t="shared" si="52"/>
        <v>6.246859158033943</v>
      </c>
    </row>
    <row r="78" spans="1:30" x14ac:dyDescent="0.25">
      <c r="E78" s="258"/>
      <c r="F78" s="277"/>
      <c r="H78" s="277"/>
      <c r="I78" s="277"/>
      <c r="K78" s="41"/>
      <c r="L78" s="41"/>
      <c r="M78" s="41"/>
      <c r="N78" s="42"/>
      <c r="O78" s="338"/>
      <c r="P78" s="594"/>
      <c r="Q78" s="594"/>
      <c r="R78" s="594"/>
      <c r="S78" s="594"/>
    </row>
    <row r="79" spans="1:30" x14ac:dyDescent="0.25">
      <c r="E79" s="277"/>
      <c r="F79" s="277"/>
      <c r="H79" s="277"/>
      <c r="I79" s="277"/>
      <c r="K79" s="41"/>
      <c r="L79" s="41"/>
      <c r="M79" s="41"/>
      <c r="N79" s="339"/>
      <c r="O79" s="339"/>
      <c r="P79" s="339"/>
      <c r="Q79" s="339"/>
      <c r="R79" s="339"/>
      <c r="S79" s="339"/>
      <c r="T79" s="339"/>
      <c r="U79" s="339"/>
      <c r="V79" s="339"/>
      <c r="W79" s="339"/>
      <c r="X79" s="339"/>
      <c r="Y79" s="339"/>
      <c r="AA79" s="340"/>
    </row>
    <row r="80" spans="1:30" x14ac:dyDescent="0.25">
      <c r="K80" s="41"/>
      <c r="L80" s="41"/>
      <c r="M80" s="41"/>
      <c r="O80" s="338"/>
      <c r="P80" s="338"/>
      <c r="Q80" s="338"/>
      <c r="R80" s="338"/>
      <c r="S80" s="338"/>
      <c r="T80" s="338"/>
      <c r="U80" s="338"/>
      <c r="V80" s="346">
        <f>V65-13263538-V52</f>
        <v>36021</v>
      </c>
      <c r="W80" s="338"/>
      <c r="X80" s="338"/>
      <c r="Y80" s="338"/>
      <c r="Z80" s="338"/>
      <c r="AA80" s="338"/>
      <c r="AB80" s="338"/>
      <c r="AC80" s="338"/>
      <c r="AD80" s="338"/>
    </row>
    <row r="81" spans="11:25" x14ac:dyDescent="0.25">
      <c r="K81" s="41"/>
      <c r="L81" s="41"/>
      <c r="M81" s="41"/>
      <c r="O81" s="338"/>
      <c r="P81" s="595"/>
      <c r="Q81" s="595"/>
      <c r="R81" s="595"/>
      <c r="S81" s="595"/>
      <c r="V81" s="340"/>
    </row>
    <row r="82" spans="11:25" x14ac:dyDescent="0.25">
      <c r="K82" s="41"/>
      <c r="L82" s="41"/>
      <c r="M82" s="41"/>
      <c r="N82" s="340"/>
      <c r="O82" s="338"/>
      <c r="P82" s="341"/>
      <c r="Q82" s="341"/>
      <c r="R82" s="341"/>
      <c r="S82" s="341"/>
    </row>
    <row r="83" spans="11:25" x14ac:dyDescent="0.25">
      <c r="K83" s="41"/>
      <c r="L83" s="41"/>
      <c r="M83" s="41"/>
      <c r="O83" s="338"/>
      <c r="P83" s="595"/>
      <c r="Q83" s="595"/>
      <c r="R83" s="595"/>
      <c r="S83" s="595"/>
      <c r="Y83" s="340"/>
    </row>
    <row r="84" spans="11:25" x14ac:dyDescent="0.25">
      <c r="K84" s="41"/>
      <c r="L84" s="41"/>
      <c r="M84" s="41"/>
      <c r="O84" s="338"/>
      <c r="P84" s="595"/>
      <c r="Q84" s="595"/>
      <c r="R84" s="595"/>
      <c r="S84" s="342"/>
    </row>
    <row r="85" spans="11:25" x14ac:dyDescent="0.25">
      <c r="K85" s="41"/>
      <c r="L85" s="41"/>
      <c r="M85" s="41"/>
      <c r="O85" s="338"/>
    </row>
    <row r="86" spans="11:25" x14ac:dyDescent="0.25">
      <c r="K86" s="41"/>
      <c r="L86" s="41"/>
      <c r="M86" s="41"/>
      <c r="O86" s="338"/>
    </row>
    <row r="87" spans="11:25" x14ac:dyDescent="0.25">
      <c r="K87" s="41"/>
      <c r="L87" s="41"/>
      <c r="M87" s="41"/>
      <c r="O87" s="338"/>
    </row>
    <row r="88" spans="11:25" x14ac:dyDescent="0.25">
      <c r="K88" s="41"/>
      <c r="L88" s="41"/>
      <c r="M88" s="41"/>
      <c r="O88" s="338"/>
    </row>
    <row r="89" spans="11:25" x14ac:dyDescent="0.25">
      <c r="K89" s="41"/>
      <c r="L89" s="41"/>
      <c r="M89" s="41"/>
      <c r="O89" s="338"/>
    </row>
    <row r="90" spans="11:25" x14ac:dyDescent="0.25">
      <c r="K90" s="41"/>
      <c r="L90" s="41"/>
      <c r="M90" s="41"/>
      <c r="O90" s="338"/>
    </row>
    <row r="91" spans="11:25" x14ac:dyDescent="0.25">
      <c r="K91" s="41"/>
      <c r="L91" s="41"/>
      <c r="M91" s="41"/>
      <c r="O91" s="338"/>
    </row>
    <row r="92" spans="11:25" x14ac:dyDescent="0.25">
      <c r="K92" s="41"/>
      <c r="L92" s="41"/>
      <c r="M92" s="41"/>
      <c r="O92" s="338"/>
    </row>
    <row r="93" spans="11:25" x14ac:dyDescent="0.25">
      <c r="K93" s="41"/>
      <c r="L93" s="41"/>
      <c r="M93" s="41"/>
      <c r="O93" s="338"/>
    </row>
    <row r="94" spans="11:25" x14ac:dyDescent="0.25">
      <c r="K94" s="41"/>
      <c r="L94" s="41"/>
      <c r="M94" s="41"/>
      <c r="O94" s="338"/>
    </row>
    <row r="95" spans="11:25" x14ac:dyDescent="0.25">
      <c r="K95" s="41"/>
      <c r="L95" s="41"/>
      <c r="M95" s="41"/>
      <c r="O95" s="338"/>
    </row>
    <row r="96" spans="11:25" x14ac:dyDescent="0.25">
      <c r="K96" s="41"/>
      <c r="L96" s="41"/>
      <c r="M96" s="41"/>
      <c r="O96" s="338"/>
    </row>
    <row r="97" spans="11:15" x14ac:dyDescent="0.25">
      <c r="K97" s="41"/>
      <c r="L97" s="41"/>
      <c r="M97" s="41"/>
      <c r="O97" s="338"/>
    </row>
    <row r="98" spans="11:15" x14ac:dyDescent="0.25">
      <c r="K98" s="41"/>
      <c r="L98" s="41"/>
      <c r="M98" s="41"/>
      <c r="O98" s="338"/>
    </row>
    <row r="99" spans="11:15" x14ac:dyDescent="0.25">
      <c r="K99" s="41"/>
      <c r="L99" s="41"/>
      <c r="M99" s="41"/>
      <c r="O99" s="338"/>
    </row>
    <row r="100" spans="11:15" x14ac:dyDescent="0.25">
      <c r="K100" s="41"/>
      <c r="L100" s="41"/>
      <c r="M100" s="41"/>
      <c r="O100" s="338"/>
    </row>
    <row r="101" spans="11:15" x14ac:dyDescent="0.25">
      <c r="K101" s="41"/>
      <c r="L101" s="41"/>
      <c r="M101" s="41"/>
      <c r="O101" s="338"/>
    </row>
    <row r="102" spans="11:15" x14ac:dyDescent="0.25">
      <c r="K102" s="41"/>
      <c r="L102" s="41"/>
      <c r="M102" s="41"/>
      <c r="O102" s="338"/>
    </row>
    <row r="103" spans="11:15" x14ac:dyDescent="0.25">
      <c r="K103" s="41"/>
      <c r="L103" s="41"/>
      <c r="M103" s="41"/>
      <c r="O103" s="338"/>
    </row>
    <row r="104" spans="11:15" x14ac:dyDescent="0.25">
      <c r="K104" s="41"/>
      <c r="L104" s="41"/>
      <c r="M104" s="41"/>
      <c r="O104" s="338"/>
    </row>
    <row r="105" spans="11:15" x14ac:dyDescent="0.25">
      <c r="K105" s="41"/>
      <c r="L105" s="41"/>
      <c r="M105" s="41"/>
      <c r="O105" s="338"/>
    </row>
    <row r="106" spans="11:15" x14ac:dyDescent="0.25">
      <c r="K106" s="41"/>
      <c r="L106" s="41"/>
      <c r="M106" s="41"/>
      <c r="O106" s="338"/>
    </row>
    <row r="107" spans="11:15" x14ac:dyDescent="0.25">
      <c r="K107" s="41"/>
      <c r="L107" s="41"/>
      <c r="M107" s="41"/>
      <c r="O107" s="338"/>
    </row>
    <row r="108" spans="11:15" x14ac:dyDescent="0.25">
      <c r="K108" s="41"/>
      <c r="L108" s="41"/>
      <c r="M108" s="41"/>
      <c r="O108" s="338"/>
    </row>
    <row r="109" spans="11:15" x14ac:dyDescent="0.25">
      <c r="K109" s="41"/>
      <c r="L109" s="41"/>
      <c r="M109" s="41"/>
      <c r="O109" s="338"/>
    </row>
    <row r="110" spans="11:15" x14ac:dyDescent="0.25">
      <c r="K110" s="41"/>
      <c r="L110" s="41"/>
      <c r="M110" s="41"/>
      <c r="O110" s="338"/>
    </row>
    <row r="111" spans="11:15" x14ac:dyDescent="0.25">
      <c r="K111" s="41"/>
      <c r="L111" s="41"/>
      <c r="M111" s="41"/>
      <c r="O111" s="338"/>
    </row>
    <row r="112" spans="11:15" x14ac:dyDescent="0.25">
      <c r="K112" s="41"/>
      <c r="L112" s="41"/>
      <c r="M112" s="41"/>
      <c r="O112" s="338"/>
    </row>
    <row r="113" spans="11:15" x14ac:dyDescent="0.25">
      <c r="K113" s="41"/>
      <c r="L113" s="41"/>
      <c r="M113" s="41"/>
      <c r="O113" s="338"/>
    </row>
    <row r="114" spans="11:15" x14ac:dyDescent="0.25">
      <c r="K114" s="41"/>
      <c r="L114" s="41"/>
      <c r="M114" s="41"/>
      <c r="O114" s="338"/>
    </row>
    <row r="115" spans="11:15" x14ac:dyDescent="0.25">
      <c r="K115" s="41"/>
      <c r="L115" s="41"/>
      <c r="M115" s="41"/>
      <c r="O115" s="338"/>
    </row>
    <row r="116" spans="11:15" x14ac:dyDescent="0.25">
      <c r="K116" s="41"/>
      <c r="L116" s="41"/>
      <c r="M116" s="41"/>
      <c r="O116" s="338"/>
    </row>
    <row r="117" spans="11:15" x14ac:dyDescent="0.25">
      <c r="K117" s="41"/>
      <c r="L117" s="41"/>
      <c r="M117" s="41"/>
      <c r="O117" s="338"/>
    </row>
    <row r="118" spans="11:15" x14ac:dyDescent="0.25">
      <c r="K118" s="41"/>
      <c r="L118" s="41"/>
      <c r="M118" s="41"/>
      <c r="O118" s="338"/>
    </row>
    <row r="119" spans="11:15" x14ac:dyDescent="0.25">
      <c r="K119" s="41"/>
      <c r="L119" s="41"/>
      <c r="M119" s="41"/>
      <c r="O119" s="338"/>
    </row>
    <row r="120" spans="11:15" x14ac:dyDescent="0.25">
      <c r="K120" s="41"/>
      <c r="L120" s="41"/>
      <c r="M120" s="41"/>
      <c r="O120" s="338"/>
    </row>
  </sheetData>
  <mergeCells count="25">
    <mergeCell ref="D1:I1"/>
    <mergeCell ref="D2:I2"/>
    <mergeCell ref="D3:E3"/>
    <mergeCell ref="G3:H3"/>
    <mergeCell ref="K11:K13"/>
    <mergeCell ref="A15:B15"/>
    <mergeCell ref="K21:K23"/>
    <mergeCell ref="L30:L37"/>
    <mergeCell ref="A35:B35"/>
    <mergeCell ref="P39:Q39"/>
    <mergeCell ref="R39:S39"/>
    <mergeCell ref="D40:I40"/>
    <mergeCell ref="D41:I41"/>
    <mergeCell ref="D42:E42"/>
    <mergeCell ref="G42:H42"/>
    <mergeCell ref="K50:K52"/>
    <mergeCell ref="A54:B54"/>
    <mergeCell ref="K60:K62"/>
    <mergeCell ref="L69:L76"/>
    <mergeCell ref="A74:B74"/>
    <mergeCell ref="P78:Q78"/>
    <mergeCell ref="R78:S78"/>
    <mergeCell ref="P81:S81"/>
    <mergeCell ref="P83:S83"/>
    <mergeCell ref="P84:R84"/>
  </mergeCells>
  <conditionalFormatting sqref="E39">
    <cfRule type="cellIs" dxfId="25" priority="1" operator="greaterThan">
      <formula>0</formula>
    </cfRule>
  </conditionalFormatting>
  <conditionalFormatting sqref="E39">
    <cfRule type="cellIs" dxfId="24" priority="2" operator="lessThan">
      <formula>0</formula>
    </cfRule>
  </conditionalFormatting>
  <conditionalFormatting sqref="H38">
    <cfRule type="cellIs" dxfId="23" priority="3" operator="lessThan">
      <formula>0</formula>
    </cfRule>
  </conditionalFormatting>
  <conditionalFormatting sqref="H11:H16">
    <cfRule type="cellIs" dxfId="22" priority="4" operator="lessThan">
      <formula>0</formula>
    </cfRule>
  </conditionalFormatting>
  <conditionalFormatting sqref="H11:H16">
    <cfRule type="cellIs" dxfId="21" priority="5" operator="greaterThan">
      <formula>0</formula>
    </cfRule>
  </conditionalFormatting>
  <conditionalFormatting sqref="E78">
    <cfRule type="cellIs" dxfId="20" priority="6" operator="greaterThan">
      <formula>0</formula>
    </cfRule>
  </conditionalFormatting>
  <conditionalFormatting sqref="E78">
    <cfRule type="cellIs" dxfId="19" priority="7" operator="lessThan">
      <formula>0</formula>
    </cfRule>
  </conditionalFormatting>
  <conditionalFormatting sqref="H77">
    <cfRule type="cellIs" dxfId="18" priority="8" operator="lessThan">
      <formula>0</formula>
    </cfRule>
  </conditionalFormatting>
  <conditionalFormatting sqref="H50:H55">
    <cfRule type="cellIs" dxfId="17" priority="9" operator="lessThan">
      <formula>0</formula>
    </cfRule>
  </conditionalFormatting>
  <conditionalFormatting sqref="H50:H55">
    <cfRule type="cellIs" dxfId="16" priority="10" operator="greaterThan">
      <formula>0</formula>
    </cfRule>
  </conditionalFormatting>
  <pageMargins left="0.7" right="0.7" top="0.75" bottom="0.75" header="0.3" footer="0.3"/>
  <pageSetup paperSize="9" fitToWidth="0"/>
  <legacyDrawing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DEE8"/>
  </sheetPr>
  <dimension ref="A1:S31"/>
  <sheetViews>
    <sheetView workbookViewId="0">
      <selection activeCell="J14" sqref="J14"/>
    </sheetView>
  </sheetViews>
  <sheetFormatPr baseColWidth="10" defaultColWidth="11.42578125" defaultRowHeight="15" x14ac:dyDescent="0.25"/>
  <cols>
    <col min="1" max="1" width="18.85546875" customWidth="1"/>
    <col min="2" max="2" width="5.42578125" customWidth="1"/>
    <col min="3" max="3" width="3" customWidth="1"/>
    <col min="4" max="4" width="4.85546875" customWidth="1"/>
    <col min="5" max="6" width="6" customWidth="1"/>
    <col min="7" max="8" width="4.85546875" customWidth="1"/>
    <col min="9" max="10" width="7.7109375" customWidth="1"/>
    <col min="12" max="12" width="48.140625" customWidth="1"/>
    <col min="14" max="14" width="7.7109375" customWidth="1"/>
    <col min="15" max="15" width="22" customWidth="1"/>
    <col min="16" max="17" width="6" customWidth="1"/>
    <col min="18" max="18" width="8.7109375" customWidth="1"/>
    <col min="19" max="19" width="4.85546875" customWidth="1"/>
  </cols>
  <sheetData>
    <row r="1" spans="1:19" x14ac:dyDescent="0.25">
      <c r="A1" s="23">
        <v>43062</v>
      </c>
      <c r="E1" s="78" t="s">
        <v>587</v>
      </c>
      <c r="F1" s="79" t="s">
        <v>588</v>
      </c>
      <c r="G1" s="80"/>
      <c r="H1" s="80"/>
      <c r="I1" s="81" t="s">
        <v>587</v>
      </c>
      <c r="J1" s="82" t="s">
        <v>588</v>
      </c>
      <c r="P1" s="78" t="s">
        <v>587</v>
      </c>
      <c r="Q1" s="79" t="s">
        <v>588</v>
      </c>
      <c r="R1" s="78"/>
      <c r="S1" s="79"/>
    </row>
    <row r="2" spans="1:19" x14ac:dyDescent="0.25">
      <c r="A2" s="83" t="s">
        <v>183</v>
      </c>
      <c r="B2" s="83" t="s">
        <v>589</v>
      </c>
      <c r="C2" s="83" t="s">
        <v>590</v>
      </c>
      <c r="D2" s="83" t="s">
        <v>134</v>
      </c>
      <c r="E2" s="78" t="s">
        <v>116</v>
      </c>
      <c r="F2" s="79" t="s">
        <v>116</v>
      </c>
      <c r="G2" s="80" t="s">
        <v>115</v>
      </c>
      <c r="H2" s="80" t="s">
        <v>115</v>
      </c>
      <c r="I2" s="81" t="s">
        <v>591</v>
      </c>
      <c r="J2" s="82" t="s">
        <v>591</v>
      </c>
      <c r="P2" s="78" t="s">
        <v>116</v>
      </c>
      <c r="Q2" s="79" t="s">
        <v>116</v>
      </c>
      <c r="R2" s="78" t="s">
        <v>115</v>
      </c>
      <c r="S2" s="79" t="s">
        <v>115</v>
      </c>
    </row>
    <row r="3" spans="1:19" x14ac:dyDescent="0.25">
      <c r="A3" s="41" t="str">
        <f>Plantilla!D4</f>
        <v>Cosme Fonteboa</v>
      </c>
      <c r="B3">
        <f>Plantilla!E4</f>
        <v>28</v>
      </c>
      <c r="C3">
        <f>Plantilla!H4</f>
        <v>4</v>
      </c>
      <c r="D3" s="24">
        <f>Plantilla!I4</f>
        <v>10.4</v>
      </c>
      <c r="E3" s="84">
        <f t="shared" ref="E3" si="0">D3</f>
        <v>10.4</v>
      </c>
      <c r="F3" s="84">
        <f t="shared" ref="F3" si="1">E3+0.1</f>
        <v>10.5</v>
      </c>
      <c r="G3" s="84">
        <f t="shared" ref="G3" si="2">C3</f>
        <v>4</v>
      </c>
      <c r="H3" s="84">
        <f t="shared" ref="H3" si="3">G3+0.99</f>
        <v>4.99</v>
      </c>
      <c r="I3" s="85">
        <f t="shared" ref="I3" si="4">G3*G3*E3</f>
        <v>166.4</v>
      </c>
      <c r="J3" s="85">
        <f t="shared" ref="J3" si="5">H3*H3*F3</f>
        <v>261.45105000000001</v>
      </c>
      <c r="K3" s="86"/>
      <c r="N3" s="41" t="s">
        <v>591</v>
      </c>
      <c r="O3" s="25" t="str">
        <f>A12</f>
        <v>Valeri Gomis</v>
      </c>
      <c r="P3" s="87">
        <f>E12</f>
        <v>8.6</v>
      </c>
      <c r="Q3" s="87">
        <f t="shared" ref="Q3:S3" si="6">F12</f>
        <v>8.6999999999999993</v>
      </c>
      <c r="R3" s="87">
        <f t="shared" si="6"/>
        <v>6</v>
      </c>
      <c r="S3" s="87">
        <f t="shared" si="6"/>
        <v>6.99</v>
      </c>
    </row>
    <row r="4" spans="1:19" x14ac:dyDescent="0.25">
      <c r="A4" s="41" t="str">
        <f>Plantilla!D5</f>
        <v>Nicolae Hornet</v>
      </c>
      <c r="B4">
        <f>Plantilla!E5</f>
        <v>28</v>
      </c>
      <c r="C4">
        <f>Plantilla!H5</f>
        <v>5</v>
      </c>
      <c r="D4" s="24">
        <f>Plantilla!I5</f>
        <v>2.2999999999999998</v>
      </c>
      <c r="E4" s="84">
        <f t="shared" ref="E4:E19" si="7">D4</f>
        <v>2.2999999999999998</v>
      </c>
      <c r="F4" s="84">
        <f t="shared" ref="F4:F19" si="8">E4+0.1</f>
        <v>2.4</v>
      </c>
      <c r="G4" s="84">
        <f t="shared" ref="G4:G19" si="9">C4</f>
        <v>5</v>
      </c>
      <c r="H4" s="84">
        <f t="shared" ref="H4:H19" si="10">G4+0.99</f>
        <v>5.99</v>
      </c>
      <c r="I4" s="85">
        <f t="shared" ref="I4:I19" si="11">G4*G4*E4</f>
        <v>57.499999999999993</v>
      </c>
      <c r="J4" s="85">
        <f t="shared" ref="J4:J19" si="12">H4*H4*F4</f>
        <v>86.112240000000014</v>
      </c>
      <c r="K4" s="86"/>
      <c r="O4" t="str">
        <f>A18</f>
        <v>Meraj Siddiqui</v>
      </c>
      <c r="P4" s="87">
        <f>E18</f>
        <v>14.6</v>
      </c>
      <c r="Q4" s="87">
        <f t="shared" ref="Q4:S4" si="13">F18</f>
        <v>14.7</v>
      </c>
      <c r="R4" s="87">
        <f t="shared" si="13"/>
        <v>2</v>
      </c>
      <c r="S4" s="87">
        <f t="shared" si="13"/>
        <v>2.99</v>
      </c>
    </row>
    <row r="5" spans="1:19" x14ac:dyDescent="0.25">
      <c r="A5" s="41" t="str">
        <f>Plantilla!D17</f>
        <v>Roxelio Reboredo</v>
      </c>
      <c r="B5">
        <f>Plantilla!E17</f>
        <v>32</v>
      </c>
      <c r="C5">
        <f>Plantilla!H17</f>
        <v>3</v>
      </c>
      <c r="D5" s="24">
        <f>Plantilla!I17</f>
        <v>9.9</v>
      </c>
      <c r="E5" s="84">
        <f t="shared" si="7"/>
        <v>9.9</v>
      </c>
      <c r="F5" s="84">
        <f t="shared" si="8"/>
        <v>10</v>
      </c>
      <c r="G5" s="84">
        <f t="shared" si="9"/>
        <v>3</v>
      </c>
      <c r="H5" s="84">
        <f t="shared" si="10"/>
        <v>3.99</v>
      </c>
      <c r="I5" s="85">
        <f t="shared" si="11"/>
        <v>89.100000000000009</v>
      </c>
      <c r="J5" s="85">
        <f t="shared" si="12"/>
        <v>159.20100000000002</v>
      </c>
      <c r="K5" s="86"/>
      <c r="O5" t="str">
        <f>A3</f>
        <v>Cosme Fonteboa</v>
      </c>
      <c r="P5" s="87">
        <f>E3</f>
        <v>10.4</v>
      </c>
      <c r="Q5" s="87">
        <f t="shared" ref="Q5:S5" si="14">F3</f>
        <v>10.5</v>
      </c>
      <c r="R5" s="87">
        <f t="shared" si="14"/>
        <v>4</v>
      </c>
      <c r="S5" s="87">
        <f t="shared" si="14"/>
        <v>4.99</v>
      </c>
    </row>
    <row r="6" spans="1:19" x14ac:dyDescent="0.25">
      <c r="A6" s="41" t="str">
        <f>Plantilla!D6</f>
        <v>Iván Real Figueroa</v>
      </c>
      <c r="B6">
        <f>Plantilla!E6</f>
        <v>27</v>
      </c>
      <c r="C6">
        <f>Plantilla!H6</f>
        <v>4</v>
      </c>
      <c r="D6" s="24">
        <f>Plantilla!I6</f>
        <v>7.5</v>
      </c>
      <c r="E6" s="84">
        <f t="shared" si="7"/>
        <v>7.5</v>
      </c>
      <c r="F6" s="84">
        <f t="shared" si="8"/>
        <v>7.6</v>
      </c>
      <c r="G6" s="84">
        <f t="shared" si="9"/>
        <v>4</v>
      </c>
      <c r="H6" s="84">
        <f t="shared" si="10"/>
        <v>4.99</v>
      </c>
      <c r="I6" s="85">
        <f t="shared" si="11"/>
        <v>120</v>
      </c>
      <c r="J6" s="85">
        <f t="shared" si="12"/>
        <v>189.24075999999999</v>
      </c>
      <c r="K6" s="86"/>
      <c r="O6" t="str">
        <f>A16</f>
        <v>Lenadro Faias</v>
      </c>
      <c r="P6" s="87">
        <f>E16</f>
        <v>7</v>
      </c>
      <c r="Q6" s="87">
        <f t="shared" ref="Q6:S6" si="15">F16</f>
        <v>7.1</v>
      </c>
      <c r="R6" s="87">
        <f t="shared" si="15"/>
        <v>1</v>
      </c>
      <c r="S6" s="87">
        <f t="shared" si="15"/>
        <v>1.99</v>
      </c>
    </row>
    <row r="7" spans="1:19" x14ac:dyDescent="0.25">
      <c r="A7" s="41" t="str">
        <f>Plantilla!D7</f>
        <v>Berto Abandero</v>
      </c>
      <c r="B7">
        <f>Plantilla!E7</f>
        <v>28</v>
      </c>
      <c r="C7">
        <f>Plantilla!H7</f>
        <v>1</v>
      </c>
      <c r="D7" s="24">
        <f>Plantilla!I7</f>
        <v>7.6</v>
      </c>
      <c r="E7" s="84">
        <f t="shared" si="7"/>
        <v>7.6</v>
      </c>
      <c r="F7" s="84">
        <f t="shared" si="8"/>
        <v>7.6999999999999993</v>
      </c>
      <c r="G7" s="84">
        <f t="shared" si="9"/>
        <v>1</v>
      </c>
      <c r="H7" s="84">
        <f t="shared" si="10"/>
        <v>1.99</v>
      </c>
      <c r="I7" s="85">
        <f t="shared" si="11"/>
        <v>7.6</v>
      </c>
      <c r="J7" s="85">
        <f t="shared" si="12"/>
        <v>30.49277</v>
      </c>
      <c r="K7" s="86"/>
      <c r="O7" t="str">
        <f>A13</f>
        <v>Enrique Cubas</v>
      </c>
      <c r="P7" s="87">
        <f>E13</f>
        <v>9.6</v>
      </c>
      <c r="Q7" s="87">
        <f t="shared" ref="Q7:S7" si="16">F13</f>
        <v>9.6999999999999993</v>
      </c>
      <c r="R7" s="87">
        <f t="shared" si="16"/>
        <v>1</v>
      </c>
      <c r="S7" s="87">
        <f t="shared" si="16"/>
        <v>1.99</v>
      </c>
    </row>
    <row r="8" spans="1:19" x14ac:dyDescent="0.25">
      <c r="A8" s="41" t="str">
        <f>Plantilla!D8</f>
        <v>Guillermo Pedrajas</v>
      </c>
      <c r="B8">
        <f>Plantilla!E8</f>
        <v>28</v>
      </c>
      <c r="C8">
        <f>Plantilla!H8</f>
        <v>4</v>
      </c>
      <c r="D8" s="24">
        <f>Plantilla!I8</f>
        <v>8.3000000000000007</v>
      </c>
      <c r="E8" s="84">
        <f t="shared" si="7"/>
        <v>8.3000000000000007</v>
      </c>
      <c r="F8" s="84">
        <f t="shared" si="8"/>
        <v>8.4</v>
      </c>
      <c r="G8" s="84">
        <f t="shared" si="9"/>
        <v>4</v>
      </c>
      <c r="H8" s="84">
        <f t="shared" si="10"/>
        <v>4.99</v>
      </c>
      <c r="I8" s="85">
        <f t="shared" si="11"/>
        <v>132.80000000000001</v>
      </c>
      <c r="J8" s="85">
        <f t="shared" si="12"/>
        <v>209.16084000000004</v>
      </c>
      <c r="K8" s="86"/>
      <c r="O8" t="str">
        <f>A10</f>
        <v>Francesc Añigas</v>
      </c>
      <c r="P8" s="87">
        <f>E10</f>
        <v>9.3000000000000007</v>
      </c>
      <c r="Q8" s="87">
        <f t="shared" ref="Q8:S8" si="17">F10</f>
        <v>9.4</v>
      </c>
      <c r="R8" s="87">
        <f t="shared" si="17"/>
        <v>5</v>
      </c>
      <c r="S8" s="87">
        <f t="shared" si="17"/>
        <v>5.99</v>
      </c>
    </row>
    <row r="9" spans="1:19" x14ac:dyDescent="0.25">
      <c r="A9" s="41" t="str">
        <f>Plantilla!D9</f>
        <v>Venanci Oset</v>
      </c>
      <c r="B9">
        <f>Plantilla!E9</f>
        <v>28</v>
      </c>
      <c r="C9">
        <f>Plantilla!H9</f>
        <v>2</v>
      </c>
      <c r="D9" s="24">
        <f>Plantilla!I9</f>
        <v>7.6</v>
      </c>
      <c r="E9" s="84">
        <f t="shared" si="7"/>
        <v>7.6</v>
      </c>
      <c r="F9" s="84">
        <f t="shared" si="8"/>
        <v>7.6999999999999993</v>
      </c>
      <c r="G9" s="84">
        <f t="shared" si="9"/>
        <v>2</v>
      </c>
      <c r="H9" s="84">
        <f t="shared" si="10"/>
        <v>2.99</v>
      </c>
      <c r="I9" s="85">
        <f t="shared" si="11"/>
        <v>30.4</v>
      </c>
      <c r="J9" s="85">
        <f t="shared" si="12"/>
        <v>68.838769999999997</v>
      </c>
      <c r="K9" s="86"/>
      <c r="O9" t="str">
        <f>A11</f>
        <v>Will Duffill</v>
      </c>
      <c r="P9" s="87">
        <f>E11</f>
        <v>9.3000000000000007</v>
      </c>
      <c r="Q9" s="87">
        <f t="shared" ref="Q9:S9" si="18">F11</f>
        <v>9.4</v>
      </c>
      <c r="R9" s="87">
        <f t="shared" si="18"/>
        <v>3</v>
      </c>
      <c r="S9" s="87">
        <f t="shared" si="18"/>
        <v>3.99</v>
      </c>
    </row>
    <row r="10" spans="1:19" x14ac:dyDescent="0.25">
      <c r="A10" s="41" t="str">
        <f>Plantilla!D10</f>
        <v>Francesc Añigas</v>
      </c>
      <c r="B10">
        <f>Plantilla!E10</f>
        <v>27</v>
      </c>
      <c r="C10">
        <f>Plantilla!H10</f>
        <v>5</v>
      </c>
      <c r="D10" s="24">
        <f>Plantilla!I10</f>
        <v>9.3000000000000007</v>
      </c>
      <c r="E10" s="84">
        <f t="shared" si="7"/>
        <v>9.3000000000000007</v>
      </c>
      <c r="F10" s="84">
        <f t="shared" si="8"/>
        <v>9.4</v>
      </c>
      <c r="G10" s="84">
        <f t="shared" si="9"/>
        <v>5</v>
      </c>
      <c r="H10" s="84">
        <f t="shared" si="10"/>
        <v>5.99</v>
      </c>
      <c r="I10" s="85">
        <f t="shared" si="11"/>
        <v>232.50000000000003</v>
      </c>
      <c r="J10" s="85">
        <f t="shared" si="12"/>
        <v>337.27294000000006</v>
      </c>
      <c r="K10" s="86"/>
      <c r="O10" t="str">
        <f>A17</f>
        <v>Nicolás Galaz</v>
      </c>
      <c r="P10" s="87">
        <f>E17</f>
        <v>6.9</v>
      </c>
      <c r="Q10" s="87">
        <f t="shared" ref="Q10:S10" si="19">F17</f>
        <v>7</v>
      </c>
      <c r="R10" s="87">
        <f t="shared" si="19"/>
        <v>1</v>
      </c>
      <c r="S10" s="87">
        <f t="shared" si="19"/>
        <v>1.99</v>
      </c>
    </row>
    <row r="11" spans="1:19" x14ac:dyDescent="0.25">
      <c r="A11" s="41" t="str">
        <f>Plantilla!D11</f>
        <v>Will Duffill</v>
      </c>
      <c r="B11">
        <f>Plantilla!E11</f>
        <v>27</v>
      </c>
      <c r="C11">
        <f>Plantilla!H11</f>
        <v>3</v>
      </c>
      <c r="D11" s="24">
        <f>Plantilla!I11</f>
        <v>9.3000000000000007</v>
      </c>
      <c r="E11" s="84">
        <f t="shared" si="7"/>
        <v>9.3000000000000007</v>
      </c>
      <c r="F11" s="84">
        <f t="shared" si="8"/>
        <v>9.4</v>
      </c>
      <c r="G11" s="84">
        <f t="shared" si="9"/>
        <v>3</v>
      </c>
      <c r="H11" s="84">
        <f t="shared" si="10"/>
        <v>3.99</v>
      </c>
      <c r="I11" s="85">
        <f t="shared" si="11"/>
        <v>83.7</v>
      </c>
      <c r="J11" s="85">
        <f t="shared" si="12"/>
        <v>149.64894000000001</v>
      </c>
      <c r="K11" s="86"/>
      <c r="O11" t="str">
        <f>A8</f>
        <v>Guillermo Pedrajas</v>
      </c>
      <c r="P11" s="87">
        <f>E8</f>
        <v>8.3000000000000007</v>
      </c>
      <c r="Q11" s="87">
        <f t="shared" ref="Q11:S11" si="20">F8</f>
        <v>8.4</v>
      </c>
      <c r="R11" s="87">
        <f t="shared" si="20"/>
        <v>4</v>
      </c>
      <c r="S11" s="87">
        <f t="shared" si="20"/>
        <v>4.99</v>
      </c>
    </row>
    <row r="12" spans="1:19" x14ac:dyDescent="0.25">
      <c r="A12" s="41" t="str">
        <f>Plantilla!D12</f>
        <v>Valeri Gomis</v>
      </c>
      <c r="B12">
        <f>Plantilla!E12</f>
        <v>27</v>
      </c>
      <c r="C12">
        <f>Plantilla!H12</f>
        <v>6</v>
      </c>
      <c r="D12" s="24">
        <f>Plantilla!I12</f>
        <v>8.6</v>
      </c>
      <c r="E12" s="84">
        <f t="shared" si="7"/>
        <v>8.6</v>
      </c>
      <c r="F12" s="84">
        <f t="shared" si="8"/>
        <v>8.6999999999999993</v>
      </c>
      <c r="G12" s="84">
        <f t="shared" si="9"/>
        <v>6</v>
      </c>
      <c r="H12" s="84">
        <f t="shared" si="10"/>
        <v>6.99</v>
      </c>
      <c r="I12" s="85">
        <f t="shared" si="11"/>
        <v>309.59999999999997</v>
      </c>
      <c r="J12" s="85">
        <f t="shared" si="12"/>
        <v>425.08287000000001</v>
      </c>
      <c r="K12" s="86"/>
      <c r="O12" t="str">
        <f>A7</f>
        <v>Berto Abandero</v>
      </c>
      <c r="P12" s="87">
        <f>E7</f>
        <v>7.6</v>
      </c>
      <c r="Q12" s="87">
        <f t="shared" ref="Q12:S12" si="21">F7</f>
        <v>7.6999999999999993</v>
      </c>
      <c r="R12" s="87">
        <f t="shared" si="21"/>
        <v>1</v>
      </c>
      <c r="S12" s="87">
        <f t="shared" si="21"/>
        <v>1.99</v>
      </c>
    </row>
    <row r="13" spans="1:19" x14ac:dyDescent="0.25">
      <c r="A13" s="41" t="str">
        <f>Plantilla!D13</f>
        <v>Enrique Cubas</v>
      </c>
      <c r="B13">
        <f>Plantilla!E13</f>
        <v>27</v>
      </c>
      <c r="C13">
        <f>Plantilla!H13</f>
        <v>1</v>
      </c>
      <c r="D13" s="24">
        <f>Plantilla!I13</f>
        <v>9.6</v>
      </c>
      <c r="E13" s="84">
        <f t="shared" si="7"/>
        <v>9.6</v>
      </c>
      <c r="F13" s="84">
        <f t="shared" si="8"/>
        <v>9.6999999999999993</v>
      </c>
      <c r="G13" s="84">
        <f t="shared" si="9"/>
        <v>1</v>
      </c>
      <c r="H13" s="84">
        <f t="shared" si="10"/>
        <v>1.99</v>
      </c>
      <c r="I13" s="85">
        <f t="shared" si="11"/>
        <v>9.6</v>
      </c>
      <c r="J13" s="85">
        <f t="shared" si="12"/>
        <v>38.412970000000001</v>
      </c>
      <c r="K13" s="86"/>
      <c r="O13" t="str">
        <f>A9</f>
        <v>Venanci Oset</v>
      </c>
      <c r="P13" s="87">
        <f>E9</f>
        <v>7.6</v>
      </c>
      <c r="Q13" s="87">
        <f t="shared" ref="Q13:S13" si="22">F9</f>
        <v>7.6999999999999993</v>
      </c>
      <c r="R13" s="87">
        <f t="shared" si="22"/>
        <v>2</v>
      </c>
      <c r="S13" s="87">
        <f t="shared" si="22"/>
        <v>2.99</v>
      </c>
    </row>
    <row r="14" spans="1:19" x14ac:dyDescent="0.25">
      <c r="A14" s="41" t="str">
        <f>Plantilla!D14</f>
        <v>J. G. Peñuela</v>
      </c>
      <c r="B14">
        <f>Plantilla!E14</f>
        <v>27</v>
      </c>
      <c r="C14">
        <f>Plantilla!H14</f>
        <v>6</v>
      </c>
      <c r="D14" s="24">
        <f>Plantilla!I14</f>
        <v>8.3000000000000007</v>
      </c>
      <c r="E14" s="84">
        <f t="shared" si="7"/>
        <v>8.3000000000000007</v>
      </c>
      <c r="F14" s="84">
        <f t="shared" si="8"/>
        <v>8.4</v>
      </c>
      <c r="G14" s="84">
        <f t="shared" si="9"/>
        <v>6</v>
      </c>
      <c r="H14" s="84">
        <f t="shared" si="10"/>
        <v>6.99</v>
      </c>
      <c r="I14" s="85">
        <f t="shared" si="11"/>
        <v>298.8</v>
      </c>
      <c r="J14" s="85">
        <f t="shared" si="12"/>
        <v>410.42484000000002</v>
      </c>
      <c r="K14" s="86"/>
      <c r="P14" s="27">
        <f>SUM(P4:P13)/10</f>
        <v>9.0599999999999987</v>
      </c>
      <c r="Q14" s="27">
        <f>SUM(Q4:Q13)/10</f>
        <v>9.16</v>
      </c>
      <c r="R14" s="27"/>
      <c r="S14" s="27"/>
    </row>
    <row r="15" spans="1:19" x14ac:dyDescent="0.25">
      <c r="A15" s="41" t="str">
        <f>Plantilla!D15</f>
        <v>Julian Gräbitz</v>
      </c>
      <c r="B15">
        <f>Plantilla!E15</f>
        <v>27</v>
      </c>
      <c r="C15">
        <f>Plantilla!H15</f>
        <v>2</v>
      </c>
      <c r="D15" s="24">
        <f>Plantilla!I15</f>
        <v>6.1</v>
      </c>
      <c r="E15" s="84">
        <f t="shared" si="7"/>
        <v>6.1</v>
      </c>
      <c r="F15" s="84">
        <f t="shared" si="8"/>
        <v>6.1999999999999993</v>
      </c>
      <c r="G15" s="84">
        <f t="shared" si="9"/>
        <v>2</v>
      </c>
      <c r="H15" s="84">
        <f t="shared" si="10"/>
        <v>2.99</v>
      </c>
      <c r="I15" s="85">
        <f t="shared" si="11"/>
        <v>24.4</v>
      </c>
      <c r="J15" s="85">
        <f t="shared" si="12"/>
        <v>55.428620000000002</v>
      </c>
      <c r="K15" s="86"/>
    </row>
    <row r="16" spans="1:19" x14ac:dyDescent="0.25">
      <c r="A16" s="41" t="str">
        <f>Plantilla!D16</f>
        <v>Lenadro Faias</v>
      </c>
      <c r="B16">
        <f>Plantilla!E16</f>
        <v>30</v>
      </c>
      <c r="C16">
        <f>Plantilla!H16</f>
        <v>1</v>
      </c>
      <c r="D16" s="24">
        <f>Plantilla!I16</f>
        <v>7</v>
      </c>
      <c r="E16" s="84">
        <f t="shared" si="7"/>
        <v>7</v>
      </c>
      <c r="F16" s="84">
        <f t="shared" si="8"/>
        <v>7.1</v>
      </c>
      <c r="G16" s="84">
        <f t="shared" si="9"/>
        <v>1</v>
      </c>
      <c r="H16" s="84">
        <f t="shared" si="10"/>
        <v>1.99</v>
      </c>
      <c r="I16" s="85">
        <f t="shared" si="11"/>
        <v>7</v>
      </c>
      <c r="J16" s="85">
        <f t="shared" si="12"/>
        <v>28.116710000000001</v>
      </c>
      <c r="K16" s="86"/>
      <c r="L16" s="46" t="s">
        <v>592</v>
      </c>
      <c r="O16" t="s">
        <v>593</v>
      </c>
      <c r="P16" s="24">
        <f>SUM(P3:P13)</f>
        <v>99.199999999999989</v>
      </c>
      <c r="Q16" s="24">
        <f>SUM(Q3:Q13)</f>
        <v>100.30000000000001</v>
      </c>
      <c r="R16" s="24"/>
    </row>
    <row r="17" spans="1:18" x14ac:dyDescent="0.25">
      <c r="A17" s="41" t="str">
        <f>Plantilla!D18</f>
        <v>Nicolás Galaz</v>
      </c>
      <c r="B17">
        <f>Plantilla!E18</f>
        <v>28</v>
      </c>
      <c r="C17">
        <f>Plantilla!H18</f>
        <v>1</v>
      </c>
      <c r="D17" s="24">
        <f>Plantilla!I18</f>
        <v>6.9</v>
      </c>
      <c r="E17" s="84">
        <f t="shared" si="7"/>
        <v>6.9</v>
      </c>
      <c r="F17" s="84">
        <f t="shared" si="8"/>
        <v>7</v>
      </c>
      <c r="G17" s="84">
        <f t="shared" si="9"/>
        <v>1</v>
      </c>
      <c r="H17" s="84">
        <f t="shared" si="10"/>
        <v>1.99</v>
      </c>
      <c r="I17" s="85">
        <f t="shared" si="11"/>
        <v>6.9</v>
      </c>
      <c r="J17" s="85">
        <f t="shared" si="12"/>
        <v>27.720700000000001</v>
      </c>
      <c r="K17" s="86"/>
      <c r="O17" t="s">
        <v>594</v>
      </c>
      <c r="P17" s="27">
        <f>P16/17</f>
        <v>5.8352941176470585</v>
      </c>
      <c r="Q17" s="27">
        <f>Q16/17</f>
        <v>5.9</v>
      </c>
      <c r="R17" s="27"/>
    </row>
    <row r="18" spans="1:18" x14ac:dyDescent="0.25">
      <c r="A18" s="41" t="str">
        <f>Plantilla!D19</f>
        <v>Meraj Siddiqui</v>
      </c>
      <c r="B18">
        <f>Plantilla!E19</f>
        <v>30</v>
      </c>
      <c r="C18">
        <f>Plantilla!H19</f>
        <v>2</v>
      </c>
      <c r="D18" s="24">
        <f>Plantilla!I19</f>
        <v>14.6</v>
      </c>
      <c r="E18" s="84">
        <f t="shared" si="7"/>
        <v>14.6</v>
      </c>
      <c r="F18" s="84">
        <f t="shared" si="8"/>
        <v>14.7</v>
      </c>
      <c r="G18" s="84">
        <f t="shared" si="9"/>
        <v>2</v>
      </c>
      <c r="H18" s="84">
        <f t="shared" si="10"/>
        <v>2.99</v>
      </c>
      <c r="I18" s="85">
        <f t="shared" si="11"/>
        <v>58.4</v>
      </c>
      <c r="J18" s="85">
        <f t="shared" si="12"/>
        <v>131.41947000000002</v>
      </c>
      <c r="K18" s="86"/>
      <c r="L18" s="46" t="s">
        <v>595</v>
      </c>
      <c r="O18" t="s">
        <v>596</v>
      </c>
      <c r="P18" s="24">
        <f>R3^2</f>
        <v>36</v>
      </c>
      <c r="Q18" s="24">
        <f>S3^2</f>
        <v>48.860100000000003</v>
      </c>
      <c r="R18" s="24"/>
    </row>
    <row r="19" spans="1:18" x14ac:dyDescent="0.25">
      <c r="A19" s="41" t="str">
        <f>Plantilla!D20</f>
        <v>Rodolfo Rinaldo Paso</v>
      </c>
      <c r="B19">
        <f>Plantilla!E20</f>
        <v>28</v>
      </c>
      <c r="C19">
        <f>Plantilla!H20</f>
        <v>1</v>
      </c>
      <c r="D19" s="24">
        <f>Plantilla!I20</f>
        <v>6.9</v>
      </c>
      <c r="E19" s="84">
        <f t="shared" si="7"/>
        <v>6.9</v>
      </c>
      <c r="F19" s="84">
        <f t="shared" si="8"/>
        <v>7</v>
      </c>
      <c r="G19" s="84">
        <f t="shared" si="9"/>
        <v>1</v>
      </c>
      <c r="H19" s="84">
        <f t="shared" si="10"/>
        <v>1.99</v>
      </c>
      <c r="I19" s="85">
        <f t="shared" si="11"/>
        <v>6.9</v>
      </c>
      <c r="J19" s="85">
        <f t="shared" si="12"/>
        <v>27.720700000000001</v>
      </c>
      <c r="K19" s="86"/>
      <c r="L19" s="46" t="s">
        <v>597</v>
      </c>
      <c r="O19" t="s">
        <v>598</v>
      </c>
      <c r="P19" s="24">
        <f>P18*P3</f>
        <v>309.59999999999997</v>
      </c>
      <c r="Q19" s="24">
        <f>Q18*Q3</f>
        <v>425.08287000000001</v>
      </c>
      <c r="R19" s="24"/>
    </row>
    <row r="20" spans="1:18" x14ac:dyDescent="0.25">
      <c r="A20" s="41"/>
      <c r="D20" s="24"/>
      <c r="E20" s="84"/>
      <c r="F20" s="84"/>
      <c r="G20" s="84"/>
      <c r="H20" s="84"/>
      <c r="I20" s="85"/>
      <c r="J20" s="85"/>
      <c r="K20" s="86"/>
      <c r="L20" s="46" t="s">
        <v>599</v>
      </c>
      <c r="O20" t="s">
        <v>600</v>
      </c>
      <c r="P20" s="27">
        <f>(P19^(2/3))/30</f>
        <v>1.5255017608963017</v>
      </c>
      <c r="Q20" s="27">
        <f>(Q19^(2/3))/30</f>
        <v>1.8844927950315096</v>
      </c>
      <c r="R20" s="27"/>
    </row>
    <row r="21" spans="1:18" x14ac:dyDescent="0.25">
      <c r="A21" s="41"/>
      <c r="D21" s="24"/>
      <c r="E21" s="84"/>
      <c r="F21" s="84"/>
      <c r="G21" s="84"/>
      <c r="H21" s="84"/>
      <c r="I21" s="85"/>
      <c r="J21" s="85"/>
      <c r="K21" s="86"/>
      <c r="L21" s="46" t="s">
        <v>601</v>
      </c>
      <c r="O21" s="54" t="s">
        <v>602</v>
      </c>
      <c r="P21" s="71">
        <f>P17+P20</f>
        <v>7.3607958785433603</v>
      </c>
      <c r="Q21" s="71">
        <f>Q17+Q20</f>
        <v>7.7844927950315101</v>
      </c>
    </row>
    <row r="22" spans="1:18" x14ac:dyDescent="0.25">
      <c r="A22" s="41"/>
      <c r="D22" s="24"/>
      <c r="E22" s="84"/>
      <c r="F22" s="84"/>
      <c r="G22" s="84"/>
      <c r="H22" s="84"/>
      <c r="I22" s="85"/>
      <c r="J22" s="85"/>
      <c r="K22" s="86"/>
      <c r="L22" t="s">
        <v>603</v>
      </c>
    </row>
    <row r="23" spans="1:18" x14ac:dyDescent="0.25">
      <c r="A23" s="41"/>
      <c r="D23" s="24"/>
      <c r="E23" s="84"/>
      <c r="F23" s="84"/>
      <c r="G23" s="84"/>
      <c r="H23" s="84"/>
      <c r="I23" s="85"/>
      <c r="J23" s="85"/>
      <c r="K23" s="86"/>
      <c r="O23" s="23"/>
    </row>
    <row r="24" spans="1:18" x14ac:dyDescent="0.25">
      <c r="A24" s="41"/>
      <c r="D24" s="24"/>
      <c r="E24" s="84"/>
      <c r="F24" s="84"/>
      <c r="G24" s="84"/>
      <c r="H24" s="84"/>
      <c r="I24" s="85"/>
      <c r="J24" s="85"/>
    </row>
    <row r="25" spans="1:18" x14ac:dyDescent="0.25">
      <c r="A25" s="41"/>
      <c r="D25" s="24"/>
      <c r="E25" s="84"/>
      <c r="F25" s="84"/>
      <c r="G25" s="84"/>
      <c r="H25" s="84"/>
      <c r="I25" s="85"/>
      <c r="J25" s="85"/>
    </row>
    <row r="26" spans="1:18" x14ac:dyDescent="0.25">
      <c r="A26" s="41"/>
      <c r="D26" s="24"/>
      <c r="E26" s="84"/>
      <c r="F26" s="84"/>
      <c r="G26" s="84"/>
      <c r="H26" s="84"/>
      <c r="I26" s="85"/>
      <c r="J26" s="85"/>
    </row>
    <row r="27" spans="1:18" x14ac:dyDescent="0.25">
      <c r="A27" s="41"/>
      <c r="D27" s="24"/>
      <c r="E27" s="84"/>
      <c r="F27" s="84"/>
      <c r="G27" s="84"/>
      <c r="H27" s="84"/>
      <c r="I27" s="85"/>
      <c r="J27" s="85"/>
    </row>
    <row r="28" spans="1:18" x14ac:dyDescent="0.25">
      <c r="A28" s="41"/>
      <c r="D28" s="24"/>
      <c r="E28" s="84"/>
      <c r="F28" s="84"/>
      <c r="G28" s="84"/>
      <c r="H28" s="84"/>
      <c r="I28" s="85"/>
      <c r="J28" s="85"/>
    </row>
    <row r="29" spans="1:18" x14ac:dyDescent="0.25">
      <c r="A29" s="41"/>
      <c r="D29" s="24"/>
      <c r="E29" s="84"/>
      <c r="F29" s="84"/>
      <c r="G29" s="84"/>
      <c r="H29" s="84"/>
      <c r="I29" s="85"/>
      <c r="J29" s="85"/>
    </row>
    <row r="30" spans="1:18" x14ac:dyDescent="0.25">
      <c r="A30" s="41"/>
      <c r="D30" s="24"/>
      <c r="E30" s="84"/>
      <c r="F30" s="84"/>
      <c r="G30" s="84"/>
      <c r="H30" s="84"/>
      <c r="I30" s="85"/>
      <c r="J30" s="85"/>
    </row>
    <row r="31" spans="1:18" x14ac:dyDescent="0.25">
      <c r="A31" s="41"/>
      <c r="D31" s="24"/>
      <c r="E31" s="84"/>
      <c r="F31" s="84"/>
      <c r="G31" s="84"/>
      <c r="H31" s="84"/>
      <c r="I31" s="85"/>
      <c r="J31" s="85"/>
    </row>
  </sheetData>
  <conditionalFormatting sqref="D3:D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J31">
    <cfRule type="cellIs" dxfId="15" priority="2" operator="between">
      <formula>70</formula>
      <formula>100</formula>
    </cfRule>
  </conditionalFormatting>
  <conditionalFormatting sqref="I3:J31">
    <cfRule type="cellIs" dxfId="14" priority="3" operator="greaterThan">
      <formula>100</formula>
    </cfRule>
  </conditionalFormatting>
  <pageMargins left="0.7" right="0.7" top="0.75" bottom="0.75" header="0.3" footer="0.3"/>
  <pageSetup paperSize="9" fitToWidth="0" pageOrder="overThenDown"/>
  <drawing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B7DEE8"/>
  </sheetPr>
  <dimension ref="A1:T28"/>
  <sheetViews>
    <sheetView workbookViewId="0">
      <selection activeCell="F7" sqref="F7"/>
    </sheetView>
  </sheetViews>
  <sheetFormatPr baseColWidth="10" defaultColWidth="10.7109375" defaultRowHeight="15" x14ac:dyDescent="0.25"/>
  <cols>
    <col min="1" max="1" width="19" customWidth="1"/>
    <col min="2" max="3" width="4.5703125" customWidth="1"/>
    <col min="4" max="4" width="5.85546875" customWidth="1"/>
    <col min="5" max="5" width="4.5703125" customWidth="1"/>
    <col min="6" max="6" width="4.85546875" customWidth="1"/>
    <col min="8" max="8" width="18" customWidth="1"/>
    <col min="9" max="10" width="4.5703125" customWidth="1"/>
    <col min="11" max="11" width="7.7109375" customWidth="1"/>
    <col min="12" max="13" width="6.28515625" customWidth="1"/>
    <col min="15" max="15" width="18" customWidth="1"/>
    <col min="16" max="17" width="5.5703125" customWidth="1"/>
    <col min="18" max="18" width="7.7109375" customWidth="1"/>
    <col min="19" max="20" width="6.28515625" customWidth="1"/>
  </cols>
  <sheetData>
    <row r="1" spans="1:20" x14ac:dyDescent="0.25">
      <c r="A1" s="99" t="s">
        <v>183</v>
      </c>
      <c r="B1" s="99" t="s">
        <v>191</v>
      </c>
      <c r="C1" s="99" t="s">
        <v>194</v>
      </c>
      <c r="D1" s="100" t="s">
        <v>604</v>
      </c>
      <c r="E1" s="100" t="s">
        <v>587</v>
      </c>
      <c r="F1" s="100" t="s">
        <v>588</v>
      </c>
      <c r="H1" s="99" t="s">
        <v>605</v>
      </c>
      <c r="I1" s="99" t="s">
        <v>191</v>
      </c>
      <c r="J1" s="99" t="s">
        <v>194</v>
      </c>
      <c r="K1" s="99" t="str">
        <f>D1</f>
        <v>N_CA</v>
      </c>
      <c r="L1" s="100" t="s">
        <v>587</v>
      </c>
      <c r="M1" s="100" t="s">
        <v>588</v>
      </c>
      <c r="O1" s="99" t="s">
        <v>605</v>
      </c>
      <c r="P1" s="99" t="s">
        <v>191</v>
      </c>
      <c r="Q1" s="99" t="s">
        <v>194</v>
      </c>
      <c r="R1" s="99" t="str">
        <f>K1</f>
        <v>N_CA</v>
      </c>
      <c r="S1" s="100" t="s">
        <v>587</v>
      </c>
      <c r="T1" s="100" t="s">
        <v>588</v>
      </c>
    </row>
    <row r="2" spans="1:20" x14ac:dyDescent="0.25">
      <c r="A2" t="str">
        <f>Plantilla!D4</f>
        <v>Cosme Fonteboa</v>
      </c>
      <c r="B2" s="24">
        <f ca="1">Plantilla!Y4+Plantilla!N4+Plantilla!J4</f>
        <v>15.509890606244527</v>
      </c>
      <c r="C2" s="24">
        <f ca="1">Plantilla!AB4+Plantilla!N4+Plantilla!J4</f>
        <v>3.3560444523983737</v>
      </c>
      <c r="D2" s="71">
        <f t="shared" ref="D2" ca="1" si="0">(C2*2+B2)/8</f>
        <v>2.7777474388801595</v>
      </c>
      <c r="E2" s="24">
        <f ca="1">D2*Plantilla!R4</f>
        <v>2.5716944110069786</v>
      </c>
      <c r="F2" s="24">
        <f ca="1">D2*Plantilla!S4</f>
        <v>2.7757626244510312</v>
      </c>
      <c r="H2" s="27" t="str">
        <f t="shared" ref="H2:J3" si="1">A6</f>
        <v>Berto Abandero</v>
      </c>
      <c r="I2" s="24">
        <f t="shared" ca="1" si="1"/>
        <v>16.861918123041054</v>
      </c>
      <c r="J2" s="24">
        <f t="shared" ca="1" si="1"/>
        <v>14.174418123041056</v>
      </c>
      <c r="K2" s="71">
        <f ca="1">(J2*2+I2)/8</f>
        <v>5.6513442961403957</v>
      </c>
      <c r="L2" s="27">
        <f ca="1">E6</f>
        <v>5.2321281401017403</v>
      </c>
      <c r="M2" s="27">
        <f ca="1">F6</f>
        <v>5.6473061789430048</v>
      </c>
      <c r="O2" t="str">
        <f>A2</f>
        <v>Cosme Fonteboa</v>
      </c>
      <c r="P2" s="24">
        <f t="shared" ref="P2:Q5" ca="1" si="2">I2</f>
        <v>16.861918123041054</v>
      </c>
      <c r="Q2" s="24">
        <f t="shared" ca="1" si="2"/>
        <v>14.174418123041056</v>
      </c>
      <c r="R2" s="71">
        <f ca="1">(Q2*2+P2)/8</f>
        <v>5.6513442961403957</v>
      </c>
      <c r="S2" s="27">
        <f ca="1">E2</f>
        <v>2.5716944110069786</v>
      </c>
      <c r="T2" s="27">
        <f ca="1">F2</f>
        <v>2.7757626244510312</v>
      </c>
    </row>
    <row r="3" spans="1:20" x14ac:dyDescent="0.25">
      <c r="A3" t="str">
        <f>Plantilla!D5</f>
        <v>Nicolae Hornet</v>
      </c>
      <c r="B3" s="24">
        <f ca="1">Plantilla!Y5+Plantilla!N5+Plantilla!J5</f>
        <v>7.2823037813567906</v>
      </c>
      <c r="C3" s="24">
        <f ca="1">Plantilla!AB5+Plantilla!N5+Plantilla!J5</f>
        <v>2.4823037813567903</v>
      </c>
      <c r="D3" s="71">
        <f t="shared" ref="D3:D18" ca="1" si="3">(C3*2+B3)/8</f>
        <v>1.5308639180087964</v>
      </c>
      <c r="E3" s="24">
        <f ca="1">D3*Plantilla!R5</f>
        <v>1.0021856832788543</v>
      </c>
      <c r="F3" s="24">
        <f ca="1">D3*Plantilla!S5</f>
        <v>1.1557769123896309</v>
      </c>
      <c r="H3" s="27" t="str">
        <f t="shared" si="1"/>
        <v>Guillermo Pedrajas</v>
      </c>
      <c r="I3" s="24">
        <f t="shared" ca="1" si="1"/>
        <v>15.225437456501432</v>
      </c>
      <c r="J3" s="24">
        <f t="shared" ca="1" si="1"/>
        <v>13.368294599358574</v>
      </c>
      <c r="K3" s="71">
        <f ca="1">(J3*2+I3)/8</f>
        <v>5.2452533319023225</v>
      </c>
      <c r="L3" s="27">
        <f ca="1">E7</f>
        <v>4.8561609630741156</v>
      </c>
      <c r="M3" s="27">
        <f ca="1">F7</f>
        <v>5.2415053833480831</v>
      </c>
      <c r="O3" t="str">
        <f>A7</f>
        <v>Guillermo Pedrajas</v>
      </c>
      <c r="P3" s="24">
        <f t="shared" ca="1" si="2"/>
        <v>15.225437456501432</v>
      </c>
      <c r="Q3" s="24">
        <f t="shared" ca="1" si="2"/>
        <v>13.368294599358574</v>
      </c>
      <c r="R3" s="71">
        <f ca="1">(Q3*2+P3)/8</f>
        <v>5.2452533319023225</v>
      </c>
      <c r="S3" s="27">
        <f ca="1">E7</f>
        <v>4.8561609630741156</v>
      </c>
      <c r="T3" s="27">
        <f ca="1">F7</f>
        <v>5.2415053833480831</v>
      </c>
    </row>
    <row r="4" spans="1:20" x14ac:dyDescent="0.25">
      <c r="A4" t="str">
        <f>Plantilla!D17</f>
        <v>Roxelio Reboredo</v>
      </c>
      <c r="B4" s="24">
        <f ca="1">Plantilla!Y17+Plantilla!N17+Plantilla!J17</f>
        <v>7.4460410206499867</v>
      </c>
      <c r="C4" s="24">
        <f ca="1">Plantilla!AB17+Plantilla!N17+Plantilla!J17</f>
        <v>13.446041020649986</v>
      </c>
      <c r="D4" s="71">
        <f t="shared" ca="1" si="3"/>
        <v>4.2922653827437447</v>
      </c>
      <c r="E4" s="24">
        <f ca="1">D4*Plantilla!R17</f>
        <v>3.6276263506498005</v>
      </c>
      <c r="F4" s="24">
        <f ca="1">D4*Plantilla!S17</f>
        <v>3.9705526292991871</v>
      </c>
      <c r="H4" t="str">
        <f>A10</f>
        <v>Will Duffill</v>
      </c>
      <c r="I4" s="24">
        <f ca="1">B10</f>
        <v>15.983618290379605</v>
      </c>
      <c r="J4" s="24">
        <f ca="1">C10</f>
        <v>12.291310598071913</v>
      </c>
      <c r="K4" s="71">
        <f ca="1">(J4*2+I4)/8</f>
        <v>5.0707799358154286</v>
      </c>
      <c r="L4" s="27">
        <f ca="1">E10</f>
        <v>4.6946299861012921</v>
      </c>
      <c r="M4" s="27">
        <f ca="1">F10</f>
        <v>5.0671566556558769</v>
      </c>
      <c r="O4" t="str">
        <f>A4</f>
        <v>Roxelio Reboredo</v>
      </c>
      <c r="P4" s="24">
        <f t="shared" ca="1" si="2"/>
        <v>15.983618290379605</v>
      </c>
      <c r="Q4" s="24">
        <f t="shared" ca="1" si="2"/>
        <v>12.291310598071913</v>
      </c>
      <c r="R4" s="71">
        <f ca="1">(Q4*2+P4)/8</f>
        <v>5.0707799358154286</v>
      </c>
      <c r="S4" s="27">
        <f ca="1">E4</f>
        <v>3.6276263506498005</v>
      </c>
      <c r="T4" s="27">
        <f ca="1">F4</f>
        <v>3.9705526292991871</v>
      </c>
    </row>
    <row r="5" spans="1:20" x14ac:dyDescent="0.25">
      <c r="A5" t="str">
        <f>Plantilla!D6</f>
        <v>Iván Real Figueroa</v>
      </c>
      <c r="B5" s="24">
        <f ca="1">Plantilla!Y6+Plantilla!N6+Plantilla!J6</f>
        <v>17.979248351188932</v>
      </c>
      <c r="C5" s="24">
        <f ca="1">Plantilla!AB6+Plantilla!N6+Plantilla!J6</f>
        <v>11.166748351188934</v>
      </c>
      <c r="D5" s="71">
        <f t="shared" ca="1" si="3"/>
        <v>5.03909313169585</v>
      </c>
      <c r="E5" s="24">
        <f ca="1">D5*Plantilla!R6</f>
        <v>4.6652937059498303</v>
      </c>
      <c r="F5" s="24">
        <f ca="1">D5*Plantilla!S6</f>
        <v>5.0354924930569593</v>
      </c>
      <c r="H5" s="27" t="str">
        <f>A8</f>
        <v>Venanci Oset</v>
      </c>
      <c r="I5" s="24">
        <f ca="1">B8</f>
        <v>16.861918123041054</v>
      </c>
      <c r="J5" s="24">
        <f ca="1">C8</f>
        <v>14.396640345263277</v>
      </c>
      <c r="K5" s="71">
        <f ca="1">(J5*2+I5)/8</f>
        <v>5.706899851695951</v>
      </c>
      <c r="L5" s="27">
        <f ca="1">E8</f>
        <v>4.8232106909703729</v>
      </c>
      <c r="M5" s="27">
        <f ca="1">F8</f>
        <v>5.2791577851632834</v>
      </c>
      <c r="O5" s="27" t="str">
        <f>H5</f>
        <v>Venanci Oset</v>
      </c>
      <c r="P5" s="24">
        <f t="shared" ca="1" si="2"/>
        <v>16.861918123041054</v>
      </c>
      <c r="Q5" s="24">
        <f t="shared" ca="1" si="2"/>
        <v>14.396640345263277</v>
      </c>
      <c r="R5" s="71">
        <f ca="1">(Q5*2+P5)/8</f>
        <v>5.706899851695951</v>
      </c>
      <c r="S5" s="27">
        <f ca="1">L5</f>
        <v>4.8232106909703729</v>
      </c>
      <c r="T5" s="27">
        <f ca="1">M5</f>
        <v>5.2791577851632834</v>
      </c>
    </row>
    <row r="6" spans="1:20" x14ac:dyDescent="0.25">
      <c r="A6" t="str">
        <f>Plantilla!D7</f>
        <v>Berto Abandero</v>
      </c>
      <c r="B6" s="24">
        <f ca="1">Plantilla!Y7+Plantilla!N7+Plantilla!J7</f>
        <v>16.861918123041054</v>
      </c>
      <c r="C6" s="24">
        <f ca="1">Plantilla!AB7+Plantilla!N7+Plantilla!J7</f>
        <v>14.174418123041056</v>
      </c>
      <c r="D6" s="71">
        <f t="shared" ca="1" si="3"/>
        <v>5.6513442961403957</v>
      </c>
      <c r="E6" s="24">
        <f ca="1">D6*Plantilla!R7</f>
        <v>5.2321281401017403</v>
      </c>
      <c r="F6" s="24">
        <f ca="1">D6*Plantilla!S7</f>
        <v>5.6473061789430048</v>
      </c>
      <c r="H6" t="str">
        <f>A4</f>
        <v>Roxelio Reboredo</v>
      </c>
      <c r="I6" s="24">
        <f ca="1">B4</f>
        <v>7.4460410206499867</v>
      </c>
      <c r="J6" s="24">
        <f ca="1">C4</f>
        <v>13.446041020649986</v>
      </c>
      <c r="K6" s="71">
        <f ca="1">(J6*2+I6)/8</f>
        <v>4.2922653827437447</v>
      </c>
      <c r="L6" s="27">
        <f ca="1">E4</f>
        <v>3.6276263506498005</v>
      </c>
      <c r="M6" s="27">
        <f ca="1">F4</f>
        <v>3.9705526292991871</v>
      </c>
      <c r="R6" s="27"/>
      <c r="S6" s="24"/>
      <c r="T6" s="24"/>
    </row>
    <row r="7" spans="1:20" ht="18.75" x14ac:dyDescent="0.3">
      <c r="A7" t="str">
        <f>Plantilla!D8</f>
        <v>Guillermo Pedrajas</v>
      </c>
      <c r="B7" s="24">
        <f ca="1">Plantilla!Y8+Plantilla!N8+Plantilla!J8</f>
        <v>15.225437456501432</v>
      </c>
      <c r="C7" s="24">
        <f ca="1">Plantilla!AB8+Plantilla!N8+Plantilla!J8</f>
        <v>13.368294599358574</v>
      </c>
      <c r="D7" s="71">
        <f t="shared" ca="1" si="3"/>
        <v>5.2452533319023225</v>
      </c>
      <c r="E7" s="24">
        <f ca="1">D7*Plantilla!R8</f>
        <v>4.8561609630741156</v>
      </c>
      <c r="F7" s="24">
        <f ca="1">D7*Plantilla!S8</f>
        <v>5.2415053833480831</v>
      </c>
      <c r="K7" s="101">
        <f ca="1">SUM(K2:K6)</f>
        <v>25.966542798297844</v>
      </c>
      <c r="L7" s="101">
        <f ca="1">SUM(L2:L6)</f>
        <v>23.233756130897323</v>
      </c>
      <c r="M7" s="101">
        <f ca="1">SUM(M2:M6)</f>
        <v>25.205678632409438</v>
      </c>
      <c r="N7" s="101"/>
      <c r="O7" s="101"/>
      <c r="P7" s="101"/>
      <c r="Q7" s="101"/>
      <c r="R7" s="101">
        <f ca="1">SUM(R2:R6)</f>
        <v>21.674277415554098</v>
      </c>
      <c r="S7" s="101">
        <f ca="1">SUM(S2:S6)</f>
        <v>15.878692415701266</v>
      </c>
      <c r="T7" s="101">
        <f ca="1">SUM(T2:T6)</f>
        <v>17.266978422261584</v>
      </c>
    </row>
    <row r="8" spans="1:20" x14ac:dyDescent="0.25">
      <c r="A8" t="str">
        <f>Plantilla!D9</f>
        <v>Venanci Oset</v>
      </c>
      <c r="B8" s="24">
        <f ca="1">Plantilla!Y9+Plantilla!N9+Plantilla!J9</f>
        <v>16.861918123041054</v>
      </c>
      <c r="C8" s="24">
        <f ca="1">Plantilla!AB9+Plantilla!N9+Plantilla!J9</f>
        <v>14.396640345263277</v>
      </c>
      <c r="D8" s="71">
        <f t="shared" ca="1" si="3"/>
        <v>5.706899851695951</v>
      </c>
      <c r="E8" s="24">
        <f ca="1">D8*Plantilla!R9</f>
        <v>4.8232106909703729</v>
      </c>
      <c r="F8" s="24">
        <f ca="1">D8*Plantilla!S9</f>
        <v>5.2791577851632834</v>
      </c>
      <c r="L8" s="2">
        <f ca="1">(K7-L7)/K7</f>
        <v>0.10524260732852202</v>
      </c>
      <c r="M8" s="2">
        <f ca="1">(K7-M7)/K7</f>
        <v>2.9301712276394484E-2</v>
      </c>
      <c r="R8" s="27"/>
    </row>
    <row r="9" spans="1:20" x14ac:dyDescent="0.25">
      <c r="A9" t="str">
        <f>Plantilla!D10</f>
        <v>Francesc Añigas</v>
      </c>
      <c r="B9" s="24">
        <f ca="1">Plantilla!Y10+Plantilla!N10+Plantilla!J10</f>
        <v>16.478810598071913</v>
      </c>
      <c r="C9" s="24">
        <f ca="1">Plantilla!AB10+Plantilla!N10+Plantilla!J10</f>
        <v>10.491310598071912</v>
      </c>
      <c r="D9" s="71">
        <f t="shared" ca="1" si="3"/>
        <v>4.6826789742769677</v>
      </c>
      <c r="E9" s="24">
        <f ca="1">D9*Plantilla!R10</f>
        <v>3.9575860586379452</v>
      </c>
      <c r="F9" s="24">
        <f ca="1">D9*Plantilla!S10</f>
        <v>4.3317040433306913</v>
      </c>
    </row>
    <row r="10" spans="1:20" x14ac:dyDescent="0.25">
      <c r="A10" t="str">
        <f>Plantilla!D11</f>
        <v>Will Duffill</v>
      </c>
      <c r="B10" s="24">
        <f ca="1">Plantilla!Y11+Plantilla!N11+Plantilla!J11</f>
        <v>15.983618290379605</v>
      </c>
      <c r="C10" s="24">
        <f ca="1">Plantilla!AB11+Plantilla!N11+Plantilla!J11</f>
        <v>12.291310598071913</v>
      </c>
      <c r="D10" s="71">
        <f t="shared" ca="1" si="3"/>
        <v>5.0707799358154286</v>
      </c>
      <c r="E10" s="24">
        <f ca="1">D10*Plantilla!R11</f>
        <v>4.6946299861012921</v>
      </c>
      <c r="F10" s="24">
        <f ca="1">D10*Plantilla!S11</f>
        <v>5.0671566556558769</v>
      </c>
      <c r="H10" s="27"/>
      <c r="I10" s="27"/>
      <c r="J10" s="27"/>
    </row>
    <row r="11" spans="1:20" x14ac:dyDescent="0.25">
      <c r="A11" t="str">
        <f>Plantilla!D12</f>
        <v>Valeri Gomis</v>
      </c>
      <c r="B11" s="24">
        <f ca="1">Plantilla!Y12+Plantilla!N12+Plantilla!J12</f>
        <v>15.379331268324757</v>
      </c>
      <c r="C11" s="24">
        <f ca="1">Plantilla!AB12+Plantilla!N12+Plantilla!J12</f>
        <v>11.41266460165809</v>
      </c>
      <c r="D11" s="71">
        <f t="shared" ca="1" si="3"/>
        <v>4.7755825589551169</v>
      </c>
      <c r="E11" s="24">
        <f ca="1">D11*Plantilla!R12</f>
        <v>4.4213303212038824</v>
      </c>
      <c r="F11" s="24">
        <f ca="1">D11*Plantilla!S12</f>
        <v>4.7721702094240417</v>
      </c>
    </row>
    <row r="12" spans="1:20" x14ac:dyDescent="0.25">
      <c r="A12" t="str">
        <f>Plantilla!D13</f>
        <v>Enrique Cubas</v>
      </c>
      <c r="B12" s="24">
        <f>Plantilla!Y13+Plantilla!N13+Plantilla!J13</f>
        <v>15.143028310719425</v>
      </c>
      <c r="C12" s="24">
        <f>Plantilla!AB13+Plantilla!N13+Plantilla!J13</f>
        <v>12.309694977386091</v>
      </c>
      <c r="D12" s="71">
        <f t="shared" si="3"/>
        <v>4.9703022831864505</v>
      </c>
      <c r="E12" s="24">
        <f>D12*Plantilla!R13</f>
        <v>4.2006721219218885</v>
      </c>
      <c r="F12" s="24">
        <f>D12*Plantilla!S13</f>
        <v>4.5977694851436723</v>
      </c>
      <c r="H12" s="102" t="s">
        <v>605</v>
      </c>
      <c r="I12" s="102" t="s">
        <v>191</v>
      </c>
      <c r="J12" s="102" t="s">
        <v>194</v>
      </c>
      <c r="K12" s="103" t="s">
        <v>604</v>
      </c>
      <c r="L12" s="103" t="s">
        <v>587</v>
      </c>
      <c r="M12" s="103" t="s">
        <v>588</v>
      </c>
      <c r="O12" s="102" t="s">
        <v>605</v>
      </c>
      <c r="P12" s="102" t="s">
        <v>191</v>
      </c>
      <c r="Q12" s="102" t="s">
        <v>194</v>
      </c>
      <c r="R12" s="102" t="str">
        <f>K12</f>
        <v>N_CA</v>
      </c>
      <c r="S12" s="103" t="s">
        <v>587</v>
      </c>
      <c r="T12" s="103" t="s">
        <v>588</v>
      </c>
    </row>
    <row r="13" spans="1:20" x14ac:dyDescent="0.25">
      <c r="A13" t="str">
        <f>Plantilla!D14</f>
        <v>J. G. Peñuela</v>
      </c>
      <c r="B13" s="24">
        <f ca="1">Plantilla!Y14+Plantilla!N14+Plantilla!J14</f>
        <v>14.892104123168098</v>
      </c>
      <c r="C13" s="24">
        <f ca="1">Plantilla!AB14+Plantilla!N14+Plantilla!J14</f>
        <v>11.082580313644289</v>
      </c>
      <c r="D13" s="71">
        <f t="shared" ca="1" si="3"/>
        <v>4.6321580938070843</v>
      </c>
      <c r="E13" s="24">
        <f ca="1">D13*Plantilla!R14</f>
        <v>4.2885450685707065</v>
      </c>
      <c r="F13" s="24">
        <f ca="1">D13*Plantilla!S14</f>
        <v>4.6288482269365749</v>
      </c>
      <c r="H13" s="27" t="str">
        <f t="shared" ref="H13:J17" si="4">H2</f>
        <v>Berto Abandero</v>
      </c>
      <c r="I13" s="24">
        <f t="shared" ca="1" si="4"/>
        <v>16.861918123041054</v>
      </c>
      <c r="J13" s="24">
        <f t="shared" ca="1" si="4"/>
        <v>14.174418123041056</v>
      </c>
      <c r="K13" s="71">
        <f ca="1">(J13*2+I13)/8</f>
        <v>5.6513442961403957</v>
      </c>
      <c r="L13" s="27">
        <f ca="1">K13*(1-$L$8)</f>
        <v>5.0565820875034095</v>
      </c>
      <c r="M13" s="27">
        <f ca="1">K13*(1-$M$8)</f>
        <v>5.485750231600047</v>
      </c>
      <c r="O13" s="27" t="str">
        <f t="shared" ref="O13:Q16" si="5">H13</f>
        <v>Berto Abandero</v>
      </c>
      <c r="P13" s="27">
        <f t="shared" ca="1" si="5"/>
        <v>16.861918123041054</v>
      </c>
      <c r="Q13" s="27">
        <f t="shared" ca="1" si="5"/>
        <v>14.174418123041056</v>
      </c>
      <c r="R13" s="71">
        <f ca="1">(Q13*2+P13)/8</f>
        <v>5.6513442961403957</v>
      </c>
      <c r="S13" s="27">
        <f t="shared" ref="S13:T16" ca="1" si="6">L13</f>
        <v>5.0565820875034095</v>
      </c>
      <c r="T13" s="27">
        <f t="shared" ca="1" si="6"/>
        <v>5.485750231600047</v>
      </c>
    </row>
    <row r="14" spans="1:20" x14ac:dyDescent="0.25">
      <c r="A14" t="str">
        <f>Plantilla!D15</f>
        <v>Julian Gräbitz</v>
      </c>
      <c r="B14" s="24">
        <f ca="1">Plantilla!Y15+Plantilla!N15+Plantilla!J15</f>
        <v>15.547106446681022</v>
      </c>
      <c r="C14" s="24">
        <f ca="1">Plantilla!AB15+Plantilla!N15+Plantilla!J15</f>
        <v>11.047106446681022</v>
      </c>
      <c r="D14" s="71">
        <f t="shared" ca="1" si="3"/>
        <v>4.7051649175053836</v>
      </c>
      <c r="E14" s="24">
        <f ca="1">D14*Plantilla!R15</f>
        <v>4.7051649175053836</v>
      </c>
      <c r="F14" s="24">
        <f ca="1">D14*Plantilla!S15</f>
        <v>4.7051649175053836</v>
      </c>
      <c r="H14" s="27" t="str">
        <f t="shared" si="4"/>
        <v>Guillermo Pedrajas</v>
      </c>
      <c r="I14" s="24">
        <f t="shared" ca="1" si="4"/>
        <v>15.225437456501432</v>
      </c>
      <c r="J14" s="24">
        <f t="shared" ca="1" si="4"/>
        <v>13.368294599358574</v>
      </c>
      <c r="K14" s="71">
        <f ca="1">(J14*2+I14)/8</f>
        <v>5.2452533319023225</v>
      </c>
      <c r="L14" s="27">
        <f ca="1">K14*(1-$L$8)</f>
        <v>4.6932291951543048</v>
      </c>
      <c r="M14" s="27">
        <f ca="1">K14*(1-$M$8)</f>
        <v>5.0915584279541211</v>
      </c>
      <c r="O14" s="27" t="str">
        <f t="shared" si="5"/>
        <v>Guillermo Pedrajas</v>
      </c>
      <c r="P14" s="27">
        <f t="shared" ca="1" si="5"/>
        <v>15.225437456501432</v>
      </c>
      <c r="Q14" s="27">
        <f t="shared" ca="1" si="5"/>
        <v>13.368294599358574</v>
      </c>
      <c r="R14" s="71">
        <f ca="1">(Q14*2+P14)/8</f>
        <v>5.2452533319023225</v>
      </c>
      <c r="S14" s="27">
        <f t="shared" ca="1" si="6"/>
        <v>4.6932291951543048</v>
      </c>
      <c r="T14" s="27">
        <f t="shared" ca="1" si="6"/>
        <v>5.0915584279541211</v>
      </c>
    </row>
    <row r="15" spans="1:20" x14ac:dyDescent="0.25">
      <c r="A15" t="str">
        <f>Plantilla!D16</f>
        <v>Lenadro Faias</v>
      </c>
      <c r="B15" s="24">
        <f ca="1">Plantilla!Y16+Plantilla!N16+Plantilla!J16</f>
        <v>11.770952344030922</v>
      </c>
      <c r="C15" s="24">
        <f ca="1">Plantilla!AB16+Plantilla!N16+Plantilla!J16</f>
        <v>11.770952344030922</v>
      </c>
      <c r="D15" s="71">
        <f t="shared" ca="1" si="3"/>
        <v>4.4141071290115956</v>
      </c>
      <c r="E15" s="24">
        <f ca="1">D15*Plantilla!R16</f>
        <v>3.7306014209116269</v>
      </c>
      <c r="F15" s="24">
        <f ca="1">D15*Plantilla!S16</f>
        <v>4.0832621248367102</v>
      </c>
      <c r="H15" s="27" t="str">
        <f t="shared" si="4"/>
        <v>Will Duffill</v>
      </c>
      <c r="I15" s="24">
        <f t="shared" ca="1" si="4"/>
        <v>15.983618290379605</v>
      </c>
      <c r="J15" s="24">
        <f t="shared" ca="1" si="4"/>
        <v>12.291310598071913</v>
      </c>
      <c r="K15" s="71">
        <f ca="1">(J15*2+I15)/8</f>
        <v>5.0707799358154286</v>
      </c>
      <c r="L15" s="27">
        <f ca="1">K15*(1-$L$8)</f>
        <v>4.5371178341810579</v>
      </c>
      <c r="M15" s="27">
        <f ca="1">K15*(1-$M$8)</f>
        <v>4.9221974011192513</v>
      </c>
      <c r="O15" s="27" t="str">
        <f t="shared" si="5"/>
        <v>Will Duffill</v>
      </c>
      <c r="P15" s="27">
        <f t="shared" ca="1" si="5"/>
        <v>15.983618290379605</v>
      </c>
      <c r="Q15" s="27">
        <f t="shared" ca="1" si="5"/>
        <v>12.291310598071913</v>
      </c>
      <c r="R15" s="71">
        <f ca="1">(Q15*2+P15)/8</f>
        <v>5.0707799358154286</v>
      </c>
      <c r="S15" s="27">
        <f t="shared" ca="1" si="6"/>
        <v>4.5371178341810579</v>
      </c>
      <c r="T15" s="27">
        <f t="shared" ca="1" si="6"/>
        <v>4.9221974011192513</v>
      </c>
    </row>
    <row r="16" spans="1:20" x14ac:dyDescent="0.25">
      <c r="A16" t="str">
        <f>Plantilla!D18</f>
        <v>Nicolás Galaz</v>
      </c>
      <c r="B16" s="24">
        <f ca="1">Plantilla!Y18+Plantilla!N18+Plantilla!J18</f>
        <v>5.1426280096985755</v>
      </c>
      <c r="C16" s="24">
        <f ca="1">Plantilla!AB18+Plantilla!N18+Plantilla!J18</f>
        <v>15.142628009698575</v>
      </c>
      <c r="D16" s="71">
        <f t="shared" ca="1" si="3"/>
        <v>4.4284855036369652</v>
      </c>
      <c r="E16" s="24">
        <f ca="1">D16*Plantilla!R18</f>
        <v>3.7427533654023386</v>
      </c>
      <c r="F16" s="24">
        <f ca="1">D16*Plantilla!S18</f>
        <v>4.0965628152840736</v>
      </c>
      <c r="H16" s="27" t="str">
        <f t="shared" si="4"/>
        <v>Venanci Oset</v>
      </c>
      <c r="I16" s="24">
        <f t="shared" ca="1" si="4"/>
        <v>16.861918123041054</v>
      </c>
      <c r="J16" s="24">
        <f t="shared" ca="1" si="4"/>
        <v>14.396640345263277</v>
      </c>
      <c r="K16" s="71">
        <f ca="1">(J16*2+I16)/8</f>
        <v>5.706899851695951</v>
      </c>
      <c r="L16" s="27">
        <f ca="1">K16*(1-$L$8)</f>
        <v>5.1062908315407141</v>
      </c>
      <c r="M16" s="27">
        <f ca="1">K16*(1-$M$8)</f>
        <v>5.5396779142513584</v>
      </c>
      <c r="O16" s="27" t="str">
        <f t="shared" si="5"/>
        <v>Venanci Oset</v>
      </c>
      <c r="P16" s="27">
        <f t="shared" ca="1" si="5"/>
        <v>16.861918123041054</v>
      </c>
      <c r="Q16" s="27">
        <f t="shared" ca="1" si="5"/>
        <v>14.396640345263277</v>
      </c>
      <c r="R16" s="71">
        <f ca="1">(Q16*2+P16)/8</f>
        <v>5.706899851695951</v>
      </c>
      <c r="S16" s="27">
        <f t="shared" ca="1" si="6"/>
        <v>5.1062908315407141</v>
      </c>
      <c r="T16" s="27">
        <f t="shared" ca="1" si="6"/>
        <v>5.5396779142513584</v>
      </c>
    </row>
    <row r="17" spans="1:20" x14ac:dyDescent="0.25">
      <c r="A17" t="str">
        <f>Plantilla!D19</f>
        <v>Meraj Siddiqui</v>
      </c>
      <c r="B17" s="24">
        <f ca="1">Plantilla!Y19+Plantilla!N19+Plantilla!J19</f>
        <v>3.2560869004949105</v>
      </c>
      <c r="C17" s="24">
        <f ca="1">Plantilla!AB19+Plantilla!N19+Plantilla!J19</f>
        <v>13.25608690049491</v>
      </c>
      <c r="D17" s="71">
        <f t="shared" ca="1" si="3"/>
        <v>3.7210325876855914</v>
      </c>
      <c r="E17" s="24">
        <f ca="1">D17*Plantilla!R19</f>
        <v>3.1448465234659397</v>
      </c>
      <c r="F17" s="24">
        <f ca="1">D17*Plantilla!S19</f>
        <v>3.4421347254392374</v>
      </c>
      <c r="H17" s="27" t="str">
        <f t="shared" si="4"/>
        <v>Roxelio Reboredo</v>
      </c>
      <c r="I17" s="24">
        <f t="shared" ca="1" si="4"/>
        <v>7.4460410206499867</v>
      </c>
      <c r="J17" s="24">
        <f t="shared" ca="1" si="4"/>
        <v>13.446041020649986</v>
      </c>
      <c r="K17" s="71">
        <f ca="1">(J17*2+I17)/8</f>
        <v>4.2922653827437447</v>
      </c>
      <c r="L17" s="27">
        <f ca="1">K17*(1-$L$8)</f>
        <v>3.8405361825178366</v>
      </c>
      <c r="M17" s="27">
        <f ca="1">K17*(1-$M$8)</f>
        <v>4.1664946574846597</v>
      </c>
      <c r="R17" s="27"/>
      <c r="S17" s="24"/>
      <c r="T17" s="24"/>
    </row>
    <row r="18" spans="1:20" ht="18.75" x14ac:dyDescent="0.3">
      <c r="A18" t="str">
        <f>Plantilla!D20</f>
        <v>Rodolfo Rinaldo Paso</v>
      </c>
      <c r="B18" s="24">
        <f ca="1">Plantilla!Y20+Plantilla!N20+Plantilla!J20</f>
        <v>5.1184654543163406</v>
      </c>
      <c r="C18" s="24">
        <f ca="1">Plantilla!AB20+Plantilla!N20+Plantilla!J20</f>
        <v>14.562909898760784</v>
      </c>
      <c r="D18" s="71">
        <f t="shared" ca="1" si="3"/>
        <v>4.2805356564797385</v>
      </c>
      <c r="E18" s="24">
        <f ca="1">D18*Plantilla!R20</f>
        <v>3.9630059485620355</v>
      </c>
      <c r="F18" s="24">
        <f ca="1">D18*Plantilla!S20</f>
        <v>4.2774770382567642</v>
      </c>
      <c r="K18" s="101">
        <f ca="1">SUM(K13:K17)</f>
        <v>25.966542798297844</v>
      </c>
      <c r="L18" s="101">
        <f ca="1">SUM(L13:L17)</f>
        <v>23.233756130897323</v>
      </c>
      <c r="M18" s="101">
        <f ca="1">SUM(M13:M17)</f>
        <v>25.205678632409434</v>
      </c>
      <c r="N18" s="101"/>
      <c r="O18" s="101"/>
      <c r="P18" s="101"/>
      <c r="Q18" s="101"/>
      <c r="R18" s="101">
        <f ca="1">SUM(R13:R17)</f>
        <v>21.674277415554098</v>
      </c>
      <c r="S18" s="101">
        <f ca="1">SUM(S13:S17)</f>
        <v>19.393219948379485</v>
      </c>
      <c r="T18" s="101">
        <f ca="1">SUM(T13:T17)</f>
        <v>21.039183974924775</v>
      </c>
    </row>
    <row r="19" spans="1:20" x14ac:dyDescent="0.25">
      <c r="B19" s="24"/>
      <c r="C19" s="24"/>
      <c r="D19" s="71"/>
      <c r="E19" s="24"/>
      <c r="F19" s="24"/>
    </row>
    <row r="20" spans="1:20" x14ac:dyDescent="0.25">
      <c r="B20" s="24"/>
      <c r="C20" s="24"/>
      <c r="D20" s="71"/>
      <c r="E20" s="24"/>
      <c r="F20" s="24"/>
    </row>
    <row r="21" spans="1:20" x14ac:dyDescent="0.25">
      <c r="B21" s="24"/>
      <c r="C21" s="24"/>
      <c r="D21" s="71"/>
      <c r="E21" s="24"/>
      <c r="F21" s="24"/>
    </row>
    <row r="22" spans="1:20" x14ac:dyDescent="0.25">
      <c r="B22" s="24"/>
      <c r="C22" s="24"/>
      <c r="D22" s="71"/>
      <c r="E22" s="24"/>
      <c r="F22" s="24"/>
    </row>
    <row r="23" spans="1:20" x14ac:dyDescent="0.25">
      <c r="B23" s="24"/>
      <c r="C23" s="24"/>
      <c r="D23" s="71"/>
      <c r="E23" s="24"/>
      <c r="F23" s="24"/>
    </row>
    <row r="24" spans="1:20" x14ac:dyDescent="0.25">
      <c r="B24" s="24"/>
      <c r="C24" s="24"/>
      <c r="D24" s="71"/>
      <c r="E24" s="24"/>
      <c r="F24" s="24"/>
    </row>
    <row r="25" spans="1:20" x14ac:dyDescent="0.25">
      <c r="B25" s="24"/>
      <c r="C25" s="24"/>
      <c r="D25" s="71"/>
      <c r="E25" s="24"/>
      <c r="F25" s="24"/>
    </row>
    <row r="26" spans="1:20" x14ac:dyDescent="0.25">
      <c r="B26" s="24"/>
      <c r="C26" s="24"/>
      <c r="D26" s="71"/>
      <c r="E26" s="24"/>
      <c r="F26" s="24"/>
    </row>
    <row r="27" spans="1:20" x14ac:dyDescent="0.25">
      <c r="B27" s="24"/>
      <c r="C27" s="24"/>
      <c r="D27" s="71"/>
      <c r="E27" s="24"/>
      <c r="F27" s="24"/>
    </row>
    <row r="28" spans="1:20" x14ac:dyDescent="0.25">
      <c r="B28" s="24"/>
      <c r="C28" s="24"/>
      <c r="D28" s="71"/>
      <c r="E28" s="24"/>
      <c r="F28" s="24"/>
    </row>
  </sheetData>
  <conditionalFormatting sqref="R2:R5 K2:K6 R13:R16 K13:K17 D2:D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fitToWidth="0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Hall_of_Fame</vt:lpstr>
      <vt:lpstr>Plantilla</vt:lpstr>
      <vt:lpstr>Juveniles</vt:lpstr>
      <vt:lpstr>V.252</vt:lpstr>
      <vt:lpstr>Planning</vt:lpstr>
      <vt:lpstr>Economia_T64</vt:lpstr>
      <vt:lpstr>Economia</vt:lpstr>
      <vt:lpstr>Capitán</vt:lpstr>
      <vt:lpstr>CA_Calcutator</vt:lpstr>
      <vt:lpstr>EstudioConversion</vt:lpstr>
      <vt:lpstr>El Tártaro</vt:lpstr>
      <vt:lpstr>Entrenador</vt:lpstr>
      <vt:lpstr>Banderas</vt:lpstr>
      <vt:lpstr>Evaluacion Jugadores</vt:lpstr>
      <vt:lpstr>LAT</vt:lpstr>
      <vt:lpstr>Inner</vt:lpstr>
      <vt:lpstr>Delantero</vt:lpstr>
      <vt:lpstr>PorteroTitular</vt:lpstr>
      <vt:lpstr>PorteroSuplente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PORTA Isaac</cp:lastModifiedBy>
  <cp:revision>0</cp:revision>
  <dcterms:created xsi:type="dcterms:W3CDTF">2006-09-16T00:00:00Z</dcterms:created>
  <dcterms:modified xsi:type="dcterms:W3CDTF">2021-03-08T17:08:03Z</dcterms:modified>
</cp:coreProperties>
</file>