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7C389BB3-7CBA-41C3-BEEE-A1E59A60068C}" xr6:coauthVersionLast="44" xr6:coauthVersionMax="44" xr10:uidLastSave="{00000000-0000-0000-0000-000000000000}"/>
  <bookViews>
    <workbookView xWindow="28680" yWindow="-120" windowWidth="29040" windowHeight="15840" tabRatio="500" activeTab="2" xr2:uid="{00000000-000D-0000-FFFF-FFFF00000000}"/>
  </bookViews>
  <sheets>
    <sheet name="VADER-Nano" sheetId="19" r:id="rId1"/>
    <sheet name="Nano-VADER" sheetId="20" r:id="rId2"/>
    <sheet name="VADER-Conjunto" sheetId="22" r:id="rId3"/>
    <sheet name="ColldeRates-LUKE" sheetId="21" r:id="rId4"/>
    <sheet name="SIMULADOR_v4" sheetId="10" r:id="rId5"/>
    <sheet name="SIMULADOR_v3" sheetId="4" r:id="rId6"/>
    <sheet name="SIMULADOR&gt;22-12-17_v2" sheetId="5" r:id="rId7"/>
    <sheet name="SIMULADOR&gt;22-12-17" sheetId="6" r:id="rId8"/>
    <sheet name="SIMULADOR" sheetId="7" r:id="rId9"/>
    <sheet name="SIMULADOR_sinJC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22" l="1"/>
  <c r="BF47" i="22"/>
  <c r="BE45" i="22"/>
  <c r="BF46" i="22" s="1"/>
  <c r="BE44" i="22"/>
  <c r="BF45" i="22" s="1"/>
  <c r="BD44" i="22"/>
  <c r="BF43" i="22"/>
  <c r="BE43" i="22"/>
  <c r="BF44" i="22" s="1"/>
  <c r="BD43" i="22"/>
  <c r="BC43" i="22"/>
  <c r="BF42" i="22"/>
  <c r="BE42" i="22"/>
  <c r="BD42" i="22"/>
  <c r="BC42" i="22"/>
  <c r="BF41" i="22"/>
  <c r="BE41" i="22"/>
  <c r="BD41" i="22"/>
  <c r="BC41" i="22"/>
  <c r="BF40" i="22"/>
  <c r="BE40" i="22"/>
  <c r="BD40" i="22"/>
  <c r="BC40" i="22"/>
  <c r="BC39" i="22"/>
  <c r="AS38" i="22"/>
  <c r="AR38" i="22"/>
  <c r="AQ38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BI37" i="22"/>
  <c r="BI43" i="22" s="1"/>
  <c r="BI48" i="22" s="1"/>
  <c r="BI53" i="22" s="1"/>
  <c r="BI56" i="22" s="1"/>
  <c r="BI58" i="22" s="1"/>
  <c r="BI59" i="22" s="1"/>
  <c r="BI36" i="22"/>
  <c r="BI42" i="22" s="1"/>
  <c r="BI47" i="22" s="1"/>
  <c r="BI52" i="22" s="1"/>
  <c r="BI55" i="22" s="1"/>
  <c r="BI57" i="22" s="1"/>
  <c r="BM13" i="22" s="1"/>
  <c r="BI35" i="22"/>
  <c r="BI41" i="22" s="1"/>
  <c r="BI46" i="22" s="1"/>
  <c r="BI51" i="22" s="1"/>
  <c r="BI54" i="22" s="1"/>
  <c r="BM12" i="22" s="1"/>
  <c r="BQ47" i="22" s="1"/>
  <c r="BF34" i="22"/>
  <c r="BF33" i="22"/>
  <c r="C33" i="22"/>
  <c r="B33" i="22"/>
  <c r="C32" i="22"/>
  <c r="B32" i="22"/>
  <c r="BI31" i="22"/>
  <c r="BM8" i="22" s="1"/>
  <c r="BQ18" i="22" s="1"/>
  <c r="BQ22" i="22" s="1"/>
  <c r="BQ28" i="22" s="1"/>
  <c r="BQ35" i="22" s="1"/>
  <c r="BQ43" i="22" s="1"/>
  <c r="BE31" i="22"/>
  <c r="BF31" i="22" s="1"/>
  <c r="BI30" i="22"/>
  <c r="BF30" i="22"/>
  <c r="BE30" i="22"/>
  <c r="BD30" i="22"/>
  <c r="E30" i="22"/>
  <c r="D30" i="22"/>
  <c r="BI29" i="22"/>
  <c r="BE29" i="22"/>
  <c r="BD29" i="22"/>
  <c r="BC29" i="22"/>
  <c r="C29" i="22"/>
  <c r="B29" i="22"/>
  <c r="BI28" i="22"/>
  <c r="BE28" i="22"/>
  <c r="BF29" i="22" s="1"/>
  <c r="BD28" i="22"/>
  <c r="BC28" i="22"/>
  <c r="BI27" i="22"/>
  <c r="BI34" i="22" s="1"/>
  <c r="BI40" i="22" s="1"/>
  <c r="BI45" i="22" s="1"/>
  <c r="BI50" i="22" s="1"/>
  <c r="BM11" i="22" s="1"/>
  <c r="BQ38" i="22" s="1"/>
  <c r="BQ46" i="22" s="1"/>
  <c r="BF27" i="22"/>
  <c r="BE27" i="22"/>
  <c r="BF28" i="22" s="1"/>
  <c r="BD27" i="22"/>
  <c r="BC27" i="22"/>
  <c r="E27" i="22"/>
  <c r="C27" i="22"/>
  <c r="B27" i="22"/>
  <c r="BI26" i="22"/>
  <c r="BI33" i="22" s="1"/>
  <c r="BI39" i="22" s="1"/>
  <c r="BI44" i="22" s="1"/>
  <c r="BM10" i="22" s="1"/>
  <c r="BQ30" i="22" s="1"/>
  <c r="BQ37" i="22" s="1"/>
  <c r="BQ45" i="22" s="1"/>
  <c r="BF26" i="22"/>
  <c r="BE26" i="22"/>
  <c r="BD26" i="22"/>
  <c r="BC26" i="22"/>
  <c r="E26" i="22"/>
  <c r="D26" i="22"/>
  <c r="C26" i="22"/>
  <c r="B26" i="22"/>
  <c r="BI25" i="22"/>
  <c r="BI32" i="22" s="1"/>
  <c r="BI38" i="22" s="1"/>
  <c r="BC25" i="22"/>
  <c r="E25" i="22"/>
  <c r="D25" i="22"/>
  <c r="C25" i="22"/>
  <c r="B25" i="22"/>
  <c r="BI24" i="22"/>
  <c r="BI23" i="22"/>
  <c r="BM7" i="22" s="1"/>
  <c r="BQ13" i="22" s="1"/>
  <c r="BQ17" i="22" s="1"/>
  <c r="BQ21" i="22" s="1"/>
  <c r="BQ27" i="22" s="1"/>
  <c r="BQ34" i="22" s="1"/>
  <c r="BQ42" i="22" s="1"/>
  <c r="E23" i="22"/>
  <c r="B22" i="22"/>
  <c r="C22" i="22" s="1"/>
  <c r="B20" i="22"/>
  <c r="B21" i="22" s="1"/>
  <c r="AA15" i="22"/>
  <c r="W15" i="22"/>
  <c r="V15" i="22"/>
  <c r="Q15" i="22"/>
  <c r="P15" i="22"/>
  <c r="W14" i="22"/>
  <c r="V14" i="22"/>
  <c r="Q14" i="22"/>
  <c r="P14" i="22"/>
  <c r="W13" i="22"/>
  <c r="V13" i="22"/>
  <c r="Q13" i="22"/>
  <c r="P13" i="22"/>
  <c r="W12" i="22"/>
  <c r="V12" i="22"/>
  <c r="Q12" i="22"/>
  <c r="P12" i="22"/>
  <c r="Q11" i="22"/>
  <c r="P11" i="22"/>
  <c r="BQ10" i="22"/>
  <c r="BQ14" i="22" s="1"/>
  <c r="BI49" i="22" s="1"/>
  <c r="BQ24" i="22" s="1"/>
  <c r="BQ31" i="22" s="1"/>
  <c r="BQ39" i="22" s="1"/>
  <c r="BM14" i="22" s="1"/>
  <c r="W10" i="22"/>
  <c r="V10" i="22"/>
  <c r="BM9" i="22"/>
  <c r="BQ23" i="22" s="1"/>
  <c r="BQ29" i="22" s="1"/>
  <c r="BQ36" i="22" s="1"/>
  <c r="BQ44" i="22" s="1"/>
  <c r="W9" i="22"/>
  <c r="V9" i="22"/>
  <c r="Q9" i="22"/>
  <c r="P9" i="22"/>
  <c r="W8" i="22"/>
  <c r="V8" i="22"/>
  <c r="Q8" i="22"/>
  <c r="P8" i="22"/>
  <c r="BQ7" i="22"/>
  <c r="W7" i="22"/>
  <c r="V7" i="22"/>
  <c r="Q7" i="22"/>
  <c r="P7" i="22"/>
  <c r="BQ6" i="22"/>
  <c r="BQ8" i="22" s="1"/>
  <c r="BQ11" i="22" s="1"/>
  <c r="BQ15" i="22" s="1"/>
  <c r="BQ19" i="22" s="1"/>
  <c r="BQ25" i="22" s="1"/>
  <c r="BQ32" i="22" s="1"/>
  <c r="BQ40" i="22" s="1"/>
  <c r="BM6" i="22"/>
  <c r="BQ9" i="22" s="1"/>
  <c r="BQ12" i="22" s="1"/>
  <c r="BQ16" i="22" s="1"/>
  <c r="BQ20" i="22" s="1"/>
  <c r="BQ26" i="22" s="1"/>
  <c r="BQ33" i="22" s="1"/>
  <c r="BQ41" i="22" s="1"/>
  <c r="W6" i="22"/>
  <c r="V6" i="22"/>
  <c r="Q6" i="22"/>
  <c r="P6" i="22"/>
  <c r="BQ5" i="22"/>
  <c r="W5" i="22"/>
  <c r="V5" i="22"/>
  <c r="Q5" i="22"/>
  <c r="P5" i="22"/>
  <c r="W4" i="22"/>
  <c r="V4" i="22"/>
  <c r="Q4" i="22"/>
  <c r="P4" i="22"/>
  <c r="D3" i="22"/>
  <c r="N1" i="22"/>
  <c r="N15" i="22" s="1"/>
  <c r="G13" i="22" l="1"/>
  <c r="W11" i="22"/>
  <c r="R7" i="22"/>
  <c r="N14" i="22"/>
  <c r="R14" i="22" s="1"/>
  <c r="R5" i="22"/>
  <c r="N5" i="22"/>
  <c r="N9" i="22"/>
  <c r="N4" i="22"/>
  <c r="N8" i="22"/>
  <c r="N11" i="22"/>
  <c r="N13" i="22"/>
  <c r="N7" i="22"/>
  <c r="N2" i="22" s="1"/>
  <c r="N6" i="22"/>
  <c r="N10" i="22"/>
  <c r="R10" i="22" s="1"/>
  <c r="N12" i="22"/>
  <c r="R12" i="22" s="1"/>
  <c r="B23" i="22"/>
  <c r="B34" i="22" s="1"/>
  <c r="R9" i="22"/>
  <c r="R13" i="22"/>
  <c r="R15" i="22"/>
  <c r="R4" i="22"/>
  <c r="R6" i="22"/>
  <c r="V11" i="22"/>
  <c r="C31" i="22"/>
  <c r="W39" i="22" s="1"/>
  <c r="AB15" i="22"/>
  <c r="B24" i="22"/>
  <c r="R8" i="22"/>
  <c r="D27" i="22"/>
  <c r="B31" i="22" s="1"/>
  <c r="R11" i="22"/>
  <c r="G14" i="22"/>
  <c r="BF32" i="22"/>
  <c r="B6" i="21"/>
  <c r="BF48" i="21"/>
  <c r="BF47" i="21"/>
  <c r="BF45" i="21"/>
  <c r="BE45" i="21"/>
  <c r="BF46" i="21" s="1"/>
  <c r="BF44" i="21"/>
  <c r="BE44" i="21"/>
  <c r="BD44" i="21"/>
  <c r="BE43" i="21"/>
  <c r="BD43" i="21"/>
  <c r="BC43" i="21"/>
  <c r="BE42" i="21"/>
  <c r="BF43" i="21" s="1"/>
  <c r="BD42" i="21"/>
  <c r="BC42" i="21"/>
  <c r="BI41" i="21"/>
  <c r="BI46" i="21" s="1"/>
  <c r="BI51" i="21" s="1"/>
  <c r="BI54" i="21" s="1"/>
  <c r="BM12" i="21" s="1"/>
  <c r="BQ47" i="21" s="1"/>
  <c r="BF41" i="21"/>
  <c r="BE41" i="21"/>
  <c r="BF42" i="21" s="1"/>
  <c r="BD41" i="21"/>
  <c r="BC41" i="21"/>
  <c r="BF40" i="21"/>
  <c r="BE40" i="21"/>
  <c r="BD40" i="21"/>
  <c r="BC40" i="21"/>
  <c r="BC39" i="21"/>
  <c r="AS38" i="21"/>
  <c r="AR38" i="21"/>
  <c r="AQ38" i="2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D38" i="21"/>
  <c r="AC38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BI36" i="21"/>
  <c r="BI42" i="21" s="1"/>
  <c r="BI47" i="21" s="1"/>
  <c r="BI52" i="21" s="1"/>
  <c r="BI55" i="21" s="1"/>
  <c r="BI57" i="21" s="1"/>
  <c r="BM13" i="21" s="1"/>
  <c r="BI35" i="21"/>
  <c r="BF34" i="21"/>
  <c r="BI33" i="21"/>
  <c r="BI39" i="21" s="1"/>
  <c r="BI44" i="21" s="1"/>
  <c r="BF33" i="21"/>
  <c r="C33" i="21"/>
  <c r="B33" i="21"/>
  <c r="C32" i="21"/>
  <c r="B32" i="21"/>
  <c r="BF31" i="21"/>
  <c r="BE31" i="21"/>
  <c r="BF32" i="21" s="1"/>
  <c r="BI30" i="21"/>
  <c r="BI37" i="21" s="1"/>
  <c r="BI43" i="21" s="1"/>
  <c r="BI48" i="21" s="1"/>
  <c r="BI53" i="21" s="1"/>
  <c r="BI56" i="21" s="1"/>
  <c r="BI58" i="21" s="1"/>
  <c r="BI59" i="21" s="1"/>
  <c r="BE30" i="21"/>
  <c r="BD30" i="21"/>
  <c r="E30" i="21"/>
  <c r="D30" i="21"/>
  <c r="BI29" i="21"/>
  <c r="BE29" i="21"/>
  <c r="BF30" i="21" s="1"/>
  <c r="BD29" i="21"/>
  <c r="BC29" i="21"/>
  <c r="C29" i="21"/>
  <c r="B29" i="21"/>
  <c r="BI28" i="21"/>
  <c r="BE28" i="21"/>
  <c r="BD28" i="21"/>
  <c r="BC28" i="21"/>
  <c r="BI27" i="21"/>
  <c r="BI34" i="21" s="1"/>
  <c r="BI40" i="21" s="1"/>
  <c r="BI45" i="21" s="1"/>
  <c r="BI50" i="21" s="1"/>
  <c r="BF27" i="21"/>
  <c r="BE27" i="21"/>
  <c r="BF28" i="21" s="1"/>
  <c r="BD27" i="21"/>
  <c r="BC27" i="21"/>
  <c r="C27" i="21"/>
  <c r="B27" i="21"/>
  <c r="BI26" i="21"/>
  <c r="BF26" i="21"/>
  <c r="BE26" i="21"/>
  <c r="BD26" i="21"/>
  <c r="BC26" i="21"/>
  <c r="E26" i="21"/>
  <c r="E27" i="21" s="1"/>
  <c r="D26" i="21"/>
  <c r="D27" i="21" s="1"/>
  <c r="C26" i="21"/>
  <c r="B26" i="21"/>
  <c r="BI25" i="21"/>
  <c r="BI32" i="21" s="1"/>
  <c r="BI38" i="21" s="1"/>
  <c r="BC25" i="21"/>
  <c r="E25" i="21"/>
  <c r="D25" i="21"/>
  <c r="D23" i="21" s="1"/>
  <c r="C25" i="21"/>
  <c r="B25" i="21"/>
  <c r="BI24" i="21"/>
  <c r="BI31" i="21" s="1"/>
  <c r="BI23" i="21"/>
  <c r="B22" i="21"/>
  <c r="G13" i="21" s="1"/>
  <c r="B20" i="21"/>
  <c r="B21" i="21" s="1"/>
  <c r="AB15" i="21"/>
  <c r="AA15" i="21"/>
  <c r="W15" i="21"/>
  <c r="V15" i="21"/>
  <c r="Q15" i="21"/>
  <c r="P15" i="21"/>
  <c r="W14" i="21"/>
  <c r="V14" i="21"/>
  <c r="Q14" i="21"/>
  <c r="P14" i="21"/>
  <c r="W13" i="21"/>
  <c r="V13" i="21"/>
  <c r="Q13" i="21"/>
  <c r="P13" i="21"/>
  <c r="W12" i="21"/>
  <c r="V12" i="21"/>
  <c r="Q12" i="21"/>
  <c r="P12" i="21"/>
  <c r="BM11" i="21"/>
  <c r="BQ38" i="21" s="1"/>
  <c r="BQ46" i="21" s="1"/>
  <c r="Q11" i="21"/>
  <c r="P11" i="21"/>
  <c r="BM10" i="21"/>
  <c r="BQ30" i="21" s="1"/>
  <c r="BQ37" i="21" s="1"/>
  <c r="BQ45" i="21" s="1"/>
  <c r="W10" i="21"/>
  <c r="V10" i="21"/>
  <c r="BM9" i="21"/>
  <c r="BQ23" i="21" s="1"/>
  <c r="BQ29" i="21" s="1"/>
  <c r="BQ36" i="21" s="1"/>
  <c r="BQ44" i="21" s="1"/>
  <c r="W9" i="21"/>
  <c r="V9" i="21"/>
  <c r="Q9" i="21"/>
  <c r="P9" i="21"/>
  <c r="BQ8" i="21"/>
  <c r="BQ11" i="21" s="1"/>
  <c r="BQ15" i="21" s="1"/>
  <c r="BQ19" i="21" s="1"/>
  <c r="BQ25" i="21" s="1"/>
  <c r="BQ32" i="21" s="1"/>
  <c r="BQ40" i="21" s="1"/>
  <c r="BM8" i="21"/>
  <c r="BQ18" i="21" s="1"/>
  <c r="BQ22" i="21" s="1"/>
  <c r="BQ28" i="21" s="1"/>
  <c r="BQ35" i="21" s="1"/>
  <c r="BQ43" i="21" s="1"/>
  <c r="W8" i="21"/>
  <c r="V8" i="21"/>
  <c r="Q8" i="21"/>
  <c r="P8" i="21"/>
  <c r="BM7" i="21"/>
  <c r="BQ13" i="21" s="1"/>
  <c r="BQ17" i="21" s="1"/>
  <c r="BQ21" i="21" s="1"/>
  <c r="BQ27" i="21" s="1"/>
  <c r="BQ34" i="21" s="1"/>
  <c r="BQ42" i="21" s="1"/>
  <c r="W7" i="21"/>
  <c r="V7" i="21"/>
  <c r="Q7" i="21"/>
  <c r="P7" i="21"/>
  <c r="BQ6" i="21"/>
  <c r="BM6" i="21"/>
  <c r="BQ9" i="21" s="1"/>
  <c r="BQ12" i="21" s="1"/>
  <c r="BQ16" i="21" s="1"/>
  <c r="BQ20" i="21" s="1"/>
  <c r="BQ26" i="21" s="1"/>
  <c r="BQ33" i="21" s="1"/>
  <c r="BQ41" i="21" s="1"/>
  <c r="W6" i="21"/>
  <c r="V6" i="21"/>
  <c r="Q6" i="21"/>
  <c r="P6" i="21"/>
  <c r="BQ5" i="21"/>
  <c r="BQ7" i="21" s="1"/>
  <c r="BQ10" i="21" s="1"/>
  <c r="BQ14" i="21" s="1"/>
  <c r="BI49" i="21" s="1"/>
  <c r="BQ24" i="21" s="1"/>
  <c r="BQ31" i="21" s="1"/>
  <c r="BQ39" i="21" s="1"/>
  <c r="BM14" i="21" s="1"/>
  <c r="W5" i="21"/>
  <c r="V5" i="21"/>
  <c r="Q5" i="21"/>
  <c r="P5" i="21"/>
  <c r="W4" i="21"/>
  <c r="V4" i="21"/>
  <c r="Q4" i="21"/>
  <c r="P4" i="21"/>
  <c r="D3" i="21"/>
  <c r="N1" i="21"/>
  <c r="N5" i="21" s="1"/>
  <c r="C23" i="22" l="1"/>
  <c r="T25" i="22" s="1"/>
  <c r="T35" i="22"/>
  <c r="W25" i="22"/>
  <c r="T49" i="22"/>
  <c r="T43" i="22"/>
  <c r="T47" i="22"/>
  <c r="T41" i="22"/>
  <c r="T40" i="22"/>
  <c r="T44" i="22"/>
  <c r="T48" i="22"/>
  <c r="T46" i="22"/>
  <c r="T45" i="22"/>
  <c r="T39" i="22"/>
  <c r="T42" i="22"/>
  <c r="D23" i="22"/>
  <c r="T34" i="22"/>
  <c r="T31" i="22"/>
  <c r="N27" i="22"/>
  <c r="P27" i="22" s="1"/>
  <c r="N29" i="22"/>
  <c r="P29" i="22" s="1"/>
  <c r="N28" i="22"/>
  <c r="P28" i="22" s="1"/>
  <c r="N30" i="22"/>
  <c r="P30" i="22" s="1"/>
  <c r="R35" i="22" s="1"/>
  <c r="N26" i="22"/>
  <c r="N25" i="22"/>
  <c r="R2" i="22"/>
  <c r="S11" i="22" s="1"/>
  <c r="E23" i="21"/>
  <c r="R5" i="21"/>
  <c r="R6" i="21"/>
  <c r="R12" i="21"/>
  <c r="C22" i="21"/>
  <c r="G14" i="21" s="1"/>
  <c r="N7" i="21"/>
  <c r="R7" i="21" s="1"/>
  <c r="W11" i="21"/>
  <c r="N6" i="21"/>
  <c r="N9" i="21"/>
  <c r="R9" i="21" s="1"/>
  <c r="N11" i="21"/>
  <c r="R11" i="21" s="1"/>
  <c r="V11" i="21"/>
  <c r="N15" i="21"/>
  <c r="R15" i="21" s="1"/>
  <c r="N14" i="21"/>
  <c r="R14" i="21" s="1"/>
  <c r="N13" i="21"/>
  <c r="R13" i="21" s="1"/>
  <c r="B31" i="21"/>
  <c r="W25" i="21" s="1"/>
  <c r="BF29" i="21"/>
  <c r="N4" i="21"/>
  <c r="R4" i="21" s="1"/>
  <c r="N8" i="21"/>
  <c r="R8" i="21" s="1"/>
  <c r="C31" i="21"/>
  <c r="W39" i="21" s="1"/>
  <c r="N10" i="21"/>
  <c r="R10" i="21" s="1"/>
  <c r="N12" i="21"/>
  <c r="C24" i="22" l="1"/>
  <c r="N42" i="22" s="1"/>
  <c r="P42" i="22" s="1"/>
  <c r="T26" i="22"/>
  <c r="T28" i="22"/>
  <c r="T29" i="22"/>
  <c r="C34" i="22"/>
  <c r="T27" i="22"/>
  <c r="T33" i="22"/>
  <c r="T32" i="22"/>
  <c r="T30" i="22"/>
  <c r="S13" i="22"/>
  <c r="U13" i="22" s="1"/>
  <c r="Y13" i="22" s="1"/>
  <c r="AG13" i="22" s="1"/>
  <c r="R33" i="22"/>
  <c r="U11" i="22"/>
  <c r="Y11" i="22" s="1"/>
  <c r="AG11" i="22" s="1"/>
  <c r="T11" i="22"/>
  <c r="X11" i="22" s="1"/>
  <c r="AA10" i="22" s="1"/>
  <c r="S5" i="22"/>
  <c r="S7" i="22"/>
  <c r="P25" i="22"/>
  <c r="N23" i="22"/>
  <c r="N43" i="22"/>
  <c r="P43" i="22" s="1"/>
  <c r="N41" i="22"/>
  <c r="P41" i="22" s="1"/>
  <c r="N39" i="22"/>
  <c r="R32" i="22"/>
  <c r="T13" i="22"/>
  <c r="X13" i="22" s="1"/>
  <c r="AA12" i="22" s="1"/>
  <c r="S6" i="22"/>
  <c r="S10" i="22"/>
  <c r="S9" i="22"/>
  <c r="S14" i="22"/>
  <c r="S12" i="22"/>
  <c r="S15" i="22"/>
  <c r="S4" i="22"/>
  <c r="P26" i="22"/>
  <c r="R31" i="22" s="1"/>
  <c r="S8" i="22"/>
  <c r="T37" i="22"/>
  <c r="R34" i="22"/>
  <c r="B23" i="21"/>
  <c r="R2" i="21"/>
  <c r="N2" i="21"/>
  <c r="N40" i="22" l="1"/>
  <c r="P40" i="22" s="1"/>
  <c r="N44" i="22"/>
  <c r="P44" i="22" s="1"/>
  <c r="R47" i="22" s="1"/>
  <c r="T23" i="22"/>
  <c r="R26" i="22"/>
  <c r="U6" i="22"/>
  <c r="Y6" i="22" s="1"/>
  <c r="AG6" i="22" s="1"/>
  <c r="T6" i="22"/>
  <c r="X6" i="22" s="1"/>
  <c r="AA5" i="22" s="1"/>
  <c r="AH13" i="22"/>
  <c r="T5" i="22"/>
  <c r="X5" i="22" s="1"/>
  <c r="AA4" i="22" s="1"/>
  <c r="U5" i="22"/>
  <c r="Y5" i="22" s="1"/>
  <c r="AG5" i="22" s="1"/>
  <c r="U15" i="22"/>
  <c r="Y15" i="22" s="1"/>
  <c r="AG15" i="22" s="1"/>
  <c r="T15" i="22"/>
  <c r="X15" i="22" s="1"/>
  <c r="AA14" i="22" s="1"/>
  <c r="AB12" i="22"/>
  <c r="U12" i="22"/>
  <c r="Y12" i="22" s="1"/>
  <c r="AG12" i="22" s="1"/>
  <c r="T12" i="22"/>
  <c r="X12" i="22" s="1"/>
  <c r="AA11" i="22" s="1"/>
  <c r="T4" i="22"/>
  <c r="S2" i="22"/>
  <c r="U4" i="22"/>
  <c r="U14" i="22"/>
  <c r="Y14" i="22" s="1"/>
  <c r="AG14" i="22" s="1"/>
  <c r="T14" i="22"/>
  <c r="X14" i="22" s="1"/>
  <c r="AA13" i="22" s="1"/>
  <c r="R30" i="22"/>
  <c r="P23" i="22"/>
  <c r="R25" i="22"/>
  <c r="R27" i="22"/>
  <c r="R29" i="22"/>
  <c r="R28" i="22"/>
  <c r="U9" i="22"/>
  <c r="Y9" i="22" s="1"/>
  <c r="AG9" i="22" s="1"/>
  <c r="T9" i="22"/>
  <c r="X9" i="22" s="1"/>
  <c r="AA8" i="22" s="1"/>
  <c r="P39" i="22"/>
  <c r="U7" i="22"/>
  <c r="Y7" i="22" s="1"/>
  <c r="AG7" i="22" s="1"/>
  <c r="T7" i="22"/>
  <c r="X7" i="22" s="1"/>
  <c r="AA6" i="22" s="1"/>
  <c r="AB10" i="22"/>
  <c r="U8" i="22"/>
  <c r="Y8" i="22" s="1"/>
  <c r="AG8" i="22" s="1"/>
  <c r="T8" i="22"/>
  <c r="X8" i="22" s="1"/>
  <c r="AA7" i="22" s="1"/>
  <c r="U10" i="22"/>
  <c r="Y10" i="22" s="1"/>
  <c r="AG10" i="22" s="1"/>
  <c r="T10" i="22"/>
  <c r="X10" i="22" s="1"/>
  <c r="AA9" i="22" s="1"/>
  <c r="AH11" i="22"/>
  <c r="S9" i="21"/>
  <c r="U9" i="21" s="1"/>
  <c r="Y9" i="21" s="1"/>
  <c r="AG9" i="21" s="1"/>
  <c r="S14" i="21"/>
  <c r="U14" i="21" s="1"/>
  <c r="Y14" i="21" s="1"/>
  <c r="AG14" i="21" s="1"/>
  <c r="B34" i="21"/>
  <c r="T48" i="21"/>
  <c r="T39" i="21"/>
  <c r="C23" i="21"/>
  <c r="B24" i="21"/>
  <c r="T40" i="21"/>
  <c r="T43" i="21"/>
  <c r="T42" i="21"/>
  <c r="T49" i="21"/>
  <c r="T47" i="21"/>
  <c r="T46" i="21"/>
  <c r="T45" i="21"/>
  <c r="T41" i="21"/>
  <c r="T44" i="21"/>
  <c r="S8" i="21"/>
  <c r="S10" i="21"/>
  <c r="S15" i="21"/>
  <c r="S4" i="21"/>
  <c r="S5" i="21"/>
  <c r="S6" i="21"/>
  <c r="S12" i="21"/>
  <c r="S7" i="21"/>
  <c r="S13" i="21"/>
  <c r="S11" i="21"/>
  <c r="R45" i="22" l="1"/>
  <c r="R49" i="22"/>
  <c r="R42" i="22"/>
  <c r="R44" i="22"/>
  <c r="R43" i="22"/>
  <c r="N37" i="22"/>
  <c r="R46" i="22"/>
  <c r="R48" i="22"/>
  <c r="V26" i="22"/>
  <c r="AA25" i="22" s="1"/>
  <c r="R40" i="22"/>
  <c r="V27" i="22"/>
  <c r="AC27" i="22" s="1"/>
  <c r="AB8" i="22"/>
  <c r="AB4" i="22"/>
  <c r="AB13" i="22"/>
  <c r="AB6" i="22"/>
  <c r="AH8" i="22"/>
  <c r="AH9" i="22"/>
  <c r="AH14" i="22"/>
  <c r="V28" i="22"/>
  <c r="Y4" i="22"/>
  <c r="U2" i="22"/>
  <c r="AB14" i="22"/>
  <c r="AH7" i="22"/>
  <c r="AB9" i="22"/>
  <c r="X4" i="22"/>
  <c r="X2" i="22" s="1"/>
  <c r="T2" i="22"/>
  <c r="AH10" i="22"/>
  <c r="P37" i="22"/>
  <c r="R39" i="22"/>
  <c r="R23" i="22"/>
  <c r="V25" i="22"/>
  <c r="V34" i="22"/>
  <c r="V32" i="22"/>
  <c r="V29" i="22"/>
  <c r="V31" i="22"/>
  <c r="V30" i="22"/>
  <c r="V33" i="22"/>
  <c r="AB11" i="22"/>
  <c r="R41" i="22"/>
  <c r="AB5" i="22"/>
  <c r="AH15" i="22"/>
  <c r="AB7" i="22"/>
  <c r="AH12" i="22"/>
  <c r="AH5" i="22"/>
  <c r="AH6" i="22"/>
  <c r="T9" i="21"/>
  <c r="X9" i="21" s="1"/>
  <c r="AA8" i="21" s="1"/>
  <c r="AB8" i="21" s="1"/>
  <c r="T14" i="21"/>
  <c r="X14" i="21" s="1"/>
  <c r="AA13" i="21" s="1"/>
  <c r="AB13" i="21" s="1"/>
  <c r="T37" i="21"/>
  <c r="N30" i="21"/>
  <c r="P30" i="21" s="1"/>
  <c r="R35" i="21" s="1"/>
  <c r="N29" i="21"/>
  <c r="P29" i="21" s="1"/>
  <c r="N28" i="21"/>
  <c r="P28" i="21" s="1"/>
  <c r="N27" i="21"/>
  <c r="P27" i="21" s="1"/>
  <c r="N26" i="21"/>
  <c r="P26" i="21" s="1"/>
  <c r="N25" i="21"/>
  <c r="T32" i="21"/>
  <c r="T27" i="21"/>
  <c r="C34" i="21"/>
  <c r="C24" i="21"/>
  <c r="T34" i="21"/>
  <c r="T26" i="21"/>
  <c r="T30" i="21"/>
  <c r="T28" i="21"/>
  <c r="T31" i="21"/>
  <c r="T35" i="21"/>
  <c r="T25" i="21"/>
  <c r="T29" i="21"/>
  <c r="T33" i="21"/>
  <c r="U11" i="21"/>
  <c r="Y11" i="21" s="1"/>
  <c r="AG11" i="21" s="1"/>
  <c r="T11" i="21"/>
  <c r="X11" i="21" s="1"/>
  <c r="AA10" i="21" s="1"/>
  <c r="T10" i="21"/>
  <c r="X10" i="21" s="1"/>
  <c r="AA9" i="21" s="1"/>
  <c r="U10" i="21"/>
  <c r="Y10" i="21" s="1"/>
  <c r="AG10" i="21" s="1"/>
  <c r="U8" i="21"/>
  <c r="Y8" i="21" s="1"/>
  <c r="AG8" i="21" s="1"/>
  <c r="T8" i="21"/>
  <c r="X8" i="21" s="1"/>
  <c r="AA7" i="21" s="1"/>
  <c r="U6" i="21"/>
  <c r="Y6" i="21" s="1"/>
  <c r="AG6" i="21" s="1"/>
  <c r="T6" i="21"/>
  <c r="X6" i="21" s="1"/>
  <c r="AA5" i="21" s="1"/>
  <c r="U5" i="21"/>
  <c r="Y5" i="21" s="1"/>
  <c r="AG5" i="21" s="1"/>
  <c r="T5" i="21"/>
  <c r="X5" i="21" s="1"/>
  <c r="AA4" i="21" s="1"/>
  <c r="U7" i="21"/>
  <c r="Y7" i="21" s="1"/>
  <c r="AG7" i="21" s="1"/>
  <c r="T7" i="21"/>
  <c r="X7" i="21" s="1"/>
  <c r="AA6" i="21" s="1"/>
  <c r="T12" i="21"/>
  <c r="X12" i="21" s="1"/>
  <c r="AA11" i="21" s="1"/>
  <c r="U12" i="21"/>
  <c r="Y12" i="21" s="1"/>
  <c r="AG12" i="21" s="1"/>
  <c r="U4" i="21"/>
  <c r="T4" i="21"/>
  <c r="S2" i="21"/>
  <c r="U13" i="21"/>
  <c r="Y13" i="21" s="1"/>
  <c r="AG13" i="21" s="1"/>
  <c r="T13" i="21"/>
  <c r="X13" i="21" s="1"/>
  <c r="AA12" i="21" s="1"/>
  <c r="U15" i="21"/>
  <c r="Y15" i="21" s="1"/>
  <c r="AG15" i="21" s="1"/>
  <c r="T15" i="21"/>
  <c r="X15" i="21" s="1"/>
  <c r="AA14" i="21" s="1"/>
  <c r="AH14" i="21"/>
  <c r="AH9" i="21"/>
  <c r="AC26" i="22" l="1"/>
  <c r="AA26" i="22"/>
  <c r="AA23" i="22" s="1"/>
  <c r="V40" i="22"/>
  <c r="AA39" i="22" s="1"/>
  <c r="AD8" i="22"/>
  <c r="AC5" i="22"/>
  <c r="AD13" i="22"/>
  <c r="AD12" i="22"/>
  <c r="AD6" i="22"/>
  <c r="AC25" i="22"/>
  <c r="V41" i="22"/>
  <c r="AC39" i="22" s="1"/>
  <c r="AK25" i="22"/>
  <c r="AK28" i="22"/>
  <c r="AK31" i="22"/>
  <c r="AK29" i="22"/>
  <c r="AK27" i="22"/>
  <c r="AK30" i="22"/>
  <c r="AK26" i="22"/>
  <c r="AD14" i="22"/>
  <c r="AD5" i="22"/>
  <c r="AG29" i="22"/>
  <c r="AG25" i="22"/>
  <c r="AG28" i="22"/>
  <c r="AG27" i="22"/>
  <c r="AG26" i="22"/>
  <c r="AD4" i="22"/>
  <c r="AC7" i="22"/>
  <c r="AM25" i="22"/>
  <c r="AM32" i="22"/>
  <c r="AM31" i="22"/>
  <c r="AM27" i="22"/>
  <c r="AM28" i="22"/>
  <c r="AM30" i="22"/>
  <c r="AM29" i="22"/>
  <c r="AM26" i="22"/>
  <c r="AC9" i="22"/>
  <c r="AC14" i="22"/>
  <c r="AB18" i="22"/>
  <c r="AD15" i="22"/>
  <c r="AC15" i="22"/>
  <c r="AC10" i="22"/>
  <c r="AC12" i="22"/>
  <c r="AD7" i="22"/>
  <c r="AC11" i="22"/>
  <c r="AQ25" i="22"/>
  <c r="AQ26" i="22"/>
  <c r="AQ28" i="22"/>
  <c r="AQ32" i="22"/>
  <c r="AQ27" i="22"/>
  <c r="AQ33" i="22"/>
  <c r="AQ34" i="22"/>
  <c r="AQ31" i="22"/>
  <c r="AQ30" i="22"/>
  <c r="AQ29" i="22"/>
  <c r="AD9" i="22"/>
  <c r="AC6" i="22"/>
  <c r="AC4" i="22"/>
  <c r="AD11" i="22"/>
  <c r="AG4" i="22"/>
  <c r="Y2" i="22"/>
  <c r="Y25" i="22"/>
  <c r="V23" i="22"/>
  <c r="V35" i="22" s="1"/>
  <c r="V22" i="22" s="1"/>
  <c r="AE26" i="22"/>
  <c r="AE28" i="22"/>
  <c r="AE27" i="22"/>
  <c r="AE25" i="22"/>
  <c r="V42" i="22"/>
  <c r="AD10" i="22"/>
  <c r="AO25" i="22"/>
  <c r="AO33" i="22"/>
  <c r="AO32" i="22"/>
  <c r="AO31" i="22"/>
  <c r="AO30" i="22"/>
  <c r="AO29" i="22"/>
  <c r="AO27" i="22"/>
  <c r="AO28" i="22"/>
  <c r="AO26" i="22"/>
  <c r="AC13" i="22"/>
  <c r="AC8" i="22"/>
  <c r="AI30" i="22"/>
  <c r="AI25" i="22"/>
  <c r="AI28" i="22"/>
  <c r="AI29" i="22"/>
  <c r="AI27" i="22"/>
  <c r="AI26" i="22"/>
  <c r="V39" i="22"/>
  <c r="R37" i="22"/>
  <c r="V46" i="22"/>
  <c r="V43" i="22"/>
  <c r="V48" i="22"/>
  <c r="V47" i="22"/>
  <c r="V45" i="22"/>
  <c r="V44" i="22"/>
  <c r="R34" i="21"/>
  <c r="N40" i="21"/>
  <c r="P40" i="21" s="1"/>
  <c r="N39" i="21"/>
  <c r="N42" i="21"/>
  <c r="P42" i="21" s="1"/>
  <c r="N41" i="21"/>
  <c r="P41" i="21" s="1"/>
  <c r="N43" i="21"/>
  <c r="P43" i="21" s="1"/>
  <c r="N44" i="21"/>
  <c r="P44" i="21" s="1"/>
  <c r="T23" i="21"/>
  <c r="P25" i="21"/>
  <c r="N23" i="21"/>
  <c r="R31" i="21"/>
  <c r="R32" i="21"/>
  <c r="R33" i="21"/>
  <c r="AB9" i="21"/>
  <c r="AH12" i="21"/>
  <c r="AH8" i="21"/>
  <c r="AB11" i="21"/>
  <c r="AH5" i="21"/>
  <c r="AB12" i="21"/>
  <c r="AB4" i="21"/>
  <c r="AB6" i="21"/>
  <c r="AH13" i="21"/>
  <c r="AH7" i="21"/>
  <c r="AH10" i="21"/>
  <c r="AB14" i="21"/>
  <c r="AB5" i="21"/>
  <c r="AB10" i="21"/>
  <c r="AH15" i="21"/>
  <c r="T2" i="21"/>
  <c r="X4" i="21"/>
  <c r="X2" i="21" s="1"/>
  <c r="AH6" i="21"/>
  <c r="AH11" i="21"/>
  <c r="U2" i="21"/>
  <c r="Y4" i="21"/>
  <c r="AB7" i="21"/>
  <c r="AC23" i="22" l="1"/>
  <c r="AA40" i="22"/>
  <c r="AA37" i="22" s="1"/>
  <c r="AC41" i="22"/>
  <c r="AC40" i="22"/>
  <c r="AG23" i="22"/>
  <c r="AM23" i="22"/>
  <c r="Y39" i="22"/>
  <c r="V37" i="22"/>
  <c r="V49" i="22" s="1"/>
  <c r="AO42" i="22"/>
  <c r="AO39" i="22"/>
  <c r="AO47" i="22"/>
  <c r="AO40" i="22"/>
  <c r="AO46" i="22"/>
  <c r="AO44" i="22"/>
  <c r="AO43" i="22"/>
  <c r="AO41" i="22"/>
  <c r="AO45" i="22"/>
  <c r="AI40" i="22"/>
  <c r="AI42" i="22"/>
  <c r="AI43" i="22"/>
  <c r="AI41" i="22"/>
  <c r="AI39" i="22"/>
  <c r="AI44" i="22"/>
  <c r="AK42" i="22"/>
  <c r="AK44" i="22"/>
  <c r="AK41" i="22"/>
  <c r="AK43" i="22"/>
  <c r="AK40" i="22"/>
  <c r="AK39" i="22"/>
  <c r="AK45" i="22"/>
  <c r="AO23" i="22"/>
  <c r="AC18" i="22"/>
  <c r="L26" i="22" s="1"/>
  <c r="AS33" i="22"/>
  <c r="J33" i="22" s="1"/>
  <c r="AS35" i="22"/>
  <c r="J35" i="22" s="1"/>
  <c r="AS34" i="22"/>
  <c r="J34" i="22" s="1"/>
  <c r="AS32" i="22"/>
  <c r="J32" i="22" s="1"/>
  <c r="AS27" i="22"/>
  <c r="J27" i="22" s="1"/>
  <c r="AS25" i="22"/>
  <c r="J25" i="22" s="1"/>
  <c r="AS29" i="22"/>
  <c r="J29" i="22" s="1"/>
  <c r="AS31" i="22"/>
  <c r="J31" i="22" s="1"/>
  <c r="AS30" i="22"/>
  <c r="J30" i="22" s="1"/>
  <c r="AS28" i="22"/>
  <c r="J28" i="22" s="1"/>
  <c r="AS26" i="22"/>
  <c r="J26" i="22" s="1"/>
  <c r="AK23" i="22"/>
  <c r="AD18" i="22"/>
  <c r="L27" i="22" s="1"/>
  <c r="AI23" i="22"/>
  <c r="AE39" i="22"/>
  <c r="AE42" i="22"/>
  <c r="AE41" i="22"/>
  <c r="AE40" i="22"/>
  <c r="L25" i="22"/>
  <c r="AM43" i="22"/>
  <c r="AM44" i="22"/>
  <c r="AM40" i="22"/>
  <c r="AM46" i="22"/>
  <c r="AM41" i="22"/>
  <c r="AM45" i="22"/>
  <c r="AM39" i="22"/>
  <c r="AM42" i="22"/>
  <c r="AE23" i="22"/>
  <c r="AI4" i="22"/>
  <c r="AH4" i="22"/>
  <c r="AJ4" i="22"/>
  <c r="AQ23" i="22"/>
  <c r="AQ46" i="22"/>
  <c r="AQ39" i="22"/>
  <c r="AQ42" i="22"/>
  <c r="AQ47" i="22"/>
  <c r="AQ41" i="22"/>
  <c r="AQ48" i="22"/>
  <c r="AQ40" i="22"/>
  <c r="AQ44" i="22"/>
  <c r="AQ43" i="22"/>
  <c r="AQ45" i="22"/>
  <c r="Y23" i="22"/>
  <c r="AG43" i="22"/>
  <c r="AG42" i="22"/>
  <c r="AG41" i="22"/>
  <c r="AG39" i="22"/>
  <c r="AG40" i="22"/>
  <c r="AD12" i="21"/>
  <c r="AD4" i="21"/>
  <c r="AC7" i="21"/>
  <c r="AC5" i="21"/>
  <c r="AD11" i="21"/>
  <c r="AD13" i="21"/>
  <c r="R30" i="21"/>
  <c r="R25" i="21"/>
  <c r="R29" i="21"/>
  <c r="R28" i="21"/>
  <c r="R26" i="21"/>
  <c r="R27" i="21"/>
  <c r="P23" i="21"/>
  <c r="R47" i="21"/>
  <c r="R48" i="21"/>
  <c r="R49" i="21"/>
  <c r="R46" i="21"/>
  <c r="R45" i="21"/>
  <c r="N37" i="21"/>
  <c r="P39" i="21"/>
  <c r="R41" i="21" s="1"/>
  <c r="AD5" i="21"/>
  <c r="AD6" i="21"/>
  <c r="AD14" i="21"/>
  <c r="AC6" i="21"/>
  <c r="AD7" i="21"/>
  <c r="AD10" i="21"/>
  <c r="AC14" i="21"/>
  <c r="AC15" i="21"/>
  <c r="AB18" i="21"/>
  <c r="AD15" i="21"/>
  <c r="AC13" i="21"/>
  <c r="AC8" i="21"/>
  <c r="AC12" i="21"/>
  <c r="AD9" i="21"/>
  <c r="AC11" i="21"/>
  <c r="AC9" i="21"/>
  <c r="Y2" i="21"/>
  <c r="AG4" i="21"/>
  <c r="AC10" i="21"/>
  <c r="AC4" i="21"/>
  <c r="AD8" i="21"/>
  <c r="AC37" i="22" l="1"/>
  <c r="AE18" i="22"/>
  <c r="L28" i="22" s="1"/>
  <c r="H34" i="22" s="1"/>
  <c r="AM37" i="22"/>
  <c r="AK37" i="22"/>
  <c r="AS49" i="22"/>
  <c r="J49" i="22" s="1"/>
  <c r="AS42" i="22"/>
  <c r="J42" i="22" s="1"/>
  <c r="AS41" i="22"/>
  <c r="J41" i="22" s="1"/>
  <c r="AS46" i="22"/>
  <c r="J46" i="22" s="1"/>
  <c r="AS48" i="22"/>
  <c r="J48" i="22" s="1"/>
  <c r="AS40" i="22"/>
  <c r="J40" i="22" s="1"/>
  <c r="AS39" i="22"/>
  <c r="J39" i="22" s="1"/>
  <c r="AS47" i="22"/>
  <c r="J47" i="22" s="1"/>
  <c r="AS45" i="22"/>
  <c r="J45" i="22" s="1"/>
  <c r="AS43" i="22"/>
  <c r="J43" i="22" s="1"/>
  <c r="AS44" i="22"/>
  <c r="J44" i="22" s="1"/>
  <c r="AG37" i="22"/>
  <c r="Y37" i="22"/>
  <c r="V36" i="22"/>
  <c r="AH18" i="22"/>
  <c r="AI11" i="22"/>
  <c r="AI13" i="22"/>
  <c r="AI14" i="22"/>
  <c r="AJ7" i="22"/>
  <c r="AI12" i="22"/>
  <c r="AI15" i="22"/>
  <c r="AJ5" i="22"/>
  <c r="AI7" i="22"/>
  <c r="AJ15" i="22"/>
  <c r="AI9" i="22"/>
  <c r="AI5" i="22"/>
  <c r="AJ10" i="22"/>
  <c r="AJ12" i="22"/>
  <c r="AI10" i="22"/>
  <c r="AJ6" i="22"/>
  <c r="AI6" i="22"/>
  <c r="AI8" i="22"/>
  <c r="AJ14" i="22"/>
  <c r="AJ9" i="22"/>
  <c r="AJ8" i="22"/>
  <c r="AJ13" i="22"/>
  <c r="AJ11" i="22"/>
  <c r="AO37" i="22"/>
  <c r="AE37" i="22"/>
  <c r="AS23" i="22"/>
  <c r="AS22" i="22" s="1"/>
  <c r="J23" i="22"/>
  <c r="AQ37" i="22"/>
  <c r="H25" i="22"/>
  <c r="H27" i="22"/>
  <c r="H26" i="22"/>
  <c r="AI37" i="22"/>
  <c r="R40" i="21"/>
  <c r="R42" i="21"/>
  <c r="R43" i="21"/>
  <c r="V26" i="21"/>
  <c r="AD18" i="21"/>
  <c r="L27" i="21" s="1"/>
  <c r="V27" i="21"/>
  <c r="V28" i="21"/>
  <c r="R39" i="21"/>
  <c r="P37" i="21"/>
  <c r="V33" i="21"/>
  <c r="V30" i="21"/>
  <c r="V29" i="21"/>
  <c r="V31" i="21"/>
  <c r="R23" i="21"/>
  <c r="V32" i="21"/>
  <c r="V25" i="21"/>
  <c r="V34" i="21"/>
  <c r="R44" i="21"/>
  <c r="AI4" i="21"/>
  <c r="AH4" i="21"/>
  <c r="AJ4" i="21"/>
  <c r="L25" i="21"/>
  <c r="AC18" i="21"/>
  <c r="L26" i="21" s="1"/>
  <c r="H30" i="22" l="1"/>
  <c r="L23" i="22"/>
  <c r="H31" i="22"/>
  <c r="H35" i="22"/>
  <c r="H29" i="22"/>
  <c r="H33" i="22"/>
  <c r="H32" i="22"/>
  <c r="H28" i="22"/>
  <c r="AI18" i="22"/>
  <c r="L40" i="22" s="1"/>
  <c r="AJ18" i="22"/>
  <c r="L41" i="22" s="1"/>
  <c r="AS37" i="22"/>
  <c r="AS36" i="22" s="1"/>
  <c r="J37" i="22"/>
  <c r="L39" i="22"/>
  <c r="V40" i="21"/>
  <c r="AA40" i="21" s="1"/>
  <c r="AA26" i="21"/>
  <c r="AA25" i="21"/>
  <c r="Y25" i="21"/>
  <c r="Y23" i="21" s="1"/>
  <c r="V23" i="21"/>
  <c r="V35" i="21" s="1"/>
  <c r="V41" i="21"/>
  <c r="R37" i="21"/>
  <c r="V39" i="21"/>
  <c r="V48" i="21"/>
  <c r="V43" i="21"/>
  <c r="V45" i="21"/>
  <c r="V46" i="21"/>
  <c r="V47" i="21"/>
  <c r="V44" i="21"/>
  <c r="AM27" i="21"/>
  <c r="AM32" i="21"/>
  <c r="AM26" i="21"/>
  <c r="AM25" i="21"/>
  <c r="AM31" i="21"/>
  <c r="AM29" i="21"/>
  <c r="AM28" i="21"/>
  <c r="AM30" i="21"/>
  <c r="AE25" i="21"/>
  <c r="AE27" i="21"/>
  <c r="AE28" i="21"/>
  <c r="AE26" i="21"/>
  <c r="AO31" i="21"/>
  <c r="AO30" i="21"/>
  <c r="AO25" i="21"/>
  <c r="AO29" i="21"/>
  <c r="AO27" i="21"/>
  <c r="AO28" i="21"/>
  <c r="AO26" i="21"/>
  <c r="AO33" i="21"/>
  <c r="AO32" i="21"/>
  <c r="AQ29" i="21"/>
  <c r="AQ34" i="21"/>
  <c r="AQ28" i="21"/>
  <c r="AQ26" i="21"/>
  <c r="AQ30" i="21"/>
  <c r="AQ32" i="21"/>
  <c r="AQ27" i="21"/>
  <c r="AQ25" i="21"/>
  <c r="AQ31" i="21"/>
  <c r="AQ33" i="21"/>
  <c r="AK29" i="21"/>
  <c r="AK25" i="21"/>
  <c r="AK26" i="21"/>
  <c r="AK28" i="21"/>
  <c r="AK27" i="21"/>
  <c r="AK30" i="21"/>
  <c r="AK31" i="21"/>
  <c r="AC26" i="21"/>
  <c r="AC25" i="21"/>
  <c r="AC27" i="21"/>
  <c r="AG27" i="21"/>
  <c r="AG25" i="21"/>
  <c r="AG26" i="21"/>
  <c r="AG28" i="21"/>
  <c r="AG29" i="21"/>
  <c r="V42" i="21"/>
  <c r="AI30" i="21"/>
  <c r="AI25" i="21"/>
  <c r="AI29" i="21"/>
  <c r="AI28" i="21"/>
  <c r="AI26" i="21"/>
  <c r="AI27" i="21"/>
  <c r="AE18" i="21"/>
  <c r="L28" i="21" s="1"/>
  <c r="AH18" i="21"/>
  <c r="AI9" i="21"/>
  <c r="AI14" i="21"/>
  <c r="AJ8" i="21"/>
  <c r="AI5" i="21"/>
  <c r="AI10" i="21"/>
  <c r="AI7" i="21"/>
  <c r="AI6" i="21"/>
  <c r="AI8" i="21"/>
  <c r="AJ6" i="21"/>
  <c r="AJ7" i="21"/>
  <c r="AJ15" i="21"/>
  <c r="AJ14" i="21"/>
  <c r="AI12" i="21"/>
  <c r="AI15" i="21"/>
  <c r="AI13" i="21"/>
  <c r="AI11" i="21"/>
  <c r="AJ13" i="21"/>
  <c r="AJ9" i="21"/>
  <c r="AJ5" i="21"/>
  <c r="AJ12" i="21"/>
  <c r="AJ10" i="21"/>
  <c r="AJ11" i="21"/>
  <c r="H23" i="22" l="1"/>
  <c r="AK18" i="22"/>
  <c r="L42" i="22" s="1"/>
  <c r="L37" i="22" s="1"/>
  <c r="H41" i="22"/>
  <c r="H39" i="22"/>
  <c r="H40" i="22"/>
  <c r="AA39" i="21"/>
  <c r="AA37" i="21" s="1"/>
  <c r="AA23" i="21"/>
  <c r="AG23" i="21"/>
  <c r="AQ23" i="21"/>
  <c r="AI18" i="21"/>
  <c r="L40" i="21" s="1"/>
  <c r="AM23" i="21"/>
  <c r="AG42" i="21"/>
  <c r="AG43" i="21"/>
  <c r="AG41" i="21"/>
  <c r="AG40" i="21"/>
  <c r="AG39" i="21"/>
  <c r="AI23" i="21"/>
  <c r="AK23" i="21"/>
  <c r="AQ45" i="21"/>
  <c r="AQ48" i="21"/>
  <c r="AQ40" i="21"/>
  <c r="AQ39" i="21"/>
  <c r="AQ46" i="21"/>
  <c r="AQ42" i="21"/>
  <c r="AQ43" i="21"/>
  <c r="AQ44" i="21"/>
  <c r="AQ41" i="21"/>
  <c r="AQ47" i="21"/>
  <c r="AC23" i="21"/>
  <c r="V37" i="21"/>
  <c r="V49" i="21" s="1"/>
  <c r="Y39" i="21"/>
  <c r="Y37" i="21" s="1"/>
  <c r="L23" i="21"/>
  <c r="AE40" i="21"/>
  <c r="AE41" i="21"/>
  <c r="AE39" i="21"/>
  <c r="AE42" i="21"/>
  <c r="AE23" i="21"/>
  <c r="AK44" i="21"/>
  <c r="AK40" i="21"/>
  <c r="AK42" i="21"/>
  <c r="AK41" i="21"/>
  <c r="AK39" i="21"/>
  <c r="AK45" i="21"/>
  <c r="AK43" i="21"/>
  <c r="AI44" i="21"/>
  <c r="AI39" i="21"/>
  <c r="AI43" i="21"/>
  <c r="AI42" i="21"/>
  <c r="AI41" i="21"/>
  <c r="AI40" i="21"/>
  <c r="AC40" i="21"/>
  <c r="AC39" i="21"/>
  <c r="AC41" i="21"/>
  <c r="AO23" i="21"/>
  <c r="AO47" i="21"/>
  <c r="AO40" i="21"/>
  <c r="AO41" i="21"/>
  <c r="AO46" i="21"/>
  <c r="AO42" i="21"/>
  <c r="AO45" i="21"/>
  <c r="AO39" i="21"/>
  <c r="AO43" i="21"/>
  <c r="AO44" i="21"/>
  <c r="V22" i="21"/>
  <c r="AS28" i="21"/>
  <c r="J28" i="21" s="1"/>
  <c r="AS26" i="21"/>
  <c r="J26" i="21" s="1"/>
  <c r="AS30" i="21"/>
  <c r="J30" i="21" s="1"/>
  <c r="AS34" i="21"/>
  <c r="J34" i="21" s="1"/>
  <c r="AS31" i="21"/>
  <c r="J31" i="21" s="1"/>
  <c r="AS35" i="21"/>
  <c r="J35" i="21" s="1"/>
  <c r="AS27" i="21"/>
  <c r="J27" i="21" s="1"/>
  <c r="AS25" i="21"/>
  <c r="AS29" i="21"/>
  <c r="J29" i="21" s="1"/>
  <c r="AS33" i="21"/>
  <c r="J33" i="21" s="1"/>
  <c r="AS32" i="21"/>
  <c r="J32" i="21" s="1"/>
  <c r="AJ18" i="21"/>
  <c r="L41" i="21" s="1"/>
  <c r="AM40" i="21"/>
  <c r="AM44" i="21"/>
  <c r="AM42" i="21"/>
  <c r="AM41" i="21"/>
  <c r="AM45" i="21"/>
  <c r="AM46" i="21"/>
  <c r="AM43" i="21"/>
  <c r="AM39" i="21"/>
  <c r="L39" i="21"/>
  <c r="H49" i="22" l="1"/>
  <c r="BK59" i="22" s="1"/>
  <c r="H43" i="22"/>
  <c r="BK16" i="22" s="1"/>
  <c r="H42" i="22"/>
  <c r="BS42" i="22" s="1"/>
  <c r="H44" i="22"/>
  <c r="BK8" i="22" s="1"/>
  <c r="H46" i="22"/>
  <c r="BK45" i="22" s="1"/>
  <c r="H48" i="22"/>
  <c r="BK55" i="22" s="1"/>
  <c r="H45" i="22"/>
  <c r="BK44" i="22" s="1"/>
  <c r="H47" i="22"/>
  <c r="BK11" i="22" s="1"/>
  <c r="BS41" i="22"/>
  <c r="BS16" i="22"/>
  <c r="BS12" i="22"/>
  <c r="BS26" i="22"/>
  <c r="BS9" i="22"/>
  <c r="BK14" i="22"/>
  <c r="BK5" i="22"/>
  <c r="BO6" i="22"/>
  <c r="BS33" i="22"/>
  <c r="BS20" i="22"/>
  <c r="BS40" i="22"/>
  <c r="BS15" i="22"/>
  <c r="BS8" i="22"/>
  <c r="BS19" i="22"/>
  <c r="BS32" i="22"/>
  <c r="BO5" i="22"/>
  <c r="BS11" i="22"/>
  <c r="BS6" i="22"/>
  <c r="BS25" i="22"/>
  <c r="BK4" i="22"/>
  <c r="BS39" i="22"/>
  <c r="BS14" i="22"/>
  <c r="BS10" i="22"/>
  <c r="BS4" i="22"/>
  <c r="BS7" i="22"/>
  <c r="BS5" i="22"/>
  <c r="BS24" i="22"/>
  <c r="BK49" i="22"/>
  <c r="BO4" i="22"/>
  <c r="BS31" i="22"/>
  <c r="AK18" i="21"/>
  <c r="L42" i="21" s="1"/>
  <c r="L37" i="21" s="1"/>
  <c r="H31" i="21"/>
  <c r="H34" i="21"/>
  <c r="AC37" i="21"/>
  <c r="AK37" i="21"/>
  <c r="H33" i="21"/>
  <c r="AG37" i="21"/>
  <c r="H30" i="21"/>
  <c r="H29" i="21"/>
  <c r="AQ37" i="21"/>
  <c r="AS39" i="21"/>
  <c r="J39" i="21" s="1"/>
  <c r="H39" i="21" s="1"/>
  <c r="AS43" i="21"/>
  <c r="J43" i="21" s="1"/>
  <c r="AS44" i="21"/>
  <c r="J44" i="21" s="1"/>
  <c r="AS40" i="21"/>
  <c r="J40" i="21" s="1"/>
  <c r="AS48" i="21"/>
  <c r="J48" i="21" s="1"/>
  <c r="AS45" i="21"/>
  <c r="J45" i="21" s="1"/>
  <c r="AS42" i="21"/>
  <c r="J42" i="21" s="1"/>
  <c r="AS49" i="21"/>
  <c r="J49" i="21" s="1"/>
  <c r="AS46" i="21"/>
  <c r="J46" i="21" s="1"/>
  <c r="AS41" i="21"/>
  <c r="J41" i="21" s="1"/>
  <c r="AS47" i="21"/>
  <c r="J47" i="21" s="1"/>
  <c r="AS23" i="21"/>
  <c r="AS22" i="21" s="1"/>
  <c r="AE37" i="21"/>
  <c r="H35" i="21"/>
  <c r="AO37" i="21"/>
  <c r="V36" i="21"/>
  <c r="J25" i="21"/>
  <c r="AI37" i="21"/>
  <c r="AM37" i="21"/>
  <c r="H32" i="21"/>
  <c r="BK42" i="22" l="1"/>
  <c r="BS36" i="22"/>
  <c r="BK13" i="22"/>
  <c r="BS44" i="22"/>
  <c r="BO9" i="22"/>
  <c r="BO7" i="22"/>
  <c r="BK6" i="22"/>
  <c r="BS17" i="22"/>
  <c r="BK57" i="22"/>
  <c r="BS13" i="22"/>
  <c r="BS34" i="22"/>
  <c r="BS27" i="22"/>
  <c r="BK18" i="22"/>
  <c r="BK23" i="22"/>
  <c r="BK15" i="22"/>
  <c r="BS21" i="22"/>
  <c r="BS23" i="22"/>
  <c r="BS29" i="22"/>
  <c r="BK25" i="22"/>
  <c r="BK17" i="22"/>
  <c r="BK32" i="22"/>
  <c r="BK39" i="22"/>
  <c r="BK33" i="22"/>
  <c r="BS37" i="22"/>
  <c r="BK21" i="22"/>
  <c r="BS45" i="22"/>
  <c r="BK54" i="22"/>
  <c r="BK36" i="22"/>
  <c r="BK47" i="22"/>
  <c r="BK12" i="22"/>
  <c r="BO13" i="22"/>
  <c r="BK52" i="22"/>
  <c r="BS30" i="22"/>
  <c r="BO8" i="22"/>
  <c r="BK29" i="22"/>
  <c r="BK26" i="22"/>
  <c r="BK22" i="22"/>
  <c r="BK58" i="22"/>
  <c r="BK31" i="22"/>
  <c r="BK43" i="22"/>
  <c r="BS28" i="22"/>
  <c r="BK20" i="22"/>
  <c r="BK9" i="22"/>
  <c r="BK38" i="22"/>
  <c r="BK30" i="22"/>
  <c r="BK7" i="22"/>
  <c r="BS22" i="22"/>
  <c r="BS18" i="22"/>
  <c r="BK24" i="22"/>
  <c r="BS43" i="22"/>
  <c r="BK53" i="22"/>
  <c r="BK56" i="22"/>
  <c r="BS47" i="22"/>
  <c r="BK37" i="22"/>
  <c r="BK48" i="22"/>
  <c r="BS35" i="22"/>
  <c r="BO10" i="22"/>
  <c r="BO14" i="22"/>
  <c r="BK34" i="22"/>
  <c r="BK50" i="22"/>
  <c r="BO12" i="22"/>
  <c r="BK46" i="22"/>
  <c r="BK51" i="22"/>
  <c r="BK19" i="22"/>
  <c r="BK28" i="22"/>
  <c r="H37" i="22"/>
  <c r="BK40" i="22"/>
  <c r="BK10" i="22"/>
  <c r="BK27" i="22"/>
  <c r="BK35" i="22"/>
  <c r="BK41" i="22"/>
  <c r="BO11" i="22"/>
  <c r="BS46" i="22"/>
  <c r="BS38" i="22"/>
  <c r="H49" i="21"/>
  <c r="BK43" i="21" s="1"/>
  <c r="BK49" i="21"/>
  <c r="H47" i="21"/>
  <c r="BK51" i="21" s="1"/>
  <c r="H42" i="21"/>
  <c r="BS17" i="21" s="1"/>
  <c r="H43" i="21"/>
  <c r="BS22" i="21" s="1"/>
  <c r="H44" i="21"/>
  <c r="BS23" i="21" s="1"/>
  <c r="H48" i="21"/>
  <c r="BO13" i="21" s="1"/>
  <c r="H45" i="21"/>
  <c r="BO10" i="21" s="1"/>
  <c r="H46" i="21"/>
  <c r="BK50" i="21" s="1"/>
  <c r="J23" i="21"/>
  <c r="H25" i="21"/>
  <c r="J37" i="21"/>
  <c r="H28" i="21"/>
  <c r="H40" i="21"/>
  <c r="BS19" i="21" s="1"/>
  <c r="H26" i="21"/>
  <c r="H41" i="21"/>
  <c r="BS33" i="21" s="1"/>
  <c r="AS37" i="21"/>
  <c r="AS36" i="21" s="1"/>
  <c r="H27" i="21"/>
  <c r="BS10" i="21"/>
  <c r="BS31" i="21"/>
  <c r="BS14" i="21"/>
  <c r="BS24" i="21"/>
  <c r="BS39" i="21"/>
  <c r="B38" i="22" l="1"/>
  <c r="B36" i="22"/>
  <c r="B37" i="22"/>
  <c r="BS21" i="21"/>
  <c r="BS30" i="21"/>
  <c r="BS13" i="21"/>
  <c r="BK38" i="21"/>
  <c r="BK58" i="21"/>
  <c r="BK59" i="21"/>
  <c r="BO14" i="21"/>
  <c r="BS18" i="21"/>
  <c r="BK56" i="21"/>
  <c r="BK53" i="21"/>
  <c r="BS41" i="21"/>
  <c r="BS20" i="21"/>
  <c r="BS26" i="21"/>
  <c r="BS12" i="21"/>
  <c r="BK48" i="21"/>
  <c r="BS6" i="21"/>
  <c r="BK45" i="21"/>
  <c r="BS35" i="21"/>
  <c r="BK22" i="21"/>
  <c r="BK46" i="21"/>
  <c r="BK7" i="21"/>
  <c r="BS42" i="21"/>
  <c r="BK16" i="21"/>
  <c r="BS34" i="21"/>
  <c r="BS27" i="21"/>
  <c r="BK54" i="21"/>
  <c r="BK41" i="21"/>
  <c r="BS11" i="21"/>
  <c r="BK14" i="21"/>
  <c r="BS47" i="21"/>
  <c r="BS15" i="21"/>
  <c r="BO12" i="21"/>
  <c r="BK39" i="21"/>
  <c r="BS45" i="21"/>
  <c r="BK44" i="21"/>
  <c r="BK42" i="21"/>
  <c r="BK40" i="21"/>
  <c r="BS38" i="21"/>
  <c r="BS28" i="21"/>
  <c r="BK57" i="21"/>
  <c r="H37" i="21"/>
  <c r="BK18" i="21"/>
  <c r="BK26" i="21"/>
  <c r="BK52" i="21"/>
  <c r="BO11" i="21"/>
  <c r="BO8" i="21"/>
  <c r="BK47" i="21"/>
  <c r="BS16" i="21"/>
  <c r="BS46" i="21"/>
  <c r="BS37" i="21"/>
  <c r="BS43" i="21"/>
  <c r="BS32" i="21"/>
  <c r="BK15" i="21"/>
  <c r="BS25" i="21"/>
  <c r="BK5" i="21"/>
  <c r="BK30" i="21"/>
  <c r="BS8" i="21"/>
  <c r="BK55" i="21"/>
  <c r="BS44" i="21"/>
  <c r="BS36" i="21"/>
  <c r="BO9" i="21"/>
  <c r="BS29" i="21"/>
  <c r="BS40" i="21"/>
  <c r="BK36" i="21"/>
  <c r="BK32" i="21"/>
  <c r="BK24" i="21"/>
  <c r="BK28" i="21"/>
  <c r="BK37" i="21"/>
  <c r="BS9" i="21"/>
  <c r="H23" i="21"/>
  <c r="BK11" i="21"/>
  <c r="BO4" i="21"/>
  <c r="BK4" i="21"/>
  <c r="BK8" i="21"/>
  <c r="BK10" i="21"/>
  <c r="BK12" i="21"/>
  <c r="BS5" i="21"/>
  <c r="BK6" i="21"/>
  <c r="BK35" i="21"/>
  <c r="BS7" i="21"/>
  <c r="BK9" i="21"/>
  <c r="BK25" i="21"/>
  <c r="BK29" i="21"/>
  <c r="BK33" i="21"/>
  <c r="BK31" i="21"/>
  <c r="BO6" i="21"/>
  <c r="BK17" i="21"/>
  <c r="BS4" i="21"/>
  <c r="BK21" i="21"/>
  <c r="BK19" i="21"/>
  <c r="BK20" i="21"/>
  <c r="BO5" i="21"/>
  <c r="BK34" i="21"/>
  <c r="BO7" i="21"/>
  <c r="BK27" i="21"/>
  <c r="BK23" i="21"/>
  <c r="BK13" i="21"/>
  <c r="B37" i="21" l="1"/>
  <c r="B36" i="21"/>
  <c r="B38" i="21"/>
  <c r="BI52" i="20" l="1"/>
  <c r="BI55" i="20" s="1"/>
  <c r="BI57" i="20" s="1"/>
  <c r="BM13" i="20" s="1"/>
  <c r="BF48" i="20"/>
  <c r="BF47" i="20"/>
  <c r="BF46" i="20"/>
  <c r="BF45" i="20"/>
  <c r="BE45" i="20"/>
  <c r="BF44" i="20"/>
  <c r="BE44" i="20"/>
  <c r="BD44" i="20"/>
  <c r="BF43" i="20"/>
  <c r="BE43" i="20"/>
  <c r="BD43" i="20"/>
  <c r="BC43" i="20"/>
  <c r="BF42" i="20"/>
  <c r="BE42" i="20"/>
  <c r="BD42" i="20"/>
  <c r="BC42" i="20"/>
  <c r="BF41" i="20"/>
  <c r="BE41" i="20"/>
  <c r="BD41" i="20"/>
  <c r="BC41" i="20"/>
  <c r="BI40" i="20"/>
  <c r="BI45" i="20" s="1"/>
  <c r="BI50" i="20" s="1"/>
  <c r="BM11" i="20" s="1"/>
  <c r="BQ38" i="20" s="1"/>
  <c r="BQ46" i="20" s="1"/>
  <c r="BF40" i="20"/>
  <c r="BE40" i="20"/>
  <c r="BD40" i="20"/>
  <c r="BC40" i="20"/>
  <c r="BC39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BI35" i="20"/>
  <c r="BI41" i="20" s="1"/>
  <c r="BI46" i="20" s="1"/>
  <c r="BI51" i="20" s="1"/>
  <c r="BI54" i="20" s="1"/>
  <c r="BI34" i="20"/>
  <c r="BF34" i="20"/>
  <c r="BF33" i="20"/>
  <c r="C33" i="20"/>
  <c r="B33" i="20"/>
  <c r="BF32" i="20"/>
  <c r="C32" i="20"/>
  <c r="B32" i="20"/>
  <c r="BF31" i="20"/>
  <c r="BE31" i="20"/>
  <c r="BI30" i="20"/>
  <c r="BI37" i="20" s="1"/>
  <c r="BI43" i="20" s="1"/>
  <c r="BI48" i="20" s="1"/>
  <c r="BI53" i="20" s="1"/>
  <c r="BI56" i="20" s="1"/>
  <c r="BI58" i="20" s="1"/>
  <c r="BI59" i="20" s="1"/>
  <c r="BF30" i="20"/>
  <c r="BE30" i="20"/>
  <c r="BD30" i="20"/>
  <c r="E30" i="20"/>
  <c r="D30" i="20"/>
  <c r="BI29" i="20"/>
  <c r="BI36" i="20" s="1"/>
  <c r="BI42" i="20" s="1"/>
  <c r="BI47" i="20" s="1"/>
  <c r="BF29" i="20"/>
  <c r="BE29" i="20"/>
  <c r="BD29" i="20"/>
  <c r="BC29" i="20"/>
  <c r="C29" i="20"/>
  <c r="B29" i="20"/>
  <c r="BI28" i="20"/>
  <c r="BF28" i="20"/>
  <c r="BE28" i="20"/>
  <c r="BD28" i="20"/>
  <c r="BC28" i="20"/>
  <c r="BI27" i="20"/>
  <c r="BF27" i="20"/>
  <c r="BE27" i="20"/>
  <c r="BD27" i="20"/>
  <c r="BC27" i="20"/>
  <c r="C27" i="20"/>
  <c r="B27" i="20"/>
  <c r="BI26" i="20"/>
  <c r="BI33" i="20" s="1"/>
  <c r="BI39" i="20" s="1"/>
  <c r="BI44" i="20" s="1"/>
  <c r="BF26" i="20"/>
  <c r="BE26" i="20"/>
  <c r="BD26" i="20"/>
  <c r="BC26" i="20"/>
  <c r="E26" i="20"/>
  <c r="E27" i="20" s="1"/>
  <c r="D26" i="20"/>
  <c r="D27" i="20" s="1"/>
  <c r="C26" i="20"/>
  <c r="B26" i="20"/>
  <c r="BI25" i="20"/>
  <c r="BI32" i="20" s="1"/>
  <c r="BI38" i="20" s="1"/>
  <c r="BM9" i="20" s="1"/>
  <c r="BQ23" i="20" s="1"/>
  <c r="BQ29" i="20" s="1"/>
  <c r="BQ36" i="20" s="1"/>
  <c r="BQ44" i="20" s="1"/>
  <c r="BC25" i="20"/>
  <c r="E25" i="20"/>
  <c r="D25" i="20"/>
  <c r="C25" i="20"/>
  <c r="B25" i="20"/>
  <c r="BI24" i="20"/>
  <c r="BI31" i="20" s="1"/>
  <c r="BM8" i="20" s="1"/>
  <c r="BI23" i="20"/>
  <c r="B20" i="20"/>
  <c r="B21" i="20" s="1"/>
  <c r="BQ18" i="20"/>
  <c r="BQ22" i="20" s="1"/>
  <c r="BQ28" i="20" s="1"/>
  <c r="BQ35" i="20" s="1"/>
  <c r="BQ43" i="20" s="1"/>
  <c r="AA15" i="20"/>
  <c r="W15" i="20"/>
  <c r="V15" i="20"/>
  <c r="Q15" i="20"/>
  <c r="P15" i="20"/>
  <c r="W14" i="20"/>
  <c r="V14" i="20"/>
  <c r="Q14" i="20"/>
  <c r="P14" i="20"/>
  <c r="BQ13" i="20"/>
  <c r="BQ17" i="20" s="1"/>
  <c r="BQ21" i="20" s="1"/>
  <c r="BQ27" i="20" s="1"/>
  <c r="BQ34" i="20" s="1"/>
  <c r="BQ42" i="20" s="1"/>
  <c r="W13" i="20"/>
  <c r="V13" i="20"/>
  <c r="Q13" i="20"/>
  <c r="P13" i="20"/>
  <c r="BM12" i="20"/>
  <c r="BQ47" i="20" s="1"/>
  <c r="W12" i="20"/>
  <c r="V12" i="20"/>
  <c r="Q12" i="20"/>
  <c r="P12" i="20"/>
  <c r="Q11" i="20"/>
  <c r="P11" i="20"/>
  <c r="BM10" i="20"/>
  <c r="BQ30" i="20" s="1"/>
  <c r="BQ37" i="20" s="1"/>
  <c r="BQ45" i="20" s="1"/>
  <c r="W10" i="20"/>
  <c r="V10" i="20"/>
  <c r="W9" i="20"/>
  <c r="V9" i="20"/>
  <c r="Q9" i="20"/>
  <c r="P9" i="20"/>
  <c r="BQ8" i="20"/>
  <c r="BQ11" i="20" s="1"/>
  <c r="BQ15" i="20" s="1"/>
  <c r="BQ19" i="20" s="1"/>
  <c r="BQ25" i="20" s="1"/>
  <c r="BQ32" i="20" s="1"/>
  <c r="BQ40" i="20" s="1"/>
  <c r="W8" i="20"/>
  <c r="V8" i="20"/>
  <c r="Q8" i="20"/>
  <c r="P8" i="20"/>
  <c r="BQ7" i="20"/>
  <c r="BQ10" i="20" s="1"/>
  <c r="BQ14" i="20" s="1"/>
  <c r="BI49" i="20" s="1"/>
  <c r="BQ24" i="20" s="1"/>
  <c r="BQ31" i="20" s="1"/>
  <c r="BQ39" i="20" s="1"/>
  <c r="BM14" i="20" s="1"/>
  <c r="BM7" i="20"/>
  <c r="W7" i="20"/>
  <c r="V7" i="20"/>
  <c r="Q7" i="20"/>
  <c r="P7" i="20"/>
  <c r="BQ6" i="20"/>
  <c r="BM6" i="20"/>
  <c r="BQ9" i="20" s="1"/>
  <c r="BQ12" i="20" s="1"/>
  <c r="BQ16" i="20" s="1"/>
  <c r="BQ20" i="20" s="1"/>
  <c r="BQ26" i="20" s="1"/>
  <c r="BQ33" i="20" s="1"/>
  <c r="BQ41" i="20" s="1"/>
  <c r="W6" i="20"/>
  <c r="V6" i="20"/>
  <c r="Q6" i="20"/>
  <c r="P6" i="20"/>
  <c r="B22" i="20"/>
  <c r="C22" i="20" s="1"/>
  <c r="BQ5" i="20"/>
  <c r="W5" i="20"/>
  <c r="V5" i="20"/>
  <c r="Q5" i="20"/>
  <c r="P5" i="20"/>
  <c r="W4" i="20"/>
  <c r="V4" i="20"/>
  <c r="Q4" i="20"/>
  <c r="P4" i="20"/>
  <c r="D3" i="20"/>
  <c r="N1" i="20"/>
  <c r="N5" i="20" s="1"/>
  <c r="C6" i="19"/>
  <c r="BF48" i="19"/>
  <c r="BF47" i="19"/>
  <c r="BF46" i="19"/>
  <c r="BF45" i="19"/>
  <c r="BE45" i="19"/>
  <c r="BF44" i="19"/>
  <c r="BE44" i="19"/>
  <c r="BD44" i="19"/>
  <c r="BF43" i="19"/>
  <c r="BE43" i="19"/>
  <c r="BD43" i="19"/>
  <c r="BC43" i="19"/>
  <c r="BF42" i="19"/>
  <c r="BE42" i="19"/>
  <c r="BD42" i="19"/>
  <c r="BC42" i="19"/>
  <c r="BF41" i="19"/>
  <c r="BE41" i="19"/>
  <c r="BD41" i="19"/>
  <c r="BC41" i="19"/>
  <c r="BF40" i="19"/>
  <c r="BE40" i="19"/>
  <c r="BD40" i="19"/>
  <c r="BC40" i="19"/>
  <c r="BC39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BF34" i="19"/>
  <c r="BI33" i="19"/>
  <c r="BI39" i="19" s="1"/>
  <c r="BI44" i="19" s="1"/>
  <c r="BM10" i="19" s="1"/>
  <c r="BQ30" i="19" s="1"/>
  <c r="BQ37" i="19" s="1"/>
  <c r="BQ45" i="19" s="1"/>
  <c r="BF33" i="19"/>
  <c r="C33" i="19"/>
  <c r="B33" i="19"/>
  <c r="BI32" i="19"/>
  <c r="BI38" i="19" s="1"/>
  <c r="BM9" i="19" s="1"/>
  <c r="BQ23" i="19" s="1"/>
  <c r="BQ29" i="19" s="1"/>
  <c r="BQ36" i="19" s="1"/>
  <c r="BQ44" i="19" s="1"/>
  <c r="BF32" i="19"/>
  <c r="C32" i="19"/>
  <c r="B32" i="19"/>
  <c r="BF31" i="19"/>
  <c r="BE31" i="19"/>
  <c r="BI30" i="19"/>
  <c r="BI37" i="19" s="1"/>
  <c r="BI43" i="19" s="1"/>
  <c r="BI48" i="19" s="1"/>
  <c r="BI53" i="19" s="1"/>
  <c r="BI56" i="19" s="1"/>
  <c r="BI58" i="19" s="1"/>
  <c r="BI59" i="19" s="1"/>
  <c r="BF30" i="19"/>
  <c r="BE30" i="19"/>
  <c r="BD30" i="19"/>
  <c r="E30" i="19"/>
  <c r="D30" i="19"/>
  <c r="BI29" i="19"/>
  <c r="BI36" i="19" s="1"/>
  <c r="BI42" i="19" s="1"/>
  <c r="BI47" i="19" s="1"/>
  <c r="BI52" i="19" s="1"/>
  <c r="BI55" i="19" s="1"/>
  <c r="BI57" i="19" s="1"/>
  <c r="BM13" i="19" s="1"/>
  <c r="BF29" i="19"/>
  <c r="BE29" i="19"/>
  <c r="BD29" i="19"/>
  <c r="BC29" i="19"/>
  <c r="C29" i="19"/>
  <c r="B29" i="19"/>
  <c r="BI28" i="19"/>
  <c r="BI35" i="19" s="1"/>
  <c r="BI41" i="19" s="1"/>
  <c r="BI46" i="19" s="1"/>
  <c r="BI51" i="19" s="1"/>
  <c r="BI54" i="19" s="1"/>
  <c r="BM12" i="19" s="1"/>
  <c r="BQ47" i="19" s="1"/>
  <c r="BF28" i="19"/>
  <c r="BE28" i="19"/>
  <c r="BD28" i="19"/>
  <c r="BC28" i="19"/>
  <c r="BI27" i="19"/>
  <c r="BI34" i="19" s="1"/>
  <c r="BI40" i="19" s="1"/>
  <c r="BI45" i="19" s="1"/>
  <c r="BI50" i="19" s="1"/>
  <c r="BM11" i="19" s="1"/>
  <c r="BQ38" i="19" s="1"/>
  <c r="BQ46" i="19" s="1"/>
  <c r="BF27" i="19"/>
  <c r="BE27" i="19"/>
  <c r="BD27" i="19"/>
  <c r="BC27" i="19"/>
  <c r="D27" i="19"/>
  <c r="C27" i="19"/>
  <c r="B27" i="19"/>
  <c r="BI26" i="19"/>
  <c r="BF26" i="19"/>
  <c r="BE26" i="19"/>
  <c r="BD26" i="19"/>
  <c r="BC26" i="19"/>
  <c r="E26" i="19"/>
  <c r="E27" i="19" s="1"/>
  <c r="D26" i="19"/>
  <c r="C26" i="19"/>
  <c r="B26" i="19"/>
  <c r="BI25" i="19"/>
  <c r="BC25" i="19"/>
  <c r="E25" i="19"/>
  <c r="D25" i="19"/>
  <c r="C25" i="19"/>
  <c r="B25" i="19"/>
  <c r="BI24" i="19"/>
  <c r="BI31" i="19" s="1"/>
  <c r="BM8" i="19" s="1"/>
  <c r="BQ18" i="19" s="1"/>
  <c r="BQ22" i="19" s="1"/>
  <c r="BQ28" i="19" s="1"/>
  <c r="BQ35" i="19" s="1"/>
  <c r="BQ43" i="19" s="1"/>
  <c r="BI23" i="19"/>
  <c r="D23" i="19"/>
  <c r="B22" i="19"/>
  <c r="G13" i="19" s="1"/>
  <c r="B21" i="19"/>
  <c r="B20" i="19"/>
  <c r="AA15" i="19"/>
  <c r="AB15" i="19" s="1"/>
  <c r="W15" i="19"/>
  <c r="V15" i="19"/>
  <c r="Q15" i="19"/>
  <c r="P15" i="19"/>
  <c r="W14" i="19"/>
  <c r="V14" i="19"/>
  <c r="Q14" i="19"/>
  <c r="P14" i="19"/>
  <c r="BQ13" i="19"/>
  <c r="BQ17" i="19" s="1"/>
  <c r="BQ21" i="19" s="1"/>
  <c r="BQ27" i="19" s="1"/>
  <c r="BQ34" i="19" s="1"/>
  <c r="BQ42" i="19" s="1"/>
  <c r="W13" i="19"/>
  <c r="V13" i="19"/>
  <c r="Q13" i="19"/>
  <c r="P13" i="19"/>
  <c r="W12" i="19"/>
  <c r="V12" i="19"/>
  <c r="Q12" i="19"/>
  <c r="R12" i="19" s="1"/>
  <c r="P12" i="19"/>
  <c r="N12" i="19"/>
  <c r="Q11" i="19"/>
  <c r="P11" i="19"/>
  <c r="W10" i="19"/>
  <c r="V10" i="19"/>
  <c r="W9" i="19"/>
  <c r="V9" i="19"/>
  <c r="Q9" i="19"/>
  <c r="P9" i="19"/>
  <c r="BQ8" i="19"/>
  <c r="BQ11" i="19" s="1"/>
  <c r="BQ15" i="19" s="1"/>
  <c r="BQ19" i="19" s="1"/>
  <c r="BQ25" i="19" s="1"/>
  <c r="BQ32" i="19" s="1"/>
  <c r="BQ40" i="19" s="1"/>
  <c r="W8" i="19"/>
  <c r="V8" i="19"/>
  <c r="Q8" i="19"/>
  <c r="P8" i="19"/>
  <c r="N8" i="19"/>
  <c r="BQ7" i="19"/>
  <c r="BQ10" i="19" s="1"/>
  <c r="BQ14" i="19" s="1"/>
  <c r="BI49" i="19" s="1"/>
  <c r="BQ24" i="19" s="1"/>
  <c r="BQ31" i="19" s="1"/>
  <c r="BQ39" i="19" s="1"/>
  <c r="BM14" i="19" s="1"/>
  <c r="BM7" i="19"/>
  <c r="W7" i="19"/>
  <c r="V7" i="19"/>
  <c r="Q7" i="19"/>
  <c r="P7" i="19"/>
  <c r="N7" i="19"/>
  <c r="BQ6" i="19"/>
  <c r="BM6" i="19"/>
  <c r="BQ9" i="19" s="1"/>
  <c r="BQ12" i="19" s="1"/>
  <c r="BQ16" i="19" s="1"/>
  <c r="BQ20" i="19" s="1"/>
  <c r="BQ26" i="19" s="1"/>
  <c r="BQ33" i="19" s="1"/>
  <c r="BQ41" i="19" s="1"/>
  <c r="W6" i="19"/>
  <c r="V6" i="19"/>
  <c r="Q6" i="19"/>
  <c r="P6" i="19"/>
  <c r="N6" i="19"/>
  <c r="BQ5" i="19"/>
  <c r="W5" i="19"/>
  <c r="V5" i="19"/>
  <c r="Q5" i="19"/>
  <c r="R5" i="19" s="1"/>
  <c r="P5" i="19"/>
  <c r="N5" i="19"/>
  <c r="W4" i="19"/>
  <c r="V4" i="19"/>
  <c r="Q4" i="19"/>
  <c r="P4" i="19"/>
  <c r="N4" i="19"/>
  <c r="D3" i="19"/>
  <c r="N1" i="19"/>
  <c r="N6" i="20" l="1"/>
  <c r="R6" i="20"/>
  <c r="V11" i="20"/>
  <c r="R5" i="20"/>
  <c r="B31" i="20"/>
  <c r="W25" i="20" s="1"/>
  <c r="C31" i="20"/>
  <c r="W39" i="20" s="1"/>
  <c r="G14" i="20"/>
  <c r="B23" i="20"/>
  <c r="N15" i="20"/>
  <c r="R15" i="20" s="1"/>
  <c r="N14" i="20"/>
  <c r="R14" i="20" s="1"/>
  <c r="N13" i="20"/>
  <c r="R13" i="20" s="1"/>
  <c r="W11" i="20"/>
  <c r="D23" i="20"/>
  <c r="N9" i="20"/>
  <c r="R9" i="20" s="1"/>
  <c r="N11" i="20"/>
  <c r="R11" i="20" s="1"/>
  <c r="G13" i="20"/>
  <c r="E23" i="20"/>
  <c r="N7" i="20"/>
  <c r="R7" i="20" s="1"/>
  <c r="N4" i="20"/>
  <c r="N8" i="20"/>
  <c r="R8" i="20" s="1"/>
  <c r="AB15" i="20"/>
  <c r="N10" i="20"/>
  <c r="R10" i="20" s="1"/>
  <c r="N12" i="20"/>
  <c r="R12" i="20" s="1"/>
  <c r="R7" i="19"/>
  <c r="R15" i="19"/>
  <c r="R6" i="19"/>
  <c r="R4" i="19"/>
  <c r="B31" i="19"/>
  <c r="W25" i="19" s="1"/>
  <c r="C22" i="19"/>
  <c r="G14" i="19" s="1"/>
  <c r="R14" i="19"/>
  <c r="N15" i="19"/>
  <c r="N14" i="19"/>
  <c r="N13" i="19"/>
  <c r="R13" i="19" s="1"/>
  <c r="W11" i="19"/>
  <c r="R8" i="19"/>
  <c r="V11" i="19"/>
  <c r="C31" i="19"/>
  <c r="W39" i="19" s="1"/>
  <c r="E23" i="19"/>
  <c r="N9" i="19"/>
  <c r="N2" i="19" s="1"/>
  <c r="N10" i="19"/>
  <c r="R10" i="19" s="1"/>
  <c r="N11" i="19"/>
  <c r="R11" i="19" s="1"/>
  <c r="U15" i="10"/>
  <c r="T15" i="10"/>
  <c r="Q15" i="10"/>
  <c r="P15" i="10"/>
  <c r="T41" i="20" l="1"/>
  <c r="C23" i="20"/>
  <c r="T26" i="20" s="1"/>
  <c r="T45" i="20"/>
  <c r="T46" i="20"/>
  <c r="T48" i="20"/>
  <c r="T43" i="20"/>
  <c r="T42" i="20"/>
  <c r="T39" i="20"/>
  <c r="T40" i="20"/>
  <c r="T49" i="20"/>
  <c r="N2" i="20"/>
  <c r="B34" i="20"/>
  <c r="B24" i="20"/>
  <c r="T44" i="20"/>
  <c r="T47" i="20"/>
  <c r="R4" i="20"/>
  <c r="B23" i="19"/>
  <c r="T40" i="19" s="1"/>
  <c r="R9" i="19"/>
  <c r="W11" i="10"/>
  <c r="V11" i="10"/>
  <c r="T32" i="20" l="1"/>
  <c r="T29" i="20"/>
  <c r="T30" i="20"/>
  <c r="T33" i="20"/>
  <c r="T34" i="20"/>
  <c r="T27" i="20"/>
  <c r="C34" i="20"/>
  <c r="T25" i="20"/>
  <c r="C24" i="20"/>
  <c r="N44" i="20" s="1"/>
  <c r="P44" i="20" s="1"/>
  <c r="T35" i="20"/>
  <c r="T31" i="20"/>
  <c r="T28" i="20"/>
  <c r="R2" i="20"/>
  <c r="S13" i="20" s="1"/>
  <c r="N30" i="20"/>
  <c r="P30" i="20" s="1"/>
  <c r="R35" i="20" s="1"/>
  <c r="N29" i="20"/>
  <c r="P29" i="20" s="1"/>
  <c r="N26" i="20"/>
  <c r="N28" i="20"/>
  <c r="P28" i="20" s="1"/>
  <c r="N27" i="20"/>
  <c r="P27" i="20" s="1"/>
  <c r="N25" i="20"/>
  <c r="T37" i="20"/>
  <c r="T49" i="19"/>
  <c r="T48" i="19"/>
  <c r="T47" i="19"/>
  <c r="C23" i="19"/>
  <c r="T27" i="19" s="1"/>
  <c r="T44" i="19"/>
  <c r="T39" i="19"/>
  <c r="B24" i="19"/>
  <c r="N27" i="19" s="1"/>
  <c r="P27" i="19" s="1"/>
  <c r="T46" i="19"/>
  <c r="T41" i="19"/>
  <c r="T42" i="19"/>
  <c r="T43" i="19"/>
  <c r="B34" i="19"/>
  <c r="T45" i="19"/>
  <c r="R2" i="19"/>
  <c r="S9" i="19" s="1"/>
  <c r="N28" i="19"/>
  <c r="P28" i="19" s="1"/>
  <c r="C34" i="19"/>
  <c r="T33" i="19"/>
  <c r="T32" i="19"/>
  <c r="T29" i="19"/>
  <c r="N1" i="10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F42" i="10" s="1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N42" i="20" l="1"/>
  <c r="P42" i="20" s="1"/>
  <c r="N39" i="20"/>
  <c r="P39" i="20" s="1"/>
  <c r="R41" i="20" s="1"/>
  <c r="N40" i="20"/>
  <c r="P40" i="20" s="1"/>
  <c r="N41" i="20"/>
  <c r="P41" i="20" s="1"/>
  <c r="N43" i="20"/>
  <c r="P43" i="20" s="1"/>
  <c r="T23" i="20"/>
  <c r="S4" i="20"/>
  <c r="U4" i="20" s="1"/>
  <c r="S14" i="20"/>
  <c r="U14" i="20" s="1"/>
  <c r="Y14" i="20" s="1"/>
  <c r="AG14" i="20" s="1"/>
  <c r="S12" i="20"/>
  <c r="U12" i="20" s="1"/>
  <c r="Y12" i="20" s="1"/>
  <c r="AG12" i="20" s="1"/>
  <c r="S11" i="20"/>
  <c r="S9" i="20"/>
  <c r="U9" i="20" s="1"/>
  <c r="Y9" i="20" s="1"/>
  <c r="AG9" i="20" s="1"/>
  <c r="S8" i="20"/>
  <c r="U8" i="20" s="1"/>
  <c r="Y8" i="20" s="1"/>
  <c r="AG8" i="20" s="1"/>
  <c r="S6" i="20"/>
  <c r="T6" i="20" s="1"/>
  <c r="X6" i="20" s="1"/>
  <c r="AA5" i="20" s="1"/>
  <c r="S5" i="20"/>
  <c r="T5" i="20" s="1"/>
  <c r="X5" i="20" s="1"/>
  <c r="AA4" i="20" s="1"/>
  <c r="S10" i="20"/>
  <c r="U10" i="20" s="1"/>
  <c r="Y10" i="20" s="1"/>
  <c r="AG10" i="20" s="1"/>
  <c r="R32" i="20"/>
  <c r="R34" i="20"/>
  <c r="R33" i="20"/>
  <c r="P26" i="20"/>
  <c r="R31" i="20" s="1"/>
  <c r="R49" i="20"/>
  <c r="S7" i="20"/>
  <c r="P25" i="20"/>
  <c r="N23" i="20"/>
  <c r="U13" i="20"/>
  <c r="Y13" i="20" s="1"/>
  <c r="AG13" i="20" s="1"/>
  <c r="T13" i="20"/>
  <c r="X13" i="20" s="1"/>
  <c r="AA12" i="20" s="1"/>
  <c r="S15" i="20"/>
  <c r="T25" i="19"/>
  <c r="T30" i="19"/>
  <c r="T34" i="19"/>
  <c r="T31" i="19"/>
  <c r="T37" i="19"/>
  <c r="N25" i="19"/>
  <c r="T28" i="19"/>
  <c r="T26" i="19"/>
  <c r="N29" i="19"/>
  <c r="P29" i="19" s="1"/>
  <c r="R33" i="19" s="1"/>
  <c r="C24" i="19"/>
  <c r="N41" i="19" s="1"/>
  <c r="P41" i="19" s="1"/>
  <c r="N30" i="19"/>
  <c r="P30" i="19" s="1"/>
  <c r="R35" i="19" s="1"/>
  <c r="N26" i="19"/>
  <c r="T35" i="19"/>
  <c r="P25" i="19"/>
  <c r="S15" i="19"/>
  <c r="S5" i="19"/>
  <c r="S10" i="19"/>
  <c r="S12" i="19"/>
  <c r="S14" i="19"/>
  <c r="S8" i="19"/>
  <c r="S4" i="19"/>
  <c r="S6" i="19"/>
  <c r="S7" i="19"/>
  <c r="S11" i="19"/>
  <c r="S13" i="19"/>
  <c r="N43" i="19"/>
  <c r="P43" i="19" s="1"/>
  <c r="T9" i="19"/>
  <c r="X9" i="19" s="1"/>
  <c r="AA8" i="19" s="1"/>
  <c r="U9" i="19"/>
  <c r="Y9" i="19" s="1"/>
  <c r="AG9" i="19" s="1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G14" i="4" s="1"/>
  <c r="AN14" i="4" s="1"/>
  <c r="AH14" i="4"/>
  <c r="AK14" i="4" s="1"/>
  <c r="Z14" i="4"/>
  <c r="P14" i="4"/>
  <c r="Z13" i="4"/>
  <c r="P13" i="4"/>
  <c r="BP12" i="4"/>
  <c r="BP16" i="4" s="1"/>
  <c r="BP20" i="4" s="1"/>
  <c r="BP26" i="4" s="1"/>
  <c r="BP33" i="4" s="1"/>
  <c r="BP41" i="4" s="1"/>
  <c r="AO12" i="4"/>
  <c r="AL12" i="4"/>
  <c r="AK12" i="4"/>
  <c r="AH12" i="4"/>
  <c r="AG12" i="4"/>
  <c r="AN12" i="4" s="1"/>
  <c r="Z12" i="4"/>
  <c r="P12" i="4"/>
  <c r="BL11" i="4"/>
  <c r="BP38" i="4" s="1"/>
  <c r="BP46" i="4" s="1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BP7" i="4"/>
  <c r="BP10" i="4" s="1"/>
  <c r="BP14" i="4" s="1"/>
  <c r="BH49" i="4" s="1"/>
  <c r="BP24" i="4" s="1"/>
  <c r="BP31" i="4" s="1"/>
  <c r="BP39" i="4" s="1"/>
  <c r="BL14" i="4" s="1"/>
  <c r="AL7" i="4"/>
  <c r="AK7" i="4"/>
  <c r="AH7" i="4"/>
  <c r="AG7" i="4"/>
  <c r="AN7" i="4" s="1"/>
  <c r="Z7" i="4"/>
  <c r="P7" i="4"/>
  <c r="BP6" i="4"/>
  <c r="BL6" i="4"/>
  <c r="AO6" i="4"/>
  <c r="AL6" i="4"/>
  <c r="AK6" i="4"/>
  <c r="AH6" i="4"/>
  <c r="AG6" i="4"/>
  <c r="Z6" i="4"/>
  <c r="P6" i="4"/>
  <c r="BP5" i="4"/>
  <c r="AO5" i="4"/>
  <c r="AL5" i="4"/>
  <c r="AK5" i="4"/>
  <c r="AH5" i="4"/>
  <c r="AG5" i="4"/>
  <c r="AN5" i="4" s="1"/>
  <c r="Z5" i="4"/>
  <c r="P5" i="4"/>
  <c r="AM3" i="4"/>
  <c r="D3" i="4"/>
  <c r="K3" i="4" s="1"/>
  <c r="G2" i="4"/>
  <c r="K1" i="4"/>
  <c r="G1" i="4"/>
  <c r="R47" i="20" l="1"/>
  <c r="T10" i="20"/>
  <c r="X10" i="20" s="1"/>
  <c r="AA9" i="20" s="1"/>
  <c r="R40" i="20"/>
  <c r="T14" i="20"/>
  <c r="X14" i="20" s="1"/>
  <c r="AA13" i="20" s="1"/>
  <c r="T4" i="20"/>
  <c r="R45" i="20"/>
  <c r="R46" i="20"/>
  <c r="R48" i="20"/>
  <c r="T12" i="20"/>
  <c r="X12" i="20" s="1"/>
  <c r="AA11" i="20" s="1"/>
  <c r="R43" i="20"/>
  <c r="N37" i="20"/>
  <c r="U6" i="20"/>
  <c r="Y6" i="20" s="1"/>
  <c r="AG6" i="20" s="1"/>
  <c r="U5" i="20"/>
  <c r="Y5" i="20" s="1"/>
  <c r="AG5" i="20" s="1"/>
  <c r="AH5" i="20" s="1"/>
  <c r="T8" i="20"/>
  <c r="X8" i="20" s="1"/>
  <c r="AA7" i="20" s="1"/>
  <c r="AB7" i="20" s="1"/>
  <c r="T9" i="20"/>
  <c r="X9" i="20" s="1"/>
  <c r="AA8" i="20" s="1"/>
  <c r="AB8" i="20" s="1"/>
  <c r="T15" i="20"/>
  <c r="X15" i="20" s="1"/>
  <c r="AA14" i="20" s="1"/>
  <c r="AB14" i="20" s="1"/>
  <c r="U15" i="20"/>
  <c r="Y15" i="20" s="1"/>
  <c r="AG15" i="20" s="1"/>
  <c r="AH15" i="20" s="1"/>
  <c r="U11" i="20"/>
  <c r="Y11" i="20" s="1"/>
  <c r="AG11" i="20" s="1"/>
  <c r="AH11" i="20" s="1"/>
  <c r="T11" i="20"/>
  <c r="X11" i="20" s="1"/>
  <c r="AA10" i="20" s="1"/>
  <c r="AB10" i="20" s="1"/>
  <c r="AH14" i="20"/>
  <c r="AH13" i="20"/>
  <c r="R30" i="20"/>
  <c r="R29" i="20"/>
  <c r="R28" i="20"/>
  <c r="R27" i="20"/>
  <c r="R25" i="20"/>
  <c r="P23" i="20"/>
  <c r="R39" i="20"/>
  <c r="P37" i="20"/>
  <c r="X4" i="20"/>
  <c r="AH12" i="20"/>
  <c r="AB12" i="20"/>
  <c r="AH9" i="20"/>
  <c r="AB4" i="20"/>
  <c r="Y4" i="20"/>
  <c r="T7" i="20"/>
  <c r="X7" i="20" s="1"/>
  <c r="AA6" i="20" s="1"/>
  <c r="U7" i="20"/>
  <c r="Y7" i="20" s="1"/>
  <c r="AG7" i="20" s="1"/>
  <c r="R26" i="20"/>
  <c r="R42" i="20"/>
  <c r="S2" i="20"/>
  <c r="AB9" i="20"/>
  <c r="AH8" i="20"/>
  <c r="R44" i="20"/>
  <c r="AH10" i="20"/>
  <c r="AH6" i="20"/>
  <c r="AB11" i="20"/>
  <c r="AB13" i="20"/>
  <c r="AB5" i="20"/>
  <c r="N44" i="19"/>
  <c r="P44" i="19" s="1"/>
  <c r="N42" i="19"/>
  <c r="P42" i="19" s="1"/>
  <c r="N39" i="19"/>
  <c r="N40" i="19"/>
  <c r="P40" i="19" s="1"/>
  <c r="R34" i="19"/>
  <c r="N23" i="19"/>
  <c r="T23" i="19"/>
  <c r="P26" i="19"/>
  <c r="R31" i="19" s="1"/>
  <c r="R32" i="19"/>
  <c r="AB8" i="19"/>
  <c r="U11" i="19"/>
  <c r="Y11" i="19" s="1"/>
  <c r="AG11" i="19" s="1"/>
  <c r="T11" i="19"/>
  <c r="X11" i="19" s="1"/>
  <c r="AA10" i="19" s="1"/>
  <c r="U5" i="19"/>
  <c r="Y5" i="19" s="1"/>
  <c r="AG5" i="19" s="1"/>
  <c r="T5" i="19"/>
  <c r="X5" i="19" s="1"/>
  <c r="AA4" i="19" s="1"/>
  <c r="U7" i="19"/>
  <c r="Y7" i="19" s="1"/>
  <c r="AG7" i="19" s="1"/>
  <c r="T7" i="19"/>
  <c r="X7" i="19" s="1"/>
  <c r="AA6" i="19" s="1"/>
  <c r="T15" i="19"/>
  <c r="X15" i="19" s="1"/>
  <c r="AA14" i="19" s="1"/>
  <c r="U15" i="19"/>
  <c r="Y15" i="19" s="1"/>
  <c r="AG15" i="19" s="1"/>
  <c r="U6" i="19"/>
  <c r="Y6" i="19" s="1"/>
  <c r="AG6" i="19" s="1"/>
  <c r="T6" i="19"/>
  <c r="X6" i="19" s="1"/>
  <c r="AA5" i="19" s="1"/>
  <c r="T4" i="19"/>
  <c r="S2" i="19"/>
  <c r="U4" i="19"/>
  <c r="AH9" i="19"/>
  <c r="R47" i="19"/>
  <c r="R49" i="19"/>
  <c r="R48" i="19"/>
  <c r="U8" i="19"/>
  <c r="Y8" i="19" s="1"/>
  <c r="AG8" i="19" s="1"/>
  <c r="T8" i="19"/>
  <c r="X8" i="19" s="1"/>
  <c r="AA7" i="19" s="1"/>
  <c r="U14" i="19"/>
  <c r="Y14" i="19" s="1"/>
  <c r="AG14" i="19" s="1"/>
  <c r="T14" i="19"/>
  <c r="X14" i="19" s="1"/>
  <c r="AA13" i="19" s="1"/>
  <c r="U12" i="19"/>
  <c r="Y12" i="19" s="1"/>
  <c r="AG12" i="19" s="1"/>
  <c r="T12" i="19"/>
  <c r="X12" i="19" s="1"/>
  <c r="AA11" i="19" s="1"/>
  <c r="U13" i="19"/>
  <c r="Y13" i="19" s="1"/>
  <c r="AG13" i="19" s="1"/>
  <c r="T13" i="19"/>
  <c r="X13" i="19" s="1"/>
  <c r="AA12" i="19" s="1"/>
  <c r="U10" i="19"/>
  <c r="Y10" i="19" s="1"/>
  <c r="AG10" i="19" s="1"/>
  <c r="T10" i="19"/>
  <c r="X10" i="19" s="1"/>
  <c r="AA9" i="19" s="1"/>
  <c r="R25" i="19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S9" i="5"/>
  <c r="S8" i="5"/>
  <c r="O6" i="5"/>
  <c r="Y6" i="5"/>
  <c r="S18" i="5"/>
  <c r="AC18" i="5"/>
  <c r="AA8" i="5"/>
  <c r="AB8" i="5" s="1"/>
  <c r="B23" i="4"/>
  <c r="C23" i="4" s="1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V41" i="20" l="1"/>
  <c r="AC41" i="20" s="1"/>
  <c r="V40" i="20"/>
  <c r="AA40" i="20" s="1"/>
  <c r="V26" i="20"/>
  <c r="AA26" i="20" s="1"/>
  <c r="V42" i="20"/>
  <c r="AE41" i="20" s="1"/>
  <c r="T2" i="20"/>
  <c r="V27" i="20"/>
  <c r="AC25" i="20" s="1"/>
  <c r="V28" i="20"/>
  <c r="X2" i="20"/>
  <c r="AH7" i="20"/>
  <c r="AG4" i="20"/>
  <c r="Y2" i="20"/>
  <c r="AB6" i="20"/>
  <c r="AD8" i="20" s="1"/>
  <c r="AD6" i="20"/>
  <c r="AC6" i="20"/>
  <c r="U2" i="20"/>
  <c r="AC40" i="20"/>
  <c r="AC39" i="20"/>
  <c r="R37" i="20"/>
  <c r="V39" i="20"/>
  <c r="V43" i="20"/>
  <c r="V48" i="20"/>
  <c r="V45" i="20"/>
  <c r="V46" i="20"/>
  <c r="V47" i="20"/>
  <c r="V44" i="20"/>
  <c r="R23" i="20"/>
  <c r="V25" i="20"/>
  <c r="V33" i="20"/>
  <c r="V29" i="20"/>
  <c r="V34" i="20"/>
  <c r="V30" i="20"/>
  <c r="V32" i="20"/>
  <c r="V31" i="20"/>
  <c r="R29" i="19"/>
  <c r="N37" i="19"/>
  <c r="R45" i="19"/>
  <c r="P39" i="19"/>
  <c r="R42" i="19" s="1"/>
  <c r="R46" i="19"/>
  <c r="R27" i="19"/>
  <c r="R30" i="19"/>
  <c r="P23" i="19"/>
  <c r="R28" i="19"/>
  <c r="R26" i="19"/>
  <c r="V26" i="19" s="1"/>
  <c r="AA26" i="19" s="1"/>
  <c r="AH15" i="19"/>
  <c r="AB13" i="19"/>
  <c r="T2" i="19"/>
  <c r="X4" i="19"/>
  <c r="X2" i="19" s="1"/>
  <c r="AB12" i="19"/>
  <c r="AB5" i="19"/>
  <c r="AB14" i="19"/>
  <c r="AB9" i="19"/>
  <c r="AB6" i="19"/>
  <c r="AH14" i="19"/>
  <c r="V25" i="19"/>
  <c r="AH13" i="19"/>
  <c r="AB7" i="19"/>
  <c r="AH6" i="19"/>
  <c r="AB4" i="19"/>
  <c r="AH8" i="19"/>
  <c r="AH5" i="19"/>
  <c r="AB11" i="19"/>
  <c r="R39" i="19"/>
  <c r="AB10" i="19"/>
  <c r="AH12" i="19"/>
  <c r="U2" i="19"/>
  <c r="Y4" i="19"/>
  <c r="AH11" i="19"/>
  <c r="AH10" i="19"/>
  <c r="AH7" i="19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S10" i="5"/>
  <c r="S19" i="5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AC15" i="20" l="1"/>
  <c r="AE42" i="20"/>
  <c r="AB18" i="20"/>
  <c r="AC27" i="20"/>
  <c r="AC26" i="20"/>
  <c r="AA39" i="20"/>
  <c r="AA37" i="20" s="1"/>
  <c r="AE40" i="20"/>
  <c r="AE39" i="20"/>
  <c r="AA25" i="20"/>
  <c r="AA23" i="20" s="1"/>
  <c r="AD5" i="20"/>
  <c r="AC8" i="20"/>
  <c r="AD7" i="20"/>
  <c r="AD11" i="20"/>
  <c r="AC10" i="20"/>
  <c r="AD10" i="20"/>
  <c r="AD15" i="20"/>
  <c r="AD9" i="20"/>
  <c r="AI29" i="20"/>
  <c r="AI28" i="20"/>
  <c r="AI27" i="20"/>
  <c r="AI26" i="20"/>
  <c r="AI30" i="20"/>
  <c r="AI25" i="20"/>
  <c r="AQ47" i="20"/>
  <c r="AQ41" i="20"/>
  <c r="AQ43" i="20"/>
  <c r="AQ39" i="20"/>
  <c r="AQ42" i="20"/>
  <c r="AQ48" i="20"/>
  <c r="AQ46" i="20"/>
  <c r="AQ40" i="20"/>
  <c r="AQ45" i="20"/>
  <c r="AQ44" i="20"/>
  <c r="AQ28" i="20"/>
  <c r="AQ32" i="20"/>
  <c r="AQ27" i="20"/>
  <c r="AQ25" i="20"/>
  <c r="AQ33" i="20"/>
  <c r="AQ34" i="20"/>
  <c r="AQ31" i="20"/>
  <c r="AQ29" i="20"/>
  <c r="AQ26" i="20"/>
  <c r="AQ30" i="20"/>
  <c r="AG42" i="20"/>
  <c r="AG43" i="20"/>
  <c r="AG40" i="20"/>
  <c r="AG41" i="20"/>
  <c r="AG39" i="20"/>
  <c r="L25" i="20"/>
  <c r="AO28" i="20"/>
  <c r="AO25" i="20"/>
  <c r="AO29" i="20"/>
  <c r="AO26" i="20"/>
  <c r="AO27" i="20"/>
  <c r="AO33" i="20"/>
  <c r="AO30" i="20"/>
  <c r="AO32" i="20"/>
  <c r="AO31" i="20"/>
  <c r="AI43" i="20"/>
  <c r="AI40" i="20"/>
  <c r="AI42" i="20"/>
  <c r="AI44" i="20"/>
  <c r="AI41" i="20"/>
  <c r="AI39" i="20"/>
  <c r="AG26" i="20"/>
  <c r="AG28" i="20"/>
  <c r="AG25" i="20"/>
  <c r="AG29" i="20"/>
  <c r="AG27" i="20"/>
  <c r="V37" i="20"/>
  <c r="V49" i="20" s="1"/>
  <c r="V36" i="20" s="1"/>
  <c r="Y39" i="20"/>
  <c r="AO47" i="20"/>
  <c r="AO43" i="20"/>
  <c r="AO42" i="20"/>
  <c r="AO39" i="20"/>
  <c r="AO44" i="20"/>
  <c r="AO41" i="20"/>
  <c r="AO40" i="20"/>
  <c r="AO45" i="20"/>
  <c r="AO46" i="20"/>
  <c r="AC37" i="20"/>
  <c r="AD12" i="20"/>
  <c r="AD4" i="20"/>
  <c r="AC13" i="20"/>
  <c r="AC5" i="20"/>
  <c r="AC7" i="20"/>
  <c r="AD13" i="20"/>
  <c r="AD14" i="20"/>
  <c r="AC9" i="20"/>
  <c r="AC11" i="20"/>
  <c r="AC4" i="20"/>
  <c r="AC14" i="20"/>
  <c r="Y25" i="20"/>
  <c r="V23" i="20"/>
  <c r="V35" i="20" s="1"/>
  <c r="V22" i="20" s="1"/>
  <c r="AM43" i="20"/>
  <c r="AM44" i="20"/>
  <c r="AM42" i="20"/>
  <c r="AM41" i="20"/>
  <c r="AM46" i="20"/>
  <c r="AM40" i="20"/>
  <c r="AM39" i="20"/>
  <c r="AM45" i="20"/>
  <c r="AK30" i="20"/>
  <c r="AK26" i="20"/>
  <c r="AK29" i="20"/>
  <c r="AK25" i="20"/>
  <c r="AK28" i="20"/>
  <c r="AK31" i="20"/>
  <c r="AK27" i="20"/>
  <c r="AK42" i="20"/>
  <c r="AK43" i="20"/>
  <c r="AK45" i="20"/>
  <c r="AK41" i="20"/>
  <c r="AK44" i="20"/>
  <c r="AK39" i="20"/>
  <c r="AK40" i="20"/>
  <c r="AJ4" i="20"/>
  <c r="AI4" i="20"/>
  <c r="AH4" i="20"/>
  <c r="AE27" i="20"/>
  <c r="AE25" i="20"/>
  <c r="AE26" i="20"/>
  <c r="AE28" i="20"/>
  <c r="AC12" i="20"/>
  <c r="AM25" i="20"/>
  <c r="AM30" i="20"/>
  <c r="AM26" i="20"/>
  <c r="AM28" i="20"/>
  <c r="AM32" i="20"/>
  <c r="AM31" i="20"/>
  <c r="AM29" i="20"/>
  <c r="AM27" i="20"/>
  <c r="R41" i="19"/>
  <c r="P37" i="19"/>
  <c r="R43" i="19"/>
  <c r="R44" i="19"/>
  <c r="R40" i="19"/>
  <c r="V40" i="19" s="1"/>
  <c r="AA39" i="19" s="1"/>
  <c r="V28" i="19"/>
  <c r="AE27" i="19" s="1"/>
  <c r="V30" i="19"/>
  <c r="AI30" i="19" s="1"/>
  <c r="V31" i="19"/>
  <c r="AK27" i="19" s="1"/>
  <c r="V34" i="19"/>
  <c r="AQ26" i="19" s="1"/>
  <c r="V27" i="19"/>
  <c r="AC25" i="19" s="1"/>
  <c r="AD4" i="19"/>
  <c r="AD9" i="19"/>
  <c r="AD5" i="19"/>
  <c r="AD8" i="19"/>
  <c r="AA25" i="19"/>
  <c r="AA23" i="19" s="1"/>
  <c r="AD12" i="19"/>
  <c r="V29" i="19"/>
  <c r="AG28" i="19" s="1"/>
  <c r="AD13" i="19"/>
  <c r="AC7" i="19"/>
  <c r="R23" i="19"/>
  <c r="V33" i="19"/>
  <c r="AO30" i="19" s="1"/>
  <c r="V32" i="19"/>
  <c r="AM25" i="19" s="1"/>
  <c r="AC6" i="19"/>
  <c r="AC4" i="19"/>
  <c r="AC11" i="19"/>
  <c r="AC15" i="19"/>
  <c r="AB18" i="19"/>
  <c r="AD15" i="19"/>
  <c r="AC8" i="19"/>
  <c r="AA40" i="19"/>
  <c r="V39" i="19"/>
  <c r="AC27" i="19"/>
  <c r="AC26" i="19"/>
  <c r="AC10" i="19"/>
  <c r="AC13" i="19"/>
  <c r="AD10" i="19"/>
  <c r="AC14" i="19"/>
  <c r="AC12" i="19"/>
  <c r="Y2" i="19"/>
  <c r="AG4" i="19"/>
  <c r="AD7" i="19"/>
  <c r="AD14" i="19"/>
  <c r="AQ27" i="19"/>
  <c r="AQ33" i="19"/>
  <c r="AD6" i="19"/>
  <c r="AC5" i="19"/>
  <c r="AD11" i="19"/>
  <c r="Y25" i="19"/>
  <c r="AC9" i="19"/>
  <c r="R34" i="10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AC23" i="20" l="1"/>
  <c r="AE37" i="20"/>
  <c r="AD18" i="20"/>
  <c r="L27" i="20" s="1"/>
  <c r="AQ29" i="19"/>
  <c r="AQ34" i="19"/>
  <c r="AG37" i="20"/>
  <c r="AK23" i="20"/>
  <c r="AE23" i="20"/>
  <c r="Y23" i="20"/>
  <c r="AK37" i="20"/>
  <c r="Y37" i="20"/>
  <c r="AI37" i="20"/>
  <c r="AI23" i="20"/>
  <c r="AH18" i="20"/>
  <c r="AI15" i="20"/>
  <c r="AJ15" i="20"/>
  <c r="AI11" i="20"/>
  <c r="AJ14" i="20"/>
  <c r="AJ12" i="20"/>
  <c r="AI5" i="20"/>
  <c r="AJ10" i="20"/>
  <c r="AI13" i="20"/>
  <c r="AI10" i="20"/>
  <c r="AI6" i="20"/>
  <c r="AJ13" i="20"/>
  <c r="AI8" i="20"/>
  <c r="AJ6" i="20"/>
  <c r="AI12" i="20"/>
  <c r="AI9" i="20"/>
  <c r="AI14" i="20"/>
  <c r="AJ5" i="20"/>
  <c r="AJ9" i="20"/>
  <c r="AJ11" i="20"/>
  <c r="AJ8" i="20"/>
  <c r="AJ7" i="20"/>
  <c r="AI7" i="20"/>
  <c r="AO37" i="20"/>
  <c r="AM23" i="20"/>
  <c r="AQ23" i="20"/>
  <c r="AC18" i="20"/>
  <c r="AG23" i="20"/>
  <c r="AO23" i="20"/>
  <c r="AS49" i="20"/>
  <c r="J49" i="20" s="1"/>
  <c r="AS39" i="20"/>
  <c r="AS45" i="20"/>
  <c r="J45" i="20" s="1"/>
  <c r="AS42" i="20"/>
  <c r="J42" i="20" s="1"/>
  <c r="AS43" i="20"/>
  <c r="J43" i="20" s="1"/>
  <c r="AS41" i="20"/>
  <c r="J41" i="20" s="1"/>
  <c r="AS40" i="20"/>
  <c r="J40" i="20" s="1"/>
  <c r="AS44" i="20"/>
  <c r="J44" i="20" s="1"/>
  <c r="AS46" i="20"/>
  <c r="J46" i="20" s="1"/>
  <c r="AS47" i="20"/>
  <c r="J47" i="20" s="1"/>
  <c r="AS48" i="20"/>
  <c r="J48" i="20" s="1"/>
  <c r="AM37" i="20"/>
  <c r="AS28" i="20"/>
  <c r="J28" i="20" s="1"/>
  <c r="AS34" i="20"/>
  <c r="J34" i="20" s="1"/>
  <c r="AS27" i="20"/>
  <c r="J27" i="20" s="1"/>
  <c r="AS25" i="20"/>
  <c r="J25" i="20" s="1"/>
  <c r="H25" i="20" s="1"/>
  <c r="AS29" i="20"/>
  <c r="J29" i="20" s="1"/>
  <c r="AS32" i="20"/>
  <c r="J32" i="20" s="1"/>
  <c r="AS26" i="20"/>
  <c r="J26" i="20" s="1"/>
  <c r="AS30" i="20"/>
  <c r="J30" i="20" s="1"/>
  <c r="AS31" i="20"/>
  <c r="J31" i="20" s="1"/>
  <c r="AS33" i="20"/>
  <c r="J33" i="20" s="1"/>
  <c r="AS35" i="20"/>
  <c r="J35" i="20" s="1"/>
  <c r="AQ37" i="20"/>
  <c r="V41" i="19"/>
  <c r="V47" i="19"/>
  <c r="AO45" i="19" s="1"/>
  <c r="V42" i="19"/>
  <c r="AE41" i="19" s="1"/>
  <c r="R37" i="19"/>
  <c r="V46" i="19"/>
  <c r="AM39" i="19" s="1"/>
  <c r="AQ30" i="19"/>
  <c r="V43" i="19"/>
  <c r="AG43" i="19" s="1"/>
  <c r="AQ32" i="19"/>
  <c r="AQ28" i="19"/>
  <c r="V44" i="19"/>
  <c r="AI39" i="19" s="1"/>
  <c r="AQ25" i="19"/>
  <c r="V48" i="19"/>
  <c r="AQ48" i="19" s="1"/>
  <c r="AQ31" i="19"/>
  <c r="AG26" i="19"/>
  <c r="V45" i="19"/>
  <c r="AK42" i="19" s="1"/>
  <c r="AK29" i="19"/>
  <c r="AK31" i="19"/>
  <c r="AK30" i="19"/>
  <c r="AK25" i="19"/>
  <c r="AK26" i="19"/>
  <c r="AK28" i="19"/>
  <c r="AI28" i="19"/>
  <c r="AM30" i="19"/>
  <c r="AI29" i="19"/>
  <c r="AE26" i="19"/>
  <c r="AI25" i="19"/>
  <c r="AI26" i="19"/>
  <c r="AI27" i="19"/>
  <c r="AE25" i="19"/>
  <c r="AE28" i="19"/>
  <c r="AD18" i="19"/>
  <c r="L27" i="19" s="1"/>
  <c r="AO27" i="19"/>
  <c r="AM27" i="19"/>
  <c r="AM26" i="19"/>
  <c r="AM29" i="19"/>
  <c r="AM31" i="19"/>
  <c r="AO25" i="19"/>
  <c r="AG27" i="19"/>
  <c r="AM32" i="19"/>
  <c r="AG29" i="19"/>
  <c r="AM28" i="19"/>
  <c r="AG25" i="19"/>
  <c r="AC23" i="19"/>
  <c r="AO32" i="19"/>
  <c r="AO33" i="19"/>
  <c r="AO28" i="19"/>
  <c r="V23" i="19"/>
  <c r="V35" i="19" s="1"/>
  <c r="AS25" i="19" s="1"/>
  <c r="AO29" i="19"/>
  <c r="AO26" i="19"/>
  <c r="AO31" i="19"/>
  <c r="AM43" i="19"/>
  <c r="AM41" i="19"/>
  <c r="L25" i="19"/>
  <c r="Y23" i="19"/>
  <c r="Y39" i="19"/>
  <c r="AA37" i="19"/>
  <c r="AC18" i="19"/>
  <c r="L26" i="19" s="1"/>
  <c r="AG42" i="19"/>
  <c r="AG41" i="19"/>
  <c r="AG39" i="19"/>
  <c r="AI42" i="19"/>
  <c r="AI41" i="19"/>
  <c r="AI40" i="19"/>
  <c r="AI43" i="19"/>
  <c r="AE39" i="19"/>
  <c r="AO44" i="19"/>
  <c r="AO39" i="19"/>
  <c r="AO42" i="19"/>
  <c r="AO43" i="19"/>
  <c r="AO41" i="19"/>
  <c r="AO46" i="19"/>
  <c r="AC39" i="19"/>
  <c r="AC41" i="19"/>
  <c r="AC40" i="19"/>
  <c r="AQ41" i="19"/>
  <c r="AI4" i="19"/>
  <c r="AH4" i="19"/>
  <c r="AJ4" i="19"/>
  <c r="AK45" i="19"/>
  <c r="AK44" i="19"/>
  <c r="AK43" i="19"/>
  <c r="AK40" i="19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AJ18" i="20" l="1"/>
  <c r="L41" i="20" s="1"/>
  <c r="AI18" i="20"/>
  <c r="L40" i="20" s="1"/>
  <c r="AQ43" i="19"/>
  <c r="AK39" i="19"/>
  <c r="AK37" i="19" s="1"/>
  <c r="AQ47" i="19"/>
  <c r="AO40" i="19"/>
  <c r="AE40" i="19"/>
  <c r="AE37" i="19" s="1"/>
  <c r="AI44" i="19"/>
  <c r="AI37" i="19" s="1"/>
  <c r="AQ42" i="19"/>
  <c r="AQ39" i="19"/>
  <c r="V37" i="19"/>
  <c r="V49" i="19" s="1"/>
  <c r="AS41" i="19" s="1"/>
  <c r="J41" i="19" s="1"/>
  <c r="AQ45" i="19"/>
  <c r="AK41" i="19"/>
  <c r="AQ46" i="19"/>
  <c r="AQ44" i="19"/>
  <c r="AO47" i="19"/>
  <c r="AO37" i="19" s="1"/>
  <c r="AE42" i="19"/>
  <c r="AG40" i="19"/>
  <c r="AQ40" i="19"/>
  <c r="AQ23" i="19"/>
  <c r="AS37" i="20"/>
  <c r="AS36" i="20" s="1"/>
  <c r="AS23" i="20"/>
  <c r="AS22" i="20" s="1"/>
  <c r="L39" i="20"/>
  <c r="J23" i="20"/>
  <c r="L26" i="20"/>
  <c r="H26" i="20" s="1"/>
  <c r="AE18" i="20"/>
  <c r="L28" i="20" s="1"/>
  <c r="J39" i="20"/>
  <c r="J37" i="20" s="1"/>
  <c r="AM42" i="19"/>
  <c r="AM44" i="19"/>
  <c r="AM45" i="19"/>
  <c r="AM40" i="19"/>
  <c r="AM46" i="19"/>
  <c r="AK23" i="19"/>
  <c r="AI23" i="19"/>
  <c r="AE23" i="19"/>
  <c r="J25" i="19"/>
  <c r="H25" i="19" s="1"/>
  <c r="AG23" i="19"/>
  <c r="AM23" i="19"/>
  <c r="AS27" i="19"/>
  <c r="J27" i="19" s="1"/>
  <c r="AS30" i="19"/>
  <c r="J30" i="19" s="1"/>
  <c r="AO23" i="19"/>
  <c r="AC37" i="19"/>
  <c r="AS34" i="19"/>
  <c r="J34" i="19" s="1"/>
  <c r="AS28" i="19"/>
  <c r="J28" i="19" s="1"/>
  <c r="AS33" i="19"/>
  <c r="J33" i="19" s="1"/>
  <c r="AS26" i="19"/>
  <c r="J26" i="19" s="1"/>
  <c r="V22" i="19"/>
  <c r="AS32" i="19"/>
  <c r="J32" i="19" s="1"/>
  <c r="AS31" i="19"/>
  <c r="J31" i="19" s="1"/>
  <c r="AS35" i="19"/>
  <c r="J35" i="19" s="1"/>
  <c r="AS29" i="19"/>
  <c r="J29" i="19" s="1"/>
  <c r="Y37" i="19"/>
  <c r="AS44" i="19"/>
  <c r="J44" i="19" s="1"/>
  <c r="AS42" i="19"/>
  <c r="AS43" i="19"/>
  <c r="J43" i="19" s="1"/>
  <c r="AS40" i="19"/>
  <c r="J40" i="19" s="1"/>
  <c r="V36" i="19"/>
  <c r="AQ37" i="19"/>
  <c r="AH18" i="19"/>
  <c r="AI9" i="19"/>
  <c r="AI13" i="19"/>
  <c r="AJ6" i="19"/>
  <c r="AI12" i="19"/>
  <c r="AI10" i="19"/>
  <c r="AI8" i="19"/>
  <c r="AI15" i="19"/>
  <c r="AJ8" i="19"/>
  <c r="AJ7" i="19"/>
  <c r="AJ14" i="19"/>
  <c r="AJ11" i="19"/>
  <c r="AI14" i="19"/>
  <c r="AI6" i="19"/>
  <c r="AI11" i="19"/>
  <c r="AI7" i="19"/>
  <c r="AJ13" i="19"/>
  <c r="AI5" i="19"/>
  <c r="AJ12" i="19"/>
  <c r="AJ15" i="19"/>
  <c r="AJ9" i="19"/>
  <c r="AJ5" i="19"/>
  <c r="AJ10" i="19"/>
  <c r="AG37" i="19"/>
  <c r="AE18" i="19"/>
  <c r="L28" i="19" s="1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L26" i="7"/>
  <c r="S14" i="4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AD15" i="7"/>
  <c r="S20" i="6"/>
  <c r="AE10" i="7"/>
  <c r="AD14" i="6"/>
  <c r="U12" i="6"/>
  <c r="AC6" i="4"/>
  <c r="AD11" i="7"/>
  <c r="L38" i="8"/>
  <c r="AF20" i="8"/>
  <c r="L41" i="8" s="1"/>
  <c r="AE18" i="8"/>
  <c r="AC11" i="4"/>
  <c r="T16" i="8"/>
  <c r="U8" i="8"/>
  <c r="AE5" i="6"/>
  <c r="AD19" i="7"/>
  <c r="AD16" i="7"/>
  <c r="AE8" i="8"/>
  <c r="U6" i="8"/>
  <c r="AC8" i="4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T7" i="7"/>
  <c r="AD10" i="6"/>
  <c r="AD11" i="6"/>
  <c r="AC12" i="4"/>
  <c r="T9" i="7"/>
  <c r="S5" i="4"/>
  <c r="U13" i="6"/>
  <c r="AD15" i="8"/>
  <c r="AC19" i="4"/>
  <c r="T12" i="7"/>
  <c r="AE17" i="6"/>
  <c r="AC7" i="4"/>
  <c r="S6" i="4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D6" i="7"/>
  <c r="AE14" i="8"/>
  <c r="S12" i="4"/>
  <c r="U9" i="7"/>
  <c r="T8" i="6"/>
  <c r="R26" i="5"/>
  <c r="T13" i="6"/>
  <c r="T10" i="7"/>
  <c r="S19" i="4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H29" i="20" l="1"/>
  <c r="AK18" i="20"/>
  <c r="L42" i="20" s="1"/>
  <c r="H46" i="20" s="1"/>
  <c r="BK10" i="20" s="1"/>
  <c r="H30" i="20"/>
  <c r="H28" i="20"/>
  <c r="H34" i="20"/>
  <c r="H32" i="20"/>
  <c r="H33" i="20"/>
  <c r="H35" i="20"/>
  <c r="H31" i="20"/>
  <c r="AS47" i="19"/>
  <c r="J47" i="19" s="1"/>
  <c r="AS49" i="19"/>
  <c r="J49" i="19" s="1"/>
  <c r="AM37" i="19"/>
  <c r="AS46" i="19"/>
  <c r="AS45" i="19"/>
  <c r="AS39" i="19"/>
  <c r="AS48" i="19"/>
  <c r="J48" i="19" s="1"/>
  <c r="J46" i="19"/>
  <c r="H41" i="20"/>
  <c r="BK5" i="20" s="1"/>
  <c r="H40" i="20"/>
  <c r="BK4" i="20" s="1"/>
  <c r="H39" i="20"/>
  <c r="BS4" i="20" s="1"/>
  <c r="L23" i="20"/>
  <c r="H27" i="20"/>
  <c r="J42" i="19"/>
  <c r="J45" i="19"/>
  <c r="H27" i="19"/>
  <c r="H26" i="19"/>
  <c r="J23" i="19"/>
  <c r="AS23" i="19"/>
  <c r="AS22" i="19" s="1"/>
  <c r="H30" i="19"/>
  <c r="AI18" i="19"/>
  <c r="L40" i="19" s="1"/>
  <c r="L23" i="19"/>
  <c r="AJ18" i="19"/>
  <c r="L41" i="19" s="1"/>
  <c r="H35" i="19"/>
  <c r="H29" i="19"/>
  <c r="H28" i="19"/>
  <c r="AS37" i="19"/>
  <c r="AS36" i="19" s="1"/>
  <c r="H33" i="19"/>
  <c r="H31" i="19"/>
  <c r="L39" i="19"/>
  <c r="H34" i="19"/>
  <c r="J39" i="19"/>
  <c r="H32" i="19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AE20" i="6"/>
  <c r="AE21" i="6" s="1"/>
  <c r="L41" i="6" s="1"/>
  <c r="L36" i="8"/>
  <c r="V25" i="8"/>
  <c r="AD16" i="4"/>
  <c r="V28" i="6"/>
  <c r="P36" i="8"/>
  <c r="R38" i="8"/>
  <c r="V40" i="8" s="1"/>
  <c r="H42" i="20" l="1"/>
  <c r="BK6" i="20" s="1"/>
  <c r="H45" i="20"/>
  <c r="BK9" i="20" s="1"/>
  <c r="H49" i="20"/>
  <c r="BK13" i="20" s="1"/>
  <c r="H43" i="20"/>
  <c r="BK7" i="20" s="1"/>
  <c r="H48" i="20"/>
  <c r="BK12" i="20" s="1"/>
  <c r="H44" i="20"/>
  <c r="BK8" i="20" s="1"/>
  <c r="L37" i="20"/>
  <c r="H47" i="20"/>
  <c r="BK11" i="20" s="1"/>
  <c r="BS41" i="20"/>
  <c r="BS16" i="20"/>
  <c r="BS40" i="20"/>
  <c r="J37" i="19"/>
  <c r="BO5" i="20"/>
  <c r="BS32" i="20"/>
  <c r="BS19" i="20"/>
  <c r="BS46" i="20"/>
  <c r="BS15" i="20"/>
  <c r="BK40" i="20"/>
  <c r="BK45" i="20"/>
  <c r="BK50" i="20"/>
  <c r="BO4" i="20"/>
  <c r="BK27" i="20"/>
  <c r="BS6" i="20"/>
  <c r="BO6" i="20"/>
  <c r="BS5" i="20"/>
  <c r="H23" i="20"/>
  <c r="BS20" i="20"/>
  <c r="BO11" i="20"/>
  <c r="BS8" i="20"/>
  <c r="BS12" i="20"/>
  <c r="BS26" i="20"/>
  <c r="BS7" i="20"/>
  <c r="BS39" i="20"/>
  <c r="BK14" i="20"/>
  <c r="BK19" i="20"/>
  <c r="BK49" i="20"/>
  <c r="BS9" i="20"/>
  <c r="BS10" i="20"/>
  <c r="BS24" i="20"/>
  <c r="BS33" i="20"/>
  <c r="BS14" i="20"/>
  <c r="BS11" i="20"/>
  <c r="BS25" i="20"/>
  <c r="BK34" i="20"/>
  <c r="BS38" i="20"/>
  <c r="BS31" i="20"/>
  <c r="AK18" i="19"/>
  <c r="L42" i="19" s="1"/>
  <c r="H44" i="19" s="1"/>
  <c r="BS29" i="19" s="1"/>
  <c r="H23" i="19"/>
  <c r="H41" i="19"/>
  <c r="BS26" i="19" s="1"/>
  <c r="H40" i="19"/>
  <c r="BS11" i="19" s="1"/>
  <c r="H39" i="19"/>
  <c r="BK49" i="19" s="1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BK30" i="20" l="1"/>
  <c r="BK43" i="20"/>
  <c r="BS36" i="20"/>
  <c r="BK22" i="20"/>
  <c r="BK48" i="20"/>
  <c r="BK37" i="20"/>
  <c r="BS22" i="20"/>
  <c r="BK58" i="20"/>
  <c r="BK59" i="20"/>
  <c r="BK57" i="20"/>
  <c r="BK51" i="20"/>
  <c r="BS43" i="20"/>
  <c r="BK15" i="20"/>
  <c r="BS37" i="20"/>
  <c r="BS44" i="20"/>
  <c r="BK28" i="20"/>
  <c r="BO9" i="20"/>
  <c r="BS42" i="20"/>
  <c r="BS27" i="20"/>
  <c r="BK54" i="20"/>
  <c r="BK25" i="20"/>
  <c r="BS29" i="20"/>
  <c r="BO14" i="20"/>
  <c r="BK17" i="20"/>
  <c r="BK21" i="20"/>
  <c r="BK31" i="20"/>
  <c r="BS47" i="20"/>
  <c r="BK35" i="20"/>
  <c r="BK42" i="20"/>
  <c r="BK55" i="20"/>
  <c r="BK41" i="20"/>
  <c r="BK24" i="20"/>
  <c r="BK56" i="20"/>
  <c r="BK53" i="20"/>
  <c r="BK20" i="20"/>
  <c r="BK32" i="20"/>
  <c r="BS23" i="20"/>
  <c r="BS45" i="20"/>
  <c r="BK38" i="20"/>
  <c r="BS13" i="20"/>
  <c r="BK23" i="20"/>
  <c r="BK18" i="20"/>
  <c r="BK52" i="20"/>
  <c r="BK29" i="20"/>
  <c r="BS21" i="20"/>
  <c r="BS30" i="20"/>
  <c r="BS18" i="20"/>
  <c r="BK26" i="20"/>
  <c r="BO8" i="20"/>
  <c r="BO10" i="20"/>
  <c r="BO7" i="20"/>
  <c r="BO13" i="20"/>
  <c r="BK47" i="20"/>
  <c r="BS34" i="20"/>
  <c r="BK33" i="20"/>
  <c r="BK39" i="20"/>
  <c r="BO12" i="20"/>
  <c r="BS35" i="20"/>
  <c r="BK46" i="20"/>
  <c r="BS17" i="20"/>
  <c r="H37" i="20"/>
  <c r="BK36" i="20"/>
  <c r="BS28" i="20"/>
  <c r="BK16" i="20"/>
  <c r="BK44" i="20"/>
  <c r="H47" i="19"/>
  <c r="BK51" i="19" s="1"/>
  <c r="H49" i="19"/>
  <c r="BK53" i="19" s="1"/>
  <c r="H42" i="19"/>
  <c r="BS13" i="19" s="1"/>
  <c r="L37" i="19"/>
  <c r="H43" i="19"/>
  <c r="BK31" i="19" s="1"/>
  <c r="H46" i="19"/>
  <c r="BS46" i="19" s="1"/>
  <c r="H45" i="19"/>
  <c r="BK26" i="19" s="1"/>
  <c r="H48" i="19"/>
  <c r="BK29" i="19" s="1"/>
  <c r="BK25" i="19"/>
  <c r="BK38" i="19"/>
  <c r="BK17" i="19"/>
  <c r="BK8" i="19"/>
  <c r="BS44" i="19"/>
  <c r="BS36" i="19"/>
  <c r="BK32" i="19"/>
  <c r="BS7" i="19"/>
  <c r="BS31" i="19"/>
  <c r="BS23" i="19"/>
  <c r="BO9" i="19"/>
  <c r="BS10" i="19"/>
  <c r="BS24" i="19"/>
  <c r="BS12" i="19"/>
  <c r="BS41" i="19"/>
  <c r="BS20" i="19"/>
  <c r="BS8" i="19"/>
  <c r="BS9" i="19"/>
  <c r="BS32" i="19"/>
  <c r="BS25" i="19"/>
  <c r="BK15" i="19"/>
  <c r="BS4" i="19"/>
  <c r="BS14" i="19"/>
  <c r="BO4" i="19"/>
  <c r="BS5" i="19"/>
  <c r="BS39" i="19"/>
  <c r="BS15" i="19"/>
  <c r="BS6" i="19"/>
  <c r="BK4" i="19"/>
  <c r="BO5" i="19"/>
  <c r="BO6" i="19"/>
  <c r="BS16" i="19"/>
  <c r="BK5" i="19"/>
  <c r="BK14" i="19"/>
  <c r="BS33" i="19"/>
  <c r="BS19" i="19"/>
  <c r="BS40" i="19"/>
  <c r="AA37" i="10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AO37" i="4"/>
  <c r="AQ37" i="4"/>
  <c r="J30" i="8"/>
  <c r="J47" i="5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AG23" i="6"/>
  <c r="AK23" i="4"/>
  <c r="J27" i="6"/>
  <c r="AE37" i="6"/>
  <c r="B37" i="20" l="1"/>
  <c r="B38" i="20"/>
  <c r="B36" i="20"/>
  <c r="BO7" i="19"/>
  <c r="BK43" i="19"/>
  <c r="BK20" i="19"/>
  <c r="BK19" i="19"/>
  <c r="BS42" i="19"/>
  <c r="BK48" i="19"/>
  <c r="BK37" i="19"/>
  <c r="BK13" i="19"/>
  <c r="BO12" i="19"/>
  <c r="BK54" i="19"/>
  <c r="BK46" i="19"/>
  <c r="BK35" i="19"/>
  <c r="BK59" i="19"/>
  <c r="BK28" i="19"/>
  <c r="BK11" i="19"/>
  <c r="BS47" i="19"/>
  <c r="BK41" i="19"/>
  <c r="BK22" i="19"/>
  <c r="BO11" i="19"/>
  <c r="BK30" i="19"/>
  <c r="BO14" i="19"/>
  <c r="BK50" i="19"/>
  <c r="BK56" i="19"/>
  <c r="BK58" i="19"/>
  <c r="BO10" i="19"/>
  <c r="BK23" i="19"/>
  <c r="BS34" i="19"/>
  <c r="BK9" i="19"/>
  <c r="BK42" i="19"/>
  <c r="BK47" i="19"/>
  <c r="BS38" i="19"/>
  <c r="BK55" i="19"/>
  <c r="BK52" i="19"/>
  <c r="BK6" i="19"/>
  <c r="BS27" i="19"/>
  <c r="BO13" i="19"/>
  <c r="BS21" i="19"/>
  <c r="BS17" i="19"/>
  <c r="BK21" i="19"/>
  <c r="BK12" i="19"/>
  <c r="BK36" i="19"/>
  <c r="BK10" i="19"/>
  <c r="BK39" i="19"/>
  <c r="BK18" i="19"/>
  <c r="BK45" i="19"/>
  <c r="BS30" i="19"/>
  <c r="BK40" i="19"/>
  <c r="BK34" i="19"/>
  <c r="BK27" i="19"/>
  <c r="BK33" i="19"/>
  <c r="BK44" i="19"/>
  <c r="BS45" i="19"/>
  <c r="BS37" i="19"/>
  <c r="H37" i="19"/>
  <c r="BK16" i="19"/>
  <c r="BS35" i="19"/>
  <c r="BK7" i="19"/>
  <c r="BS22" i="19"/>
  <c r="BK24" i="19"/>
  <c r="BS18" i="19"/>
  <c r="BS43" i="19"/>
  <c r="BO8" i="19"/>
  <c r="BS28" i="19"/>
  <c r="BK57" i="19"/>
  <c r="J37" i="10"/>
  <c r="AS37" i="10"/>
  <c r="AS36" i="10" s="1"/>
  <c r="H41" i="4"/>
  <c r="H26" i="4"/>
  <c r="H40" i="4"/>
  <c r="H30" i="4"/>
  <c r="H34" i="4"/>
  <c r="H48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H27" i="5"/>
  <c r="H45" i="5"/>
  <c r="BR30" i="5" s="1"/>
  <c r="H27" i="4"/>
  <c r="H28" i="4"/>
  <c r="H33" i="5"/>
  <c r="H29" i="4"/>
  <c r="H27" i="6"/>
  <c r="H30" i="6"/>
  <c r="H44" i="4"/>
  <c r="J41" i="7"/>
  <c r="H30" i="5"/>
  <c r="H44" i="5"/>
  <c r="BR29" i="5" s="1"/>
  <c r="H31" i="4"/>
  <c r="H28" i="8"/>
  <c r="H32" i="8"/>
  <c r="H48" i="5"/>
  <c r="H45" i="4"/>
  <c r="J42" i="6"/>
  <c r="H33" i="7"/>
  <c r="H33" i="8"/>
  <c r="H32" i="4"/>
  <c r="H42" i="4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Y37" i="6"/>
  <c r="J39" i="6"/>
  <c r="H47" i="5"/>
  <c r="BJ54" i="5" s="1"/>
  <c r="AS37" i="4"/>
  <c r="Y37" i="7"/>
  <c r="J23" i="7"/>
  <c r="H25" i="7"/>
  <c r="H26" i="5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H49" i="4"/>
  <c r="AK37" i="6"/>
  <c r="H35" i="7"/>
  <c r="H30" i="7"/>
  <c r="AS21" i="8"/>
  <c r="B37" i="19" l="1"/>
  <c r="B36" i="19"/>
  <c r="B38" i="19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39" i="4" l="1"/>
  <c r="B37" i="4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36" i="4" l="1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Y15" i="10" s="1"/>
  <c r="AG15" i="10" s="1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3" i="10" l="1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X15" i="10"/>
  <c r="AA14" i="10" s="1"/>
  <c r="AB14" i="10" s="1"/>
  <c r="U4" i="10"/>
  <c r="Y4" i="10" s="1"/>
  <c r="U9" i="10"/>
  <c r="Y9" i="10" s="1"/>
  <c r="AG9" i="10" s="1"/>
  <c r="AH9" i="10" s="1"/>
  <c r="AH10" i="10"/>
  <c r="AH15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5BAEF47-B131-4521-BB92-9FCC70BC983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72CB2573-C3CB-432D-B981-8D2EA95283D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60A3CBE-25BC-41B0-86F2-E90408EFE43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014AA56-85B8-4A6F-89C5-E18727776D2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9DE704CB-C2D7-4FBB-84BA-8B804D41BFD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E6E394AC-1DC3-4CA1-857E-1E96B065BCA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F7E3CCB6-DFC9-4064-9C90-CF117B57CCC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DB5F5C6-C15B-4137-906E-03DBE0C506D9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D417008-66B8-42D2-BB26-D993797D98C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39E0B5A-0D00-425F-9B50-B0B164EA7DC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3FC88B89-37A4-457E-BB38-D1E0AD4EA5E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F701BA4-B4F6-436D-AA97-DF9E80DDF44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51DF4133-7B2B-4F0E-9383-8A6385AC9045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991757A-AA53-43E5-9E60-349D83DEC73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3793AF5-8E82-4C5F-899D-1C20E5C77D2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3BD3D65-E09B-4CB3-9552-3320E84ED948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828384A-2048-4176-B77B-BFF75825F7F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E9973C93-6D83-4CC2-A320-3F269548D7AC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A83F748-573D-4AFE-BA28-EB693680C8C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75ECEBD-681C-49D0-8B48-67AA48FA642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<sst xmlns="http://schemas.openxmlformats.org/spreadsheetml/2006/main" count="2033" uniqueCount="194">
  <si>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</si>
  <si>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</si>
  <si>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</si>
  <si>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</si>
  <si>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</si>
  <si>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</si>
  <si>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</si>
  <si>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</si>
  <si>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</si>
  <si>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</si>
  <si>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</si>
  <si>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</si>
  <si>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</si>
  <si>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</si>
  <si>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</si>
  <si>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</si>
  <si>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</si>
  <si>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</si>
  <si>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</si>
  <si>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</si>
  <si>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</si>
  <si>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</si>
  <si>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</si>
  <si>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</si>
  <si>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</si>
  <si>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</si>
  <si>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</si>
  <si>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</si>
  <si>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</si>
  <si>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</si>
  <si>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</si>
  <si>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</si>
  <si>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</si>
  <si>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</si>
  <si>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</si>
  <si>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</si>
  <si>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</si>
  <si>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</si>
  <si>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</si>
  <si>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</si>
  <si>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</si>
  <si>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</si>
  <si>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</si>
  <si>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</si>
  <si>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</si>
  <si>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</si>
  <si>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</si>
  <si>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</si>
  <si>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</si>
  <si>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</si>
  <si>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</si>
  <si>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</si>
  <si>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</si>
  <si>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</si>
  <si>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</si>
  <si>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</si>
  <si>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</si>
  <si>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</si>
  <si>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</si>
  <si>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</si>
  <si>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</si>
  <si>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</si>
  <si>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</si>
  <si>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</si>
  <si>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</si>
  <si>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</si>
  <si>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</si>
  <si>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</si>
  <si>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</si>
  <si>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</si>
  <si>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</si>
  <si>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</si>
  <si>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</si>
  <si>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</si>
  <si>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</si>
  <si>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</si>
  <si>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</si>
  <si>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</si>
  <si>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</si>
  <si>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</si>
  <si>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</si>
  <si>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</si>
  <si>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</si>
  <si>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</si>
  <si>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</si>
  <si>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</si>
  <si>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</si>
  <si>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</si>
  <si>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</si>
  <si>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</si>
  <si>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</si>
  <si>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</si>
  <si>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</si>
  <si>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</si>
  <si>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</si>
  <si>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</si>
  <si>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</si>
  <si>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</si>
  <si>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</si>
  <si>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</si>
  <si>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</si>
  <si>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</si>
  <si>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</si>
  <si>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</si>
  <si>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</si>
  <si>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</si>
  <si>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</si>
  <si>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</si>
  <si>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</si>
  <si>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</si>
  <si>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</si>
  <si>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</si>
  <si>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</si>
  <si>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</si>
  <si>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</si>
  <si>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</si>
  <si>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</si>
  <si>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</si>
  <si>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</si>
  <si>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</si>
  <si>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</si>
  <si>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</si>
  <si>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</si>
  <si>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</si>
  <si>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</si>
  <si>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</si>
  <si>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</si>
  <si>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</si>
  <si>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</si>
  <si>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</si>
  <si>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</si>
  <si>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</si>
  <si>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</si>
  <si>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</si>
  <si>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</si>
  <si>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</si>
  <si>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</si>
  <si>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</si>
  <si>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</si>
  <si>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</si>
  <si>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</si>
  <si>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</si>
  <si>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</si>
  <si>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</si>
  <si>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</si>
  <si>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</si>
  <si>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</si>
  <si>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</si>
  <si>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</si>
  <si>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</si>
  <si>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</si>
  <si>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</si>
  <si>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</si>
  <si>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</si>
  <si>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</si>
  <si>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</si>
  <si>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</si>
  <si>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</si>
  <si>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</si>
  <si>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</si>
  <si>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</si>
  <si>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</si>
  <si>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</si>
  <si>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</si>
  <si>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</si>
  <si>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</si>
  <si>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</si>
  <si>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</si>
  <si>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</si>
  <si>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</si>
  <si>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</si>
  <si>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</si>
  <si>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</si>
  <si>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</si>
  <si>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</si>
  <si>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</si>
  <si>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</si>
  <si>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</si>
  <si>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</si>
  <si>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</si>
  <si>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</si>
  <si>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</si>
  <si>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</si>
  <si>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</si>
  <si>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</si>
  <si>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</si>
  <si>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</si>
  <si>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</si>
  <si>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</si>
  <si>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Nano</t>
  </si>
  <si>
    <t>Coll de Rates</t>
  </si>
  <si>
    <t>LUKE</t>
  </si>
  <si>
    <t>AOW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</si>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</sst>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</numFmts>
  <fonts count="26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3" fillId="0" borderId="0" xfId="2" applyNumberFormat="1" applyFont="1"/>
    <xf numFmtId="165" fontId="2" fillId="0" borderId="0" xfId="2" applyNumberFormat="1" applyFont="1"/>
    <xf numFmtId="165" fontId="4" fillId="0" borderId="2" xfId="2" applyNumberFormat="1" applyFont="1" applyBorder="1"/>
    <xf numFmtId="165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3" fillId="38" borderId="51" xfId="1" applyNumberFormat="1" applyFont="1" applyFill="1" applyBorder="1" applyAlignment="1">
      <alignment horizontal="center"/>
    </xf>
    <xf numFmtId="167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4" borderId="51" xfId="0" applyNumberFormat="1" applyFont="1" applyFill="1" applyBorder="1"/>
    <xf numFmtId="2" fontId="4" fillId="44" borderId="51" xfId="0" applyNumberFormat="1" applyFont="1" applyFill="1" applyBorder="1"/>
    <xf numFmtId="2" fontId="3" fillId="44" borderId="51" xfId="0" applyNumberFormat="1" applyFont="1" applyFill="1" applyBorder="1" applyAlignment="1">
      <alignment wrapText="1"/>
    </xf>
    <xf numFmtId="2" fontId="4" fillId="44" borderId="51" xfId="0" applyNumberFormat="1" applyFont="1" applyFill="1" applyBorder="1" applyAlignment="1">
      <alignment wrapText="1"/>
    </xf>
    <xf numFmtId="0" fontId="1" fillId="44" borderId="51" xfId="0" applyFont="1" applyFill="1" applyBorder="1" applyAlignment="1">
      <alignment horizontal="right"/>
    </xf>
    <xf numFmtId="0" fontId="7" fillId="44" borderId="51" xfId="0" applyFont="1" applyFill="1" applyBorder="1" applyAlignment="1">
      <alignment horizontal="right"/>
    </xf>
    <xf numFmtId="9" fontId="3" fillId="44" borderId="51" xfId="2" applyFont="1" applyFill="1" applyBorder="1"/>
    <xf numFmtId="9" fontId="4" fillId="44" borderId="51" xfId="2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6" borderId="5" xfId="1" applyNumberFormat="1" applyFont="1" applyFill="1" applyBorder="1"/>
    <xf numFmtId="167" fontId="0" fillId="46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40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'VADER-Nano'!$H$25:$H$35</c:f>
              <c:numCache>
                <c:formatCode>0.0%</c:formatCode>
                <c:ptCount val="11"/>
                <c:pt idx="0">
                  <c:v>4.5183441067034404E-2</c:v>
                </c:pt>
                <c:pt idx="1">
                  <c:v>0.1597649611123001</c:v>
                </c:pt>
                <c:pt idx="2">
                  <c:v>0.25858068030152226</c:v>
                </c:pt>
                <c:pt idx="3">
                  <c:v>0.25348815784849721</c:v>
                </c:pt>
                <c:pt idx="4">
                  <c:v>0.16781963498725916</c:v>
                </c:pt>
                <c:pt idx="5">
                  <c:v>7.9190817062899446E-2</c:v>
                </c:pt>
                <c:pt idx="6">
                  <c:v>2.7391992377792312E-2</c:v>
                </c:pt>
                <c:pt idx="7">
                  <c:v>7.0318782189389044E-3</c:v>
                </c:pt>
                <c:pt idx="8">
                  <c:v>1.3405232217640858E-3</c:v>
                </c:pt>
                <c:pt idx="9">
                  <c:v>1.8773379851071459E-4</c:v>
                </c:pt>
                <c:pt idx="10">
                  <c:v>1.8834855335769646E-5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6-427A-A665-E1C632A089A6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'VADER-Nano'!$G$25:$G$35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'VADER-Nano'!$H$39:$H$49</c:f>
              <c:numCache>
                <c:formatCode>0.0%</c:formatCode>
                <c:ptCount val="11"/>
                <c:pt idx="0">
                  <c:v>0.31508447213853735</c:v>
                </c:pt>
                <c:pt idx="1">
                  <c:v>0.37111690940460468</c:v>
                </c:pt>
                <c:pt idx="2">
                  <c:v>0.20372405382995054</c:v>
                </c:pt>
                <c:pt idx="3">
                  <c:v>7.8566440204534016E-2</c:v>
                </c:pt>
                <c:pt idx="4">
                  <c:v>2.4335581073126049E-2</c:v>
                </c:pt>
                <c:pt idx="5">
                  <c:v>5.9293530467865105E-3</c:v>
                </c:pt>
                <c:pt idx="6">
                  <c:v>1.0833103123043457E-3</c:v>
                </c:pt>
                <c:pt idx="7">
                  <c:v>1.4483435250116385E-4</c:v>
                </c:pt>
                <c:pt idx="8">
                  <c:v>1.4024372105032984E-5</c:v>
                </c:pt>
                <c:pt idx="9">
                  <c:v>9.7250243631725042E-7</c:v>
                </c:pt>
                <c:pt idx="10">
                  <c:v>4.7202304591298334E-8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6-427A-A665-E1C632A0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'Nano-VADER'!$H$25:$H$35</c:f>
              <c:numCache>
                <c:formatCode>0.0%</c:formatCode>
                <c:ptCount val="11"/>
                <c:pt idx="0">
                  <c:v>0.23642152728184598</c:v>
                </c:pt>
                <c:pt idx="1">
                  <c:v>0.35281615079539785</c:v>
                </c:pt>
                <c:pt idx="2">
                  <c:v>0.24406451337572266</c:v>
                </c:pt>
                <c:pt idx="3">
                  <c:v>0.11188779959035192</c:v>
                </c:pt>
                <c:pt idx="4">
                  <c:v>3.9979797046587051E-2</c:v>
                </c:pt>
                <c:pt idx="5">
                  <c:v>1.1621745314991737E-2</c:v>
                </c:pt>
                <c:pt idx="6">
                  <c:v>2.6732661450334584E-3</c:v>
                </c:pt>
                <c:pt idx="7">
                  <c:v>4.6830927193722342E-4</c:v>
                </c:pt>
                <c:pt idx="8">
                  <c:v>6.0783808142021656E-5</c:v>
                </c:pt>
                <c:pt idx="9">
                  <c:v>5.7130216558480346E-6</c:v>
                </c:pt>
                <c:pt idx="10">
                  <c:v>3.7728913968242698E-7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457-92F2-433EFFB107E6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'Nano-VADER'!$H$39:$H$49</c:f>
              <c:numCache>
                <c:formatCode>0.0%</c:formatCode>
                <c:ptCount val="11"/>
                <c:pt idx="0">
                  <c:v>9.7028957679469341E-2</c:v>
                </c:pt>
                <c:pt idx="1">
                  <c:v>0.24367822679167528</c:v>
                </c:pt>
                <c:pt idx="2">
                  <c:v>0.28142677377061553</c:v>
                </c:pt>
                <c:pt idx="3">
                  <c:v>0.20383957289425572</c:v>
                </c:pt>
                <c:pt idx="4">
                  <c:v>0.10753601065828797</c:v>
                </c:pt>
                <c:pt idx="5">
                  <c:v>4.5209865517960544E-2</c:v>
                </c:pt>
                <c:pt idx="6">
                  <c:v>1.5687088443583769E-2</c:v>
                </c:pt>
                <c:pt idx="7">
                  <c:v>4.4292836789744435E-3</c:v>
                </c:pt>
                <c:pt idx="8">
                  <c:v>9.7996873756089355E-4</c:v>
                </c:pt>
                <c:pt idx="9">
                  <c:v>1.6304137593998937E-4</c:v>
                </c:pt>
                <c:pt idx="10">
                  <c:v>1.9536676396602124E-5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457-92F2-433EFFB1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'VADER-Conjunto'!$G$25:$G$35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'VADER-Conjunto'!$H$25:$H$35</c:f>
              <c:numCache>
                <c:formatCode>0.0%</c:formatCode>
                <c:ptCount val="11"/>
                <c:pt idx="0">
                  <c:v>2.3593758044979742E-2</c:v>
                </c:pt>
                <c:pt idx="1">
                  <c:v>0.10950945284721549</c:v>
                </c:pt>
                <c:pt idx="2">
                  <c:v>0.22515625285194615</c:v>
                </c:pt>
                <c:pt idx="3">
                  <c:v>0.26993560184714988</c:v>
                </c:pt>
                <c:pt idx="4">
                  <c:v>0.20919054862069414</c:v>
                </c:pt>
                <c:pt idx="5">
                  <c:v>0.1099652452368574</c:v>
                </c:pt>
                <c:pt idx="6">
                  <c:v>4.0158238538050776E-2</c:v>
                </c:pt>
                <c:pt idx="7">
                  <c:v>1.0324008270406609E-2</c:v>
                </c:pt>
                <c:pt idx="8">
                  <c:v>1.8906794583976344E-3</c:v>
                </c:pt>
                <c:pt idx="9">
                  <c:v>2.503562566614824E-4</c:v>
                </c:pt>
                <c:pt idx="10">
                  <c:v>2.4146714435657815E-5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6-493D-BDA6-6A02971C55E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'VADER-Conjunto'!$G$25:$G$35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'VADER-Conjunto'!$H$39:$H$49</c:f>
              <c:numCache>
                <c:formatCode>0.0%</c:formatCode>
                <c:ptCount val="11"/>
                <c:pt idx="0">
                  <c:v>3.8432070763244702E-2</c:v>
                </c:pt>
                <c:pt idx="1">
                  <c:v>0.14233926345441256</c:v>
                </c:pt>
                <c:pt idx="2">
                  <c:v>0.24303908656810014</c:v>
                </c:pt>
                <c:pt idx="3">
                  <c:v>0.25360137906696889</c:v>
                </c:pt>
                <c:pt idx="4">
                  <c:v>0.18070892525671886</c:v>
                </c:pt>
                <c:pt idx="5">
                  <c:v>9.3053022107324287E-2</c:v>
                </c:pt>
                <c:pt idx="6">
                  <c:v>3.5718703020223827E-2</c:v>
                </c:pt>
                <c:pt idx="7">
                  <c:v>1.0381802204126114E-2</c:v>
                </c:pt>
                <c:pt idx="8">
                  <c:v>2.2932318082650336E-3</c:v>
                </c:pt>
                <c:pt idx="9">
                  <c:v>3.8164573535024929E-4</c:v>
                </c:pt>
                <c:pt idx="10">
                  <c:v>4.667102910469416E-5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6-493D-BDA6-6A02971C5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'ColldeRates-LUKE'!$H$25:$H$35</c:f>
              <c:numCache>
                <c:formatCode>0.0%</c:formatCode>
                <c:ptCount val="11"/>
                <c:pt idx="0">
                  <c:v>0.13698401965690007</c:v>
                </c:pt>
                <c:pt idx="1">
                  <c:v>0.29826052945791581</c:v>
                </c:pt>
                <c:pt idx="2">
                  <c:v>0.29526575810795891</c:v>
                </c:pt>
                <c:pt idx="3">
                  <c:v>0.17558704953644697</c:v>
                </c:pt>
                <c:pt idx="4">
                  <c:v>6.9798224423725866E-2</c:v>
                </c:pt>
                <c:pt idx="5">
                  <c:v>1.9523229839613333E-2</c:v>
                </c:pt>
                <c:pt idx="6">
                  <c:v>3.9379509273246944E-3</c:v>
                </c:pt>
                <c:pt idx="7">
                  <c:v>5.7725024250072899E-4</c:v>
                </c:pt>
                <c:pt idx="8">
                  <c:v>6.1150389023188496E-5</c:v>
                </c:pt>
                <c:pt idx="9">
                  <c:v>4.593340881769582E-6</c:v>
                </c:pt>
                <c:pt idx="10">
                  <c:v>2.3610168065235016E-7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3-4B71-96AB-391347825AC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'ColldeRates-LUKE'!$G$25:$G$35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'ColldeRates-LUKE'!$H$39:$H$49</c:f>
              <c:numCache>
                <c:formatCode>0.0%</c:formatCode>
                <c:ptCount val="11"/>
                <c:pt idx="0">
                  <c:v>0.12171742242587252</c:v>
                </c:pt>
                <c:pt idx="1">
                  <c:v>0.2694991170681188</c:v>
                </c:pt>
                <c:pt idx="2">
                  <c:v>0.27727414010673124</c:v>
                </c:pt>
                <c:pt idx="3">
                  <c:v>0.18564933317947527</c:v>
                </c:pt>
                <c:pt idx="4">
                  <c:v>9.3534096143247633E-2</c:v>
                </c:pt>
                <c:pt idx="5">
                  <c:v>3.7272451001847229E-2</c:v>
                </c:pt>
                <c:pt idx="6">
                  <c:v>1.1672663643975567E-2</c:v>
                </c:pt>
                <c:pt idx="7">
                  <c:v>2.8036456224791676E-3</c:v>
                </c:pt>
                <c:pt idx="8">
                  <c:v>5.0424114422992325E-4</c:v>
                </c:pt>
                <c:pt idx="9">
                  <c:v>6.6310413517616125E-5</c:v>
                </c:pt>
                <c:pt idx="10">
                  <c:v>6.1776009947399612E-6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3-4B71-96AB-39134782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F711A-9AF4-4BCD-B4F6-2D96F4ED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3A574F-51F9-461E-8B17-0B99A4287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C5B1E-02A3-4FBF-9E22-0834D5618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0ED2B-7481-471F-BD2C-E832C2405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701C-85F8-4161-A7C5-4920FE3B190C}">
  <sheetPr>
    <tabColor theme="9" tint="-0.249977111117893"/>
  </sheetPr>
  <dimension ref="A1:BS59"/>
  <sheetViews>
    <sheetView zoomScale="90" zoomScaleNormal="90" workbookViewId="0">
      <selection activeCell="N6" sqref="N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0"/>
      <c r="R1" s="300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5" t="s">
        <v>189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0.62344750140370575</v>
      </c>
      <c r="U2" s="256">
        <f t="shared" si="0"/>
        <v>0.5913496631106121</v>
      </c>
      <c r="V2" s="158"/>
      <c r="W2" s="158"/>
      <c r="X2" s="290">
        <f t="shared" ref="X2:Y2" si="1">SUM(X4:X15)</f>
        <v>0.34175137563166763</v>
      </c>
      <c r="Y2" s="291">
        <f t="shared" si="1"/>
        <v>0.31761355277933745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1" t="s">
        <v>5</v>
      </c>
      <c r="C3" s="301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7.4999999999999997E-2</v>
      </c>
      <c r="U4" s="265">
        <f t="shared" ref="U4:U9" si="5">IF(S4=0,0,IF(P4=0,S4*Q4/L4,S4*Q4/(L4*2)))</f>
        <v>3.7499999999999999E-2</v>
      </c>
      <c r="V4" s="255">
        <f>$G$17</f>
        <v>0.56999999999999995</v>
      </c>
      <c r="W4" s="253">
        <f>$H$17</f>
        <v>0.56999999999999995</v>
      </c>
      <c r="X4" s="288">
        <f>V4*T4</f>
        <v>4.2749999999999996E-2</v>
      </c>
      <c r="Y4" s="289">
        <f>W4*U4</f>
        <v>2.1374999999999998E-2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2.1374999999999998E-2</v>
      </c>
      <c r="AH4" s="284">
        <f t="shared" ref="AH4:AH15" si="8">(1-AG4)</f>
        <v>0.97862499999999997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1.6768339005062902E-2</v>
      </c>
      <c r="BM4" s="31">
        <v>0</v>
      </c>
      <c r="BN4" s="31">
        <v>0</v>
      </c>
      <c r="BO4" s="107">
        <f>H25*H39</f>
        <v>1.4236600678009246E-2</v>
      </c>
      <c r="BQ4" s="31">
        <v>1</v>
      </c>
      <c r="BR4" s="31">
        <v>0</v>
      </c>
      <c r="BS4" s="107">
        <f>$H$26*H39</f>
        <v>5.0339458438303022E-2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</v>
      </c>
      <c r="G5" s="279" t="s">
        <v>1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1</v>
      </c>
      <c r="R5" s="258">
        <f t="shared" si="2"/>
        <v>0.35</v>
      </c>
      <c r="S5" s="258">
        <f t="shared" si="3"/>
        <v>0.35</v>
      </c>
      <c r="T5" s="263">
        <f t="shared" si="4"/>
        <v>0</v>
      </c>
      <c r="U5" s="265">
        <f t="shared" si="5"/>
        <v>4.3749999999999997E-2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2.4937499999999998E-2</v>
      </c>
      <c r="Z5" s="236"/>
      <c r="AA5" s="281">
        <f t="shared" si="6"/>
        <v>1.5576923076923078E-2</v>
      </c>
      <c r="AB5" s="282">
        <f t="shared" si="7"/>
        <v>0.98442307692307696</v>
      </c>
      <c r="AC5" s="282">
        <f>AA5*PRODUCT(AB3:AB4)*PRODUCT(AB6:AB17)</f>
        <v>1.1574629649304207E-2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3.6057104947654888E-3</v>
      </c>
      <c r="AE5" s="220"/>
      <c r="AF5" s="234"/>
      <c r="AG5" s="283">
        <f t="shared" ref="AG5:AG15" si="12">Y5</f>
        <v>2.4937499999999998E-2</v>
      </c>
      <c r="AH5" s="284">
        <f t="shared" si="8"/>
        <v>0.97506250000000005</v>
      </c>
      <c r="AI5" s="284">
        <f>AG5*PRODUCT(AH3:AH4)*PRODUCT(AH6:AH17)</f>
        <v>1.8444885596968535E-2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5.3336734999139251E-3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9.2049537801629153E-3</v>
      </c>
      <c r="BM5" s="31">
        <v>1</v>
      </c>
      <c r="BN5" s="31">
        <v>1</v>
      </c>
      <c r="BO5" s="107">
        <f>$H$26*H40</f>
        <v>5.9291478599143667E-2</v>
      </c>
      <c r="BQ5" s="31">
        <f>BQ4+1</f>
        <v>2</v>
      </c>
      <c r="BR5" s="31">
        <v>0</v>
      </c>
      <c r="BS5" s="107">
        <f>$H$27*H39</f>
        <v>8.1474757158029029E-2</v>
      </c>
    </row>
    <row r="6" spans="1:71" ht="15.75" x14ac:dyDescent="0.25">
      <c r="A6" s="2" t="s">
        <v>35</v>
      </c>
      <c r="B6" s="269">
        <v>9</v>
      </c>
      <c r="C6" s="270">
        <f>9.75/1.2</f>
        <v>8.125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1</v>
      </c>
      <c r="R6" s="258">
        <f t="shared" si="2"/>
        <v>0.45</v>
      </c>
      <c r="S6" s="258">
        <f t="shared" si="3"/>
        <v>0.45</v>
      </c>
      <c r="T6" s="263">
        <f t="shared" si="4"/>
        <v>3.4615384615384617E-2</v>
      </c>
      <c r="U6" s="265">
        <f t="shared" si="5"/>
        <v>1.7307692307692309E-2</v>
      </c>
      <c r="V6" s="255">
        <f>$G$18</f>
        <v>0.45</v>
      </c>
      <c r="W6" s="253">
        <f>$H$18</f>
        <v>0.45</v>
      </c>
      <c r="X6" s="288">
        <f t="shared" si="11"/>
        <v>1.5576923076923078E-2</v>
      </c>
      <c r="Y6" s="289">
        <f t="shared" si="11"/>
        <v>7.7884615384615392E-3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7.7884615384615392E-3</v>
      </c>
      <c r="AH6" s="284">
        <f t="shared" si="8"/>
        <v>0.99221153846153842</v>
      </c>
      <c r="AI6" s="284">
        <f>AG6*PRODUCT(AH3:AH5)*PRODUCT(AH7:AH17)</f>
        <v>5.6611272041094118E-3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1.5925801255574053E-3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3.5499021208282452E-3</v>
      </c>
      <c r="BM6" s="31">
        <f>BI14+1</f>
        <v>2</v>
      </c>
      <c r="BN6" s="31">
        <v>2</v>
      </c>
      <c r="BO6" s="107">
        <f>$H$27*H41</f>
        <v>5.2679104433132555E-2</v>
      </c>
      <c r="BQ6" s="31">
        <f>BM5+1</f>
        <v>2</v>
      </c>
      <c r="BR6" s="31">
        <v>1</v>
      </c>
      <c r="BS6" s="107">
        <f>$H$27*H40</f>
        <v>9.5963662905241082E-2</v>
      </c>
    </row>
    <row r="7" spans="1:71" ht="15.75" x14ac:dyDescent="0.25">
      <c r="A7" s="5" t="s">
        <v>40</v>
      </c>
      <c r="B7" s="269">
        <v>14.75</v>
      </c>
      <c r="C7" s="270">
        <v>14.5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0.02</v>
      </c>
      <c r="T7" s="263">
        <f t="shared" si="4"/>
        <v>0</v>
      </c>
      <c r="U7" s="265">
        <f t="shared" si="5"/>
        <v>5.0000000000000001E-3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2.2500000000000003E-3</v>
      </c>
      <c r="Z7" s="236"/>
      <c r="AA7" s="281">
        <f t="shared" si="6"/>
        <v>0.106875</v>
      </c>
      <c r="AB7" s="282">
        <f t="shared" si="7"/>
        <v>0.89312499999999995</v>
      </c>
      <c r="AC7" s="282">
        <f>AA7*PRODUCT(AB3:AB6)*PRODUCT(AB8:AB17)</f>
        <v>8.7532855479432112E-2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1.6793557565394617E-2</v>
      </c>
      <c r="AE7" s="220"/>
      <c r="AF7" s="234"/>
      <c r="AG7" s="283">
        <f t="shared" si="12"/>
        <v>2.2500000000000003E-3</v>
      </c>
      <c r="AH7" s="284">
        <f t="shared" si="8"/>
        <v>0.99775000000000003</v>
      </c>
      <c r="AI7" s="284">
        <f>AG7*PRODUCT(AH3:AH6)*PRODUCT(AH8:AH17)</f>
        <v>1.6263585183107828E-3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4.5385726984725885E-4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1.0995652932496286E-3</v>
      </c>
      <c r="BM7" s="31">
        <f>BI23+1</f>
        <v>3</v>
      </c>
      <c r="BN7" s="31">
        <v>3</v>
      </c>
      <c r="BO7" s="107">
        <f>$H$28*H42</f>
        <v>1.9915662196161435E-2</v>
      </c>
      <c r="BQ7" s="31">
        <f>BQ5+1</f>
        <v>3</v>
      </c>
      <c r="BR7" s="31">
        <v>0</v>
      </c>
      <c r="BS7" s="107">
        <f>$H$28*H39</f>
        <v>7.9870182409063975E-2</v>
      </c>
    </row>
    <row r="8" spans="1:71" ht="15.75" x14ac:dyDescent="0.25">
      <c r="A8" s="5" t="s">
        <v>44</v>
      </c>
      <c r="B8" s="269">
        <v>15.25</v>
      </c>
      <c r="C8" s="270">
        <v>13.5</v>
      </c>
      <c r="E8" s="250"/>
      <c r="F8" s="251"/>
      <c r="G8" s="280" t="s">
        <v>37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6</v>
      </c>
      <c r="Q8" s="251">
        <f>COUNTIF(E10:I11,"RAP")</f>
        <v>1</v>
      </c>
      <c r="R8" s="258">
        <f t="shared" si="2"/>
        <v>0.5</v>
      </c>
      <c r="S8" s="258">
        <f t="shared" si="3"/>
        <v>0.5</v>
      </c>
      <c r="T8" s="263">
        <f t="shared" si="4"/>
        <v>0.1875</v>
      </c>
      <c r="U8" s="265">
        <f t="shared" si="5"/>
        <v>3.125E-2</v>
      </c>
      <c r="V8" s="255">
        <f>$G$17</f>
        <v>0.56999999999999995</v>
      </c>
      <c r="W8" s="253">
        <f>$H$17</f>
        <v>0.56999999999999995</v>
      </c>
      <c r="X8" s="288">
        <f t="shared" si="11"/>
        <v>0.106875</v>
      </c>
      <c r="Y8" s="289">
        <f t="shared" si="11"/>
        <v>1.7812499999999998E-2</v>
      </c>
      <c r="Z8" s="236"/>
      <c r="AA8" s="281">
        <f t="shared" si="6"/>
        <v>0.106875</v>
      </c>
      <c r="AB8" s="282">
        <f t="shared" si="7"/>
        <v>0.89312499999999995</v>
      </c>
      <c r="AC8" s="282">
        <f>AA8*PRODUCT(AB3:AB7)*PRODUCT(AB9:AB17)</f>
        <v>8.7532855479432112E-2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6.3190171266382204E-3</v>
      </c>
      <c r="AE8" s="220"/>
      <c r="AF8" s="234"/>
      <c r="AG8" s="283">
        <f t="shared" si="12"/>
        <v>1.7812499999999998E-2</v>
      </c>
      <c r="AH8" s="284">
        <f t="shared" si="8"/>
        <v>0.98218749999999999</v>
      </c>
      <c r="AI8" s="284">
        <f>AG8*PRODUCT(AH3:AH7)*PRODUCT(AH9:AH17)</f>
        <v>1.3079344584260086E-2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3.4127664642421588E-3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2.6790857395511919E-4</v>
      </c>
      <c r="BM8" s="31">
        <f>BI31+1</f>
        <v>4</v>
      </c>
      <c r="BN8" s="31">
        <v>4</v>
      </c>
      <c r="BO8" s="107">
        <f>$H$29*H43</f>
        <v>4.0839883328948664E-3</v>
      </c>
      <c r="BQ8" s="31">
        <f>BQ6+1</f>
        <v>3</v>
      </c>
      <c r="BR8" s="31">
        <v>1</v>
      </c>
      <c r="BS8" s="107">
        <f>$H$28*H40</f>
        <v>9.4073741711400871E-2</v>
      </c>
    </row>
    <row r="9" spans="1:71" ht="15.75" x14ac:dyDescent="0.25">
      <c r="A9" s="5" t="s">
        <v>47</v>
      </c>
      <c r="B9" s="269">
        <v>14.75</v>
      </c>
      <c r="C9" s="270">
        <v>14.5</v>
      </c>
      <c r="E9" s="280" t="s">
        <v>2</v>
      </c>
      <c r="F9" s="280" t="s">
        <v>162</v>
      </c>
      <c r="G9" s="280" t="s">
        <v>1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6</v>
      </c>
      <c r="Q9" s="251">
        <f>COUNTIF(E10:I11,"RAP")</f>
        <v>1</v>
      </c>
      <c r="R9" s="258">
        <f t="shared" si="2"/>
        <v>0.5</v>
      </c>
      <c r="S9" s="258">
        <f t="shared" si="3"/>
        <v>0.5</v>
      </c>
      <c r="T9" s="263">
        <f t="shared" si="4"/>
        <v>0.1875</v>
      </c>
      <c r="U9" s="265">
        <f t="shared" si="5"/>
        <v>3.125E-2</v>
      </c>
      <c r="V9" s="255">
        <f>$G$17</f>
        <v>0.56999999999999995</v>
      </c>
      <c r="W9" s="253">
        <f>$H$17</f>
        <v>0.56999999999999995</v>
      </c>
      <c r="X9" s="288">
        <f t="shared" si="11"/>
        <v>0.106875</v>
      </c>
      <c r="Y9" s="289">
        <f t="shared" si="11"/>
        <v>1.7812499999999998E-2</v>
      </c>
      <c r="Z9" s="236"/>
      <c r="AA9" s="281">
        <f t="shared" si="6"/>
        <v>3.5474452554744525E-2</v>
      </c>
      <c r="AB9" s="282">
        <f t="shared" si="7"/>
        <v>0.96452554744525543</v>
      </c>
      <c r="AC9" s="282">
        <f>AA9*PRODUCT(AB3:AB8)*PRODUCT(AB10:AB17)</f>
        <v>2.6903524674491398E-2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9.5268227776724556E-4</v>
      </c>
      <c r="AE9" s="220"/>
      <c r="AF9" s="234"/>
      <c r="AG9" s="283">
        <f t="shared" si="12"/>
        <v>1.7812499999999998E-2</v>
      </c>
      <c r="AH9" s="284">
        <f t="shared" si="8"/>
        <v>0.98218749999999999</v>
      </c>
      <c r="AI9" s="284">
        <f>AG9*PRODUCT(AH3:AH8)*PRODUCT(AH10:AH17)</f>
        <v>1.3079344584260084E-2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3.1755654965988801E-3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4.8947687653314036E-5</v>
      </c>
      <c r="BM9" s="31">
        <f>BI38+1</f>
        <v>5</v>
      </c>
      <c r="BN9" s="31">
        <v>5</v>
      </c>
      <c r="BO9" s="107">
        <f>$H$30*H44</f>
        <v>4.69550312429416E-4</v>
      </c>
      <c r="BQ9" s="31">
        <f>BM6+1</f>
        <v>3</v>
      </c>
      <c r="BR9" s="31">
        <v>2</v>
      </c>
      <c r="BS9" s="107">
        <f>$H$28*H41</f>
        <v>5.1641635114782244E-2</v>
      </c>
    </row>
    <row r="10" spans="1:71" ht="15.75" x14ac:dyDescent="0.25">
      <c r="A10" s="6" t="s">
        <v>50</v>
      </c>
      <c r="B10" s="269">
        <v>13.5</v>
      </c>
      <c r="C10" s="270">
        <v>7.75</v>
      </c>
      <c r="E10" s="280" t="s">
        <v>1</v>
      </c>
      <c r="F10" s="280" t="s">
        <v>144</v>
      </c>
      <c r="G10" s="280" t="s">
        <v>2</v>
      </c>
      <c r="H10" s="280" t="s">
        <v>162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7.8832116788321166E-2</v>
      </c>
      <c r="U10" s="265">
        <f>S10*G14</f>
        <v>7.1167883211678828E-2</v>
      </c>
      <c r="V10" s="255">
        <f>$G$18</f>
        <v>0.45</v>
      </c>
      <c r="W10" s="253">
        <f>$H$18</f>
        <v>0.45</v>
      </c>
      <c r="X10" s="288">
        <f t="shared" si="11"/>
        <v>3.5474452554744525E-2</v>
      </c>
      <c r="Y10" s="289">
        <f t="shared" si="11"/>
        <v>3.2025547445255473E-2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3.2025547445255473E-2</v>
      </c>
      <c r="AH10" s="284">
        <f t="shared" si="8"/>
        <v>0.96797445255474457</v>
      </c>
      <c r="AI10" s="284">
        <f>AG10*PRODUCT(AH3:AH9)*PRODUCT(AH11:AH17)</f>
        <v>2.3860974362951742E-2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5.0038201804985709E-3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6.5441144307184235E-6</v>
      </c>
      <c r="BM10" s="31">
        <f>BI44+1</f>
        <v>6</v>
      </c>
      <c r="BN10" s="31">
        <v>6</v>
      </c>
      <c r="BO10" s="107">
        <f>$H$31*H45</f>
        <v>2.9674027817424444E-5</v>
      </c>
      <c r="BQ10" s="31">
        <f>BQ7+1</f>
        <v>4</v>
      </c>
      <c r="BR10" s="31">
        <v>0</v>
      </c>
      <c r="BS10" s="107">
        <f>$H$29*H39</f>
        <v>5.2877361104442563E-2</v>
      </c>
    </row>
    <row r="11" spans="1:71" ht="15.75" x14ac:dyDescent="0.25">
      <c r="A11" s="6" t="s">
        <v>53</v>
      </c>
      <c r="B11" s="269">
        <v>12</v>
      </c>
      <c r="C11" s="270">
        <v>8.25</v>
      </c>
      <c r="E11" s="250"/>
      <c r="F11" s="280" t="s">
        <v>6</v>
      </c>
      <c r="G11" s="280" t="s">
        <v>162</v>
      </c>
      <c r="H11" s="280" t="s">
        <v>37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1</v>
      </c>
      <c r="R11" s="258">
        <f t="shared" si="2"/>
        <v>0.23</v>
      </c>
      <c r="S11" s="258">
        <f t="shared" si="3"/>
        <v>0.23</v>
      </c>
      <c r="T11" s="263">
        <f>IF(P11&gt;0,S11*G13,0)</f>
        <v>0</v>
      </c>
      <c r="U11" s="265">
        <f>IF(Q11&gt;0,S11*G14,0)</f>
        <v>0.10912408759124087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0.5</v>
      </c>
      <c r="X11" s="288">
        <f t="shared" si="11"/>
        <v>0</v>
      </c>
      <c r="Y11" s="289">
        <f t="shared" si="11"/>
        <v>5.4562043795620435E-2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5.4562043795620435E-2</v>
      </c>
      <c r="AH11" s="284">
        <f t="shared" si="8"/>
        <v>0.94543795620437954</v>
      </c>
      <c r="AI11" s="284">
        <f>AG11*PRODUCT(AH3:AH10)*PRODUCT(AH12:AH17)</f>
        <v>4.1621056791415686E-2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6.3262516124144219E-3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6.3366939050991902E-7</v>
      </c>
      <c r="BM11" s="31">
        <f>BI50+1</f>
        <v>7</v>
      </c>
      <c r="BN11" s="31">
        <v>7</v>
      </c>
      <c r="BO11" s="107">
        <f>$H$32*H46</f>
        <v>1.0184575287070535E-6</v>
      </c>
      <c r="BQ11" s="31">
        <f>BQ8+1</f>
        <v>4</v>
      </c>
      <c r="BR11" s="31">
        <v>1</v>
      </c>
      <c r="BS11" s="107">
        <f>$H$29*H40</f>
        <v>6.228070427388048E-2</v>
      </c>
    </row>
    <row r="12" spans="1:71" ht="15.75" x14ac:dyDescent="0.25">
      <c r="A12" s="6" t="s">
        <v>57</v>
      </c>
      <c r="B12" s="269">
        <v>13.75</v>
      </c>
      <c r="C12" s="270">
        <v>9.75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0</v>
      </c>
      <c r="U12" s="265">
        <f>IF(S12=0,0,IF(P12=0,S12*Q12/L12,S12*Q12/(L12*2)))</f>
        <v>5.0000000000000001E-3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2.2500000000000003E-3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2.2500000000000003E-3</v>
      </c>
      <c r="AH12" s="284">
        <f t="shared" si="8"/>
        <v>0.99775000000000003</v>
      </c>
      <c r="AI12" s="284">
        <f>AG12*PRODUCT(AH3:AH11)*PRODUCT(AH13:AH17)</f>
        <v>1.626358518310783E-3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2.4353311310188543E-4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4.3941006518887862E-8</v>
      </c>
      <c r="BM12" s="31">
        <f>BI54+1</f>
        <v>8</v>
      </c>
      <c r="BN12" s="31">
        <v>8</v>
      </c>
      <c r="BO12" s="107">
        <f>$H$33*H47</f>
        <v>1.8799996477457188E-8</v>
      </c>
      <c r="BQ12" s="31">
        <f>BQ9+1</f>
        <v>4</v>
      </c>
      <c r="BR12" s="31">
        <v>2</v>
      </c>
      <c r="BS12" s="107">
        <f>$H$29*H41</f>
        <v>3.4188896351867039E-2</v>
      </c>
    </row>
    <row r="13" spans="1:71" ht="15.75" x14ac:dyDescent="0.25">
      <c r="A13" s="7" t="s">
        <v>60</v>
      </c>
      <c r="B13" s="269">
        <v>13</v>
      </c>
      <c r="C13" s="270">
        <v>7</v>
      </c>
      <c r="E13" s="247"/>
      <c r="F13" s="247" t="s">
        <v>163</v>
      </c>
      <c r="G13" s="254">
        <f>B22</f>
        <v>0.52554744525547448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</v>
      </c>
      <c r="U13" s="265">
        <f>IF(P13+Q13=0,0,S13*Q13/(Q13+P13))</f>
        <v>0.18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0.10259999999999998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2.5902764646947289E-2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0.10259999999999998</v>
      </c>
      <c r="AH13" s="284">
        <f t="shared" si="8"/>
        <v>0.89739999999999998</v>
      </c>
      <c r="AI13" s="284">
        <f>AG13*PRODUCT(AH3:AH12)*PRODUCT(AH14:AH17)</f>
        <v>8.2454963283923557E-2</v>
      </c>
      <c r="AJ13" s="284">
        <f>AG13*AG14*PRODUCT(AH3:AH12)*PRODUCT(AH15:AH17)+AG13*AG15*PRODUCT(AH3:AH12)*AH14*PRODUCT(AH16:AH17)+AG13*AG16*PRODUCT(AH3:AH12)*AH14*AH15*AH17+AG13*AG17*PRODUCT(AH3:AH12)*AH14*AH15*AH16</f>
        <v>2.9198175029096969E-3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2.1327625477291357E-9</v>
      </c>
      <c r="BM13" s="31">
        <f>BI57+1</f>
        <v>9</v>
      </c>
      <c r="BN13" s="31">
        <v>9</v>
      </c>
      <c r="BO13" s="107">
        <f>$H$34*H48</f>
        <v>1.8257157643076175E-10</v>
      </c>
      <c r="BQ13" s="31">
        <f>BM7+1</f>
        <v>4</v>
      </c>
      <c r="BR13" s="31">
        <v>3</v>
      </c>
      <c r="BS13" s="107">
        <f>$H$29*H42</f>
        <v>1.3184991317373222E-2</v>
      </c>
    </row>
    <row r="14" spans="1:71" ht="15.75" x14ac:dyDescent="0.25">
      <c r="A14" s="7" t="s">
        <v>63</v>
      </c>
      <c r="B14" s="269">
        <v>11.5</v>
      </c>
      <c r="C14" s="270">
        <v>6</v>
      </c>
      <c r="E14" s="247"/>
      <c r="F14" s="247" t="s">
        <v>164</v>
      </c>
      <c r="G14" s="252">
        <f>C22</f>
        <v>0.47445255474452552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2.5538442759368056E-2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3.2547965537782178E-2</v>
      </c>
      <c r="BM14" s="31">
        <f>BQ39+1</f>
        <v>10</v>
      </c>
      <c r="BN14" s="31">
        <v>10</v>
      </c>
      <c r="BO14" s="107">
        <f>$H$35*H49</f>
        <v>8.8904857849203951E-13</v>
      </c>
      <c r="BQ14" s="31">
        <f>BQ10+1</f>
        <v>5</v>
      </c>
      <c r="BR14" s="31">
        <v>0</v>
      </c>
      <c r="BS14" s="107">
        <f>$H$30*H39</f>
        <v>2.495179679248315E-2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1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1.2552164264009229E-2</v>
      </c>
      <c r="BQ15" s="31">
        <f>BQ11+1</f>
        <v>5</v>
      </c>
      <c r="BR15" s="31">
        <v>1</v>
      </c>
      <c r="BS15" s="107">
        <f>$H$30*H40</f>
        <v>2.9389051281608677E-2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3.8879731637932093E-3</v>
      </c>
      <c r="BQ16" s="31">
        <f>BQ12+1</f>
        <v>5</v>
      </c>
      <c r="BR16" s="31">
        <v>2</v>
      </c>
      <c r="BS16" s="107">
        <f>$H$30*H41</f>
        <v>1.6133074278159892E-2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9.4730285894094497E-4</v>
      </c>
      <c r="BQ17" s="31">
        <f>BQ13+1</f>
        <v>5</v>
      </c>
      <c r="BR17" s="31">
        <v>3</v>
      </c>
      <c r="BS17" s="107">
        <f>$H$30*H42</f>
        <v>6.2217405935204818E-3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0.73148801450355838</v>
      </c>
      <c r="AC18" s="176">
        <f>SUM(AC3:AC17)</f>
        <v>0.23944662992960711</v>
      </c>
      <c r="AD18" s="176">
        <f>SUM(AD3:AD17)</f>
        <v>2.7670967464565571E-2</v>
      </c>
      <c r="AE18" s="176">
        <f>1-AB18-AC18-AD18</f>
        <v>1.3943881022689397E-3</v>
      </c>
      <c r="AF18" s="234"/>
      <c r="AG18" s="158"/>
      <c r="AH18" s="179">
        <f>PRODUCT(AH3:AH17)</f>
        <v>0.72119964961981498</v>
      </c>
      <c r="AI18" s="176">
        <f>SUM(AI3:AI17)</f>
        <v>0.22699285620387871</v>
      </c>
      <c r="AJ18" s="176">
        <f>SUM(AJ3:AJ17)</f>
        <v>2.8461865265084207E-2</v>
      </c>
      <c r="AK18" s="176">
        <f>1-AH18-AI18-AJ18</f>
        <v>2.3345628911222105E-2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1.7307502991785746E-4</v>
      </c>
      <c r="BQ18" s="31">
        <f>BM8+1</f>
        <v>5</v>
      </c>
      <c r="BR18" s="31">
        <v>4</v>
      </c>
      <c r="BS18" s="107">
        <f>$H$30*H43</f>
        <v>1.927154548881283E-3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2.3139454695073609E-5</v>
      </c>
      <c r="BQ19" s="31">
        <f>BQ15+1</f>
        <v>6</v>
      </c>
      <c r="BR19" s="31">
        <v>1</v>
      </c>
      <c r="BS19" s="107">
        <f>$H$31*H40</f>
        <v>1.0165631553680771E-2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2.2406032639850208E-6</v>
      </c>
      <c r="BQ20" s="31">
        <f>BQ16+1</f>
        <v>6</v>
      </c>
      <c r="BR20" s="31">
        <v>2</v>
      </c>
      <c r="BS20" s="107">
        <f>$H$31*H41</f>
        <v>5.5804077296829555E-3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1.5537181391984261E-7</v>
      </c>
      <c r="BQ21" s="31">
        <f>BQ17+1</f>
        <v>6</v>
      </c>
      <c r="BR21" s="31">
        <v>3</v>
      </c>
      <c r="BS21" s="107">
        <f>$H$31*H42</f>
        <v>2.1520913312328711E-3</v>
      </c>
    </row>
    <row r="22" spans="1:71" x14ac:dyDescent="0.25">
      <c r="A22" s="26" t="s">
        <v>87</v>
      </c>
      <c r="B22" s="206">
        <f>(B6)/((B6)+(C6))</f>
        <v>0.52554744525547448</v>
      </c>
      <c r="C22" s="207">
        <f>1-B22</f>
        <v>0.47445255474452552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7.5412743574397221E-9</v>
      </c>
      <c r="BQ22" s="31">
        <f>BQ18+1</f>
        <v>6</v>
      </c>
      <c r="BR22" s="31">
        <v>4</v>
      </c>
      <c r="BS22" s="107">
        <f>$H$31*H43</f>
        <v>6.6660005126421558E-4</v>
      </c>
    </row>
    <row r="23" spans="1:71" ht="15.75" thickBot="1" x14ac:dyDescent="0.3">
      <c r="A23" s="40" t="s">
        <v>88</v>
      </c>
      <c r="B23" s="56">
        <f>((B22^2.8)/((B22^2.8)+(C22^2.8)))*B21</f>
        <v>2.8555492869015371</v>
      </c>
      <c r="C23" s="57">
        <f>B21-B23</f>
        <v>2.1444507130984629</v>
      </c>
      <c r="D23" s="149">
        <f>SUM(D25:D30)</f>
        <v>1</v>
      </c>
      <c r="E23" s="149">
        <f>SUM(E25:E30)</f>
        <v>1</v>
      </c>
      <c r="H23" s="266">
        <f>SUM(H25:H35)</f>
        <v>0.99999865485185424</v>
      </c>
      <c r="I23" s="81"/>
      <c r="J23" s="266">
        <f>SUM(J25:J35)</f>
        <v>1.0000000000000002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1.0000000000000002</v>
      </c>
      <c r="S23" s="81"/>
      <c r="T23" s="266">
        <f>SUM(T25:T35)</f>
        <v>1</v>
      </c>
      <c r="V23" s="208">
        <f>SUM(V25:V34)</f>
        <v>0.99588777456865851</v>
      </c>
      <c r="Y23" s="205">
        <f>SUM(Y25:Y35)</f>
        <v>2.0745785817696434E-4</v>
      </c>
      <c r="Z23" s="81"/>
      <c r="AA23" s="205">
        <f>SUM(AA25:AA35)</f>
        <v>2.7656351040163535E-3</v>
      </c>
      <c r="AB23" s="81"/>
      <c r="AC23" s="205">
        <f>SUM(AC25:AC35)</f>
        <v>1.6595152156209329E-2</v>
      </c>
      <c r="AD23" s="81"/>
      <c r="AE23" s="205">
        <f>SUM(AE25:AE35)</f>
        <v>5.9030074551955927E-2</v>
      </c>
      <c r="AF23" s="81"/>
      <c r="AG23" s="205">
        <f>SUM(AG25:AG35)</f>
        <v>0.13786309662033952</v>
      </c>
      <c r="AH23" s="81"/>
      <c r="AI23" s="205">
        <f>SUM(AI25:AI35)</f>
        <v>0.22094553861361008</v>
      </c>
      <c r="AJ23" s="81"/>
      <c r="AK23" s="205">
        <f>SUM(AK25:AK35)</f>
        <v>0.2461894531023211</v>
      </c>
      <c r="AL23" s="81"/>
      <c r="AM23" s="205">
        <f>SUM(AM25:AM35)</f>
        <v>0.18848844156597835</v>
      </c>
      <c r="AN23" s="81"/>
      <c r="AO23" s="205">
        <f>SUM(AO25:AO35)</f>
        <v>9.5089516755194531E-2</v>
      </c>
      <c r="AP23" s="81"/>
      <c r="AQ23" s="205">
        <f>SUM(AQ25:AQ35)</f>
        <v>2.8713408240856397E-2</v>
      </c>
      <c r="AR23" s="81"/>
      <c r="AS23" s="205">
        <f>SUM(AS25:AS35)</f>
        <v>4.1122254313414892E-3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2.0315763556957276E-2</v>
      </c>
      <c r="BQ23" s="31">
        <f>BM9+1</f>
        <v>6</v>
      </c>
      <c r="BR23" s="31">
        <v>5</v>
      </c>
      <c r="BS23" s="107">
        <f>$H$31*H44</f>
        <v>1.6241679346281571E-4</v>
      </c>
    </row>
    <row r="24" spans="1:71" ht="15.75" thickBot="1" x14ac:dyDescent="0.3">
      <c r="A24" s="26" t="s">
        <v>89</v>
      </c>
      <c r="B24" s="64">
        <f>B23/B21</f>
        <v>0.5711098573803074</v>
      </c>
      <c r="C24" s="65">
        <f>C23/B21</f>
        <v>0.4288901426196926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6.2927111094217827E-3</v>
      </c>
      <c r="BQ24" s="31">
        <f>BI49+1</f>
        <v>7</v>
      </c>
      <c r="BR24" s="31">
        <v>0</v>
      </c>
      <c r="BS24" s="107">
        <f t="shared" ref="BS24:BS30" si="16">$H$32*H39</f>
        <v>2.2156356367568431E-3</v>
      </c>
    </row>
    <row r="25" spans="1:71" x14ac:dyDescent="0.25">
      <c r="A25" s="26" t="s">
        <v>114</v>
      </c>
      <c r="B25" s="209">
        <f>1/(1+EXP(-3.1416*4*((B11/(B11+C8))-(3.1416/6))))</f>
        <v>0.33935563523733447</v>
      </c>
      <c r="C25" s="207">
        <f>1/(1+EXP(-3.1416*4*((C11/(C11+B8))-(3.1416/6))))</f>
        <v>0.10264652763673558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4.5183441067034404E-2</v>
      </c>
      <c r="I25" s="97">
        <v>0</v>
      </c>
      <c r="J25" s="98">
        <f t="shared" ref="J25:J35" si="17">Y25+AA25+AC25+AE25+AG25+AI25+AK25+AM25+AO25+AQ25+AS25</f>
        <v>6.1769215860220501E-2</v>
      </c>
      <c r="K25" s="97">
        <v>0</v>
      </c>
      <c r="L25" s="98">
        <f>AB18</f>
        <v>0.73148801450355838</v>
      </c>
      <c r="M25" s="85">
        <v>0</v>
      </c>
      <c r="N25" s="210">
        <f>(1-$B$24)^$B$21</f>
        <v>1.4512102053434273E-2</v>
      </c>
      <c r="O25" s="72">
        <v>0</v>
      </c>
      <c r="P25" s="210">
        <f t="shared" ref="P25:P30" si="18">N25</f>
        <v>1.4512102053434273E-2</v>
      </c>
      <c r="Q25" s="28">
        <v>0</v>
      </c>
      <c r="R25" s="211">
        <f>P25*N25</f>
        <v>2.1060110600929126E-4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2.0745785817696434E-4</v>
      </c>
      <c r="W25" s="134">
        <f>B31</f>
        <v>0.42469897374422483</v>
      </c>
      <c r="X25" s="28">
        <v>0</v>
      </c>
      <c r="Y25" s="213">
        <f>V25</f>
        <v>2.0745785817696434E-4</v>
      </c>
      <c r="Z25" s="28">
        <v>0</v>
      </c>
      <c r="AA25" s="213">
        <f>((1-W25)^Z26)*V26</f>
        <v>1.5910727135896056E-3</v>
      </c>
      <c r="AB25" s="28">
        <v>0</v>
      </c>
      <c r="AC25" s="213">
        <f>(((1-$W$25)^AB27))*V27</f>
        <v>5.4925185984416479E-3</v>
      </c>
      <c r="AD25" s="28">
        <v>0</v>
      </c>
      <c r="AE25" s="213">
        <f>(((1-$W$25)^AB28))*V28</f>
        <v>1.1239805032414193E-2</v>
      </c>
      <c r="AF25" s="28">
        <v>0</v>
      </c>
      <c r="AG25" s="213">
        <f>(((1-$W$25)^AB29))*V29</f>
        <v>1.5101796862541027E-2</v>
      </c>
      <c r="AH25" s="28">
        <v>0</v>
      </c>
      <c r="AI25" s="213">
        <f>(((1-$W$25)^AB30))*V30</f>
        <v>1.3923902717863E-2</v>
      </c>
      <c r="AJ25" s="28">
        <v>0</v>
      </c>
      <c r="AK25" s="213">
        <f>(((1-$W$25)^AB31))*V31</f>
        <v>8.9256599291888204E-3</v>
      </c>
      <c r="AL25" s="28">
        <v>0</v>
      </c>
      <c r="AM25" s="213">
        <f>(((1-$W$25)^AB32))*V32</f>
        <v>3.9314319692775549E-3</v>
      </c>
      <c r="AN25" s="28">
        <v>0</v>
      </c>
      <c r="AO25" s="213">
        <f>(((1-$W$25)^AB33))*V33</f>
        <v>1.1410215065297546E-3</v>
      </c>
      <c r="AP25" s="28">
        <v>0</v>
      </c>
      <c r="AQ25" s="213">
        <f>(((1-$W$25)^AB34))*V34</f>
        <v>1.9821708469908706E-4</v>
      </c>
      <c r="AR25" s="28">
        <v>0</v>
      </c>
      <c r="AS25" s="213">
        <f>(((1-$W$25)^AB35))*V35</f>
        <v>1.6331587498847717E-5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1.5332161445859595E-3</v>
      </c>
      <c r="BQ25" s="31">
        <f>BQ19+1</f>
        <v>7</v>
      </c>
      <c r="BR25" s="31">
        <v>1</v>
      </c>
      <c r="BS25" s="107">
        <f t="shared" si="16"/>
        <v>2.6096489119221624E-3</v>
      </c>
    </row>
    <row r="26" spans="1:71" x14ac:dyDescent="0.25">
      <c r="A26" s="40" t="s">
        <v>115</v>
      </c>
      <c r="B26" s="206">
        <f>1/(1+EXP(-3.1416*4*((B10/(B10+C9))-(3.1416/6))))</f>
        <v>0.37262613520965243</v>
      </c>
      <c r="C26" s="207">
        <f>1/(1+EXP(-3.1416*4*((C10/(C10+B9))-(3.1416/6))))</f>
        <v>9.5233909743018694E-2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0.1597649611123001</v>
      </c>
      <c r="I26" s="138">
        <v>1</v>
      </c>
      <c r="J26" s="86">
        <f t="shared" si="17"/>
        <v>0.1981912590045187</v>
      </c>
      <c r="K26" s="138">
        <v>1</v>
      </c>
      <c r="L26" s="86">
        <f>AC18</f>
        <v>0.23944662992960711</v>
      </c>
      <c r="M26" s="85">
        <v>1</v>
      </c>
      <c r="N26" s="210">
        <f>(($B$24)^M26)*((1-($B$24))^($B$21-M26))*HLOOKUP($B$21,$AV$24:$BF$34,M26+1)</f>
        <v>9.6621532071144975E-2</v>
      </c>
      <c r="O26" s="72">
        <v>1</v>
      </c>
      <c r="P26" s="210">
        <f t="shared" si="18"/>
        <v>9.6621532071144975E-2</v>
      </c>
      <c r="Q26" s="28">
        <v>1</v>
      </c>
      <c r="R26" s="211">
        <f>N26*P25+P26*N25</f>
        <v>2.8043630679512569E-3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2.7656351040163535E-3</v>
      </c>
      <c r="W26" s="214"/>
      <c r="X26" s="28">
        <v>1</v>
      </c>
      <c r="Y26" s="211"/>
      <c r="Z26" s="28">
        <v>1</v>
      </c>
      <c r="AA26" s="213">
        <f>(1-((1-W25)^Z26))*V26</f>
        <v>1.1745623904267479E-3</v>
      </c>
      <c r="AB26" s="28">
        <v>1</v>
      </c>
      <c r="AC26" s="213">
        <f>((($W$25)^M26)*((1-($W$25))^($U$27-M26))*HLOOKUP($U$27,$AV$24:$BF$34,M26+1))*V27</f>
        <v>8.1093789357926382E-3</v>
      </c>
      <c r="AD26" s="28">
        <v>1</v>
      </c>
      <c r="AE26" s="213">
        <f>((($W$25)^M26)*((1-($W$25))^($U$28-M26))*HLOOKUP($U$28,$AV$24:$BF$34,M26+1))*V28</f>
        <v>2.4892361274335001E-2</v>
      </c>
      <c r="AF26" s="28">
        <v>1</v>
      </c>
      <c r="AG26" s="213">
        <f>((($W$25)^M26)*((1-($W$25))^($U$29-M26))*HLOOKUP($U$29,$AV$24:$BF$34,M26+1))*V29</f>
        <v>4.4593820184589274E-2</v>
      </c>
      <c r="AH26" s="28">
        <v>1</v>
      </c>
      <c r="AI26" s="213">
        <f>((($W$25)^M26)*((1-($W$25))^($U$30-M26))*HLOOKUP($U$30,$AV$24:$BF$34,M26+1))*V30</f>
        <v>5.1394547592565475E-2</v>
      </c>
      <c r="AJ26" s="28">
        <v>1</v>
      </c>
      <c r="AK26" s="213">
        <f>((($W$25)^M26)*((1-($W$25))^($U$31-M26))*HLOOKUP($U$31,$AV$24:$BF$34,M26+1))*V31</f>
        <v>3.9534627322890745E-2</v>
      </c>
      <c r="AL26" s="28">
        <v>1</v>
      </c>
      <c r="AM26" s="213">
        <f>((($W$25)^Q26)*((1-($W$25))^($U$32-Q26))*HLOOKUP($U$32,$AV$24:$BF$34,Q26+1))*V32</f>
        <v>2.0315843924265161E-2</v>
      </c>
      <c r="AN26" s="28">
        <v>1</v>
      </c>
      <c r="AO26" s="213">
        <f>((($W$25)^Q26)*((1-($W$25))^($U$33-Q26))*HLOOKUP($U$33,$AV$24:$BF$34,Q26+1))*V33</f>
        <v>6.7386031413450695E-3</v>
      </c>
      <c r="AP26" s="28">
        <v>1</v>
      </c>
      <c r="AQ26" s="213">
        <f>((($W$25)^Q26)*((1-($W$25))^($U$34-Q26))*HLOOKUP($U$34,$AV$24:$BF$34,Q26+1))*V34</f>
        <v>1.316951122064618E-3</v>
      </c>
      <c r="AR26" s="28">
        <v>1</v>
      </c>
      <c r="AS26" s="213">
        <f>((($W$25)^Q26)*((1-($W$25))^($U$35-Q26))*HLOOKUP($U$35,$AV$24:$BF$34,Q26+1))*V35</f>
        <v>1.2056311624396324E-4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2.8012311753331225E-4</v>
      </c>
      <c r="BQ26" s="31">
        <f>BQ20+1</f>
        <v>7</v>
      </c>
      <c r="BR26" s="31">
        <v>2</v>
      </c>
      <c r="BS26" s="107">
        <f t="shared" si="16"/>
        <v>1.4325627368007661E-3</v>
      </c>
    </row>
    <row r="27" spans="1:71" x14ac:dyDescent="0.25">
      <c r="A27" s="26" t="s">
        <v>116</v>
      </c>
      <c r="B27" s="206">
        <f>1/(1+EXP(-3.1416*4*((B12/(B12+C7))-(3.1416/6))))</f>
        <v>0.38618485565901695</v>
      </c>
      <c r="C27" s="207">
        <f>1/(1+EXP(-3.1416*4*((C12/(C12+B7))-(3.1416/6))))</f>
        <v>0.17095802136127952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0.25858068030152226</v>
      </c>
      <c r="I27" s="138">
        <v>2</v>
      </c>
      <c r="J27" s="86">
        <f t="shared" si="17"/>
        <v>0.28628662826571272</v>
      </c>
      <c r="K27" s="138">
        <v>2</v>
      </c>
      <c r="L27" s="86">
        <f>AD18</f>
        <v>2.7670967464565571E-2</v>
      </c>
      <c r="M27" s="85">
        <v>2</v>
      </c>
      <c r="N27" s="210">
        <f>(($B$24)^M27)*((1-($B$24))^($B$21-M27))*HLOOKUP($B$21,$AV$24:$BF$34,M27+1)</f>
        <v>0.25732234862739289</v>
      </c>
      <c r="O27" s="72">
        <v>2</v>
      </c>
      <c r="P27" s="210">
        <f t="shared" si="18"/>
        <v>0.25732234862739289</v>
      </c>
      <c r="Q27" s="28">
        <v>2</v>
      </c>
      <c r="R27" s="211">
        <f>P25*N27+P26*N26+P27*N25</f>
        <v>1.6804296827595534E-2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1.6595152156209329E-2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2.9932546219750421E-3</v>
      </c>
      <c r="AD27" s="28">
        <v>2</v>
      </c>
      <c r="AE27" s="213">
        <f>((($W$25)^M27)*((1-($W$25))^($U$28-M27))*HLOOKUP($U$28,$AV$24:$BF$34,M27+1))*V28</f>
        <v>1.8376049763172895E-2</v>
      </c>
      <c r="AF27" s="28">
        <v>2</v>
      </c>
      <c r="AG27" s="213">
        <f>((($W$25)^M27)*((1-($W$25))^($U$29-M27))*HLOOKUP($U$29,$AV$24:$BF$34,M27+1))*V29</f>
        <v>4.9380103989183813E-2</v>
      </c>
      <c r="AH27" s="28">
        <v>2</v>
      </c>
      <c r="AI27" s="213">
        <f>((($W$25)^M27)*((1-($W$25))^($U$30-M27))*HLOOKUP($U$30,$AV$24:$BF$34,M27+1))*V30</f>
        <v>7.5881010540408939E-2</v>
      </c>
      <c r="AJ27" s="28">
        <v>2</v>
      </c>
      <c r="AK27" s="213">
        <f>((($W$25)^M27)*((1-($W$25))^($U$31-M27))*HLOOKUP($U$31,$AV$24:$BF$34,M27+1))*V31</f>
        <v>7.2963174430038413E-2</v>
      </c>
      <c r="AL27" s="28">
        <v>2</v>
      </c>
      <c r="AM27" s="213">
        <f>((($W$25)^Q27)*((1-($W$25))^($U$32-Q27))*HLOOKUP($U$32,$AV$24:$BF$34,Q27+1))*V32</f>
        <v>4.4992713405384674E-2</v>
      </c>
      <c r="AN27" s="28">
        <v>2</v>
      </c>
      <c r="AO27" s="213">
        <f>((($W$25)^Q27)*((1-($W$25))^($U$33-Q27))*HLOOKUP($U$33,$AV$24:$BF$34,Q27+1))*V33</f>
        <v>1.7411010893352216E-2</v>
      </c>
      <c r="AP27" s="28">
        <v>2</v>
      </c>
      <c r="AQ27" s="213">
        <f>((($W$25)^Q27)*((1-($W$25))^($U$34-Q27))*HLOOKUP($U$34,$AV$24:$BF$34,Q27+1))*V34</f>
        <v>3.8888009197708883E-3</v>
      </c>
      <c r="AR27" s="28">
        <v>2</v>
      </c>
      <c r="AS27" s="213">
        <f>((($W$25)^Q27)*((1-($W$25))^($U$35-Q27))*HLOOKUP($U$35,$AV$24:$BF$34,Q27+1))*V35</f>
        <v>4.0050970242583138E-4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3.7451365400781435E-5</v>
      </c>
      <c r="BQ27" s="31">
        <f>BQ21+1</f>
        <v>7</v>
      </c>
      <c r="BR27" s="31">
        <v>3</v>
      </c>
      <c r="BS27" s="107">
        <f t="shared" si="16"/>
        <v>5.5246963961382857E-4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0.25348815784849721</v>
      </c>
      <c r="I28" s="138">
        <v>3</v>
      </c>
      <c r="J28" s="86">
        <f t="shared" si="17"/>
        <v>0.24520909682810973</v>
      </c>
      <c r="K28" s="138">
        <v>3</v>
      </c>
      <c r="L28" s="86">
        <f>AE18</f>
        <v>1.3943881022689397E-3</v>
      </c>
      <c r="M28" s="85">
        <v>3</v>
      </c>
      <c r="N28" s="210">
        <f>(($B$24)^M28)*((1-($B$24))^($B$21-M28))*HLOOKUP($B$21,$AV$24:$BF$34,M28+1)</f>
        <v>0.34265028552001148</v>
      </c>
      <c r="O28" s="72">
        <v>3</v>
      </c>
      <c r="P28" s="210">
        <f t="shared" si="18"/>
        <v>0.34265028552001148</v>
      </c>
      <c r="Q28" s="28">
        <v>3</v>
      </c>
      <c r="R28" s="211">
        <f>P25*N28+P26*N27+P27*N26+P28*N25</f>
        <v>5.9670910945257574E-2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5.903007455195592E-2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4.5218584820338314E-3</v>
      </c>
      <c r="AF28" s="28">
        <v>3</v>
      </c>
      <c r="AG28" s="213">
        <f>((($W$25)^M28)*((1-($W$25))^($U$29-M28))*HLOOKUP($U$29,$AV$24:$BF$34,M28+1))*V29</f>
        <v>2.4302267891622119E-2</v>
      </c>
      <c r="AH28" s="28">
        <v>3</v>
      </c>
      <c r="AI28" s="213">
        <f>((($W$25)^M28)*((1-($W$25))^($U$30-M28))*HLOOKUP($U$30,$AV$24:$BF$34,M28+1))*V30</f>
        <v>5.6016912594309631E-2</v>
      </c>
      <c r="AJ28" s="28">
        <v>3</v>
      </c>
      <c r="AK28" s="213">
        <f>((($W$25)^M28)*((1-($W$25))^($U$31-M28))*HLOOKUP($U$31,$AV$24:$BF$34,M28+1))*V31</f>
        <v>7.1817208469643595E-2</v>
      </c>
      <c r="AL28" s="28">
        <v>3</v>
      </c>
      <c r="AM28" s="213">
        <f>((($W$25)^Q28)*((1-($W$25))^($U$32-Q28))*HLOOKUP($U$32,$AV$24:$BF$34,Q28+1))*V32</f>
        <v>5.5357567421695758E-2</v>
      </c>
      <c r="AN28" s="28">
        <v>3</v>
      </c>
      <c r="AO28" s="213">
        <f>((($W$25)^Q28)*((1-($W$25))^($U$33-Q28))*HLOOKUP($U$33,$AV$24:$BF$34,Q28+1))*V33</f>
        <v>2.5706328064044461E-2</v>
      </c>
      <c r="AP28" s="28">
        <v>3</v>
      </c>
      <c r="AQ28" s="213">
        <f>((($W$25)^Q28)*((1-($W$25))^($U$34-Q28))*HLOOKUP($U$34,$AV$24:$BF$34,Q28+1))*V34</f>
        <v>6.6985153803150663E-3</v>
      </c>
      <c r="AR28" s="28">
        <v>3</v>
      </c>
      <c r="AS28" s="213">
        <f>((($W$25)^Q28)*((1-($W$25))^($U$35-Q28))*HLOOKUP($U$35,$AV$24:$BF$34,Q28+1))*V35</f>
        <v>7.8843852444526123E-4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3.626431679721121E-6</v>
      </c>
      <c r="BQ28" s="31">
        <f>BQ22+1</f>
        <v>7</v>
      </c>
      <c r="BR28" s="31">
        <v>4</v>
      </c>
      <c r="BS28" s="107">
        <f t="shared" si="16"/>
        <v>1.711248424933369E-4</v>
      </c>
    </row>
    <row r="29" spans="1:71" x14ac:dyDescent="0.25">
      <c r="A29" s="26" t="s">
        <v>118</v>
      </c>
      <c r="B29" s="206">
        <f>1/(1+EXP(-3.1416*4*((B14/(B14+C13))-(3.1416/6))))</f>
        <v>0.77412977274966732</v>
      </c>
      <c r="C29" s="207">
        <f>1/(1+EXP(-3.1416*4*((C14/(C14+B13))-(3.1416/6))))</f>
        <v>6.8406405269441528E-2</v>
      </c>
      <c r="D29" s="204">
        <v>0.04</v>
      </c>
      <c r="E29" s="204">
        <v>0.04</v>
      </c>
      <c r="G29" s="87">
        <v>4</v>
      </c>
      <c r="H29" s="126">
        <f>J29*L25+J28*L26+J27*L27+J26*L28</f>
        <v>0.16781963498725916</v>
      </c>
      <c r="I29" s="138">
        <v>4</v>
      </c>
      <c r="J29" s="86">
        <f t="shared" si="17"/>
        <v>0.13794752287548845</v>
      </c>
      <c r="K29" s="138">
        <v>4</v>
      </c>
      <c r="L29" s="86"/>
      <c r="M29" s="85">
        <v>4</v>
      </c>
      <c r="N29" s="210">
        <f>(($B$24)^M29)*((1-($B$24))^($B$21-M29))*HLOOKUP($B$21,$AV$24:$BF$34,M29+1)</f>
        <v>0.22813645762451029</v>
      </c>
      <c r="O29" s="72">
        <v>4</v>
      </c>
      <c r="P29" s="210">
        <f t="shared" si="18"/>
        <v>0.22813645762451029</v>
      </c>
      <c r="Q29" s="28">
        <v>4</v>
      </c>
      <c r="R29" s="211">
        <f>P25*N29+P26*N28+P27*N27+P28*N26+P29*N25</f>
        <v>0.13905106131654682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0.13786309662033952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4.4851076924032921E-3</v>
      </c>
      <c r="AH29" s="28">
        <v>4</v>
      </c>
      <c r="AI29" s="213">
        <f>((($W$25)^M29)*((1-($W$25))^($U$30-M29))*HLOOKUP($U$30,$AV$24:$BF$34,M29+1))*V30</f>
        <v>2.0676414785801386E-2</v>
      </c>
      <c r="AJ29" s="28">
        <v>4</v>
      </c>
      <c r="AK29" s="213">
        <f>((($W$25)^M29)*((1-($W$25))^($U$31-M29))*HLOOKUP($U$31,$AV$24:$BF$34,M29+1))*V31</f>
        <v>3.9762698147011825E-2</v>
      </c>
      <c r="AL29" s="28">
        <v>4</v>
      </c>
      <c r="AM29" s="213">
        <f>((($W$25)^Q29)*((1-($W$25))^($U$32-Q29))*HLOOKUP($U$32,$AV$24:$BF$34,Q29+1))*V32</f>
        <v>4.0866087491591561E-2</v>
      </c>
      <c r="AN29" s="28">
        <v>4</v>
      </c>
      <c r="AO29" s="213">
        <f>((($W$25)^Q29)*((1-($W$25))^($U$33-Q29))*HLOOKUP($U$33,$AV$24:$BF$34,Q29+1))*V33</f>
        <v>2.372117085073263E-2</v>
      </c>
      <c r="AP29" s="28">
        <v>4</v>
      </c>
      <c r="AQ29" s="213">
        <f>((($W$25)^Q29)*((1-($W$25))^($U$34-Q29))*HLOOKUP($U$34,$AV$24:$BF$34,Q29+1))*V34</f>
        <v>7.4174714048699918E-3</v>
      </c>
      <c r="AR29" s="28">
        <v>4</v>
      </c>
      <c r="AS29" s="213">
        <f>((($W$25)^Q29)*((1-($W$25))^($U$35-Q29))*HLOOKUP($U$35,$AV$24:$BF$34,Q29+1))*V35</f>
        <v>1.0185725030777588E-3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2.5147034157780245E-7</v>
      </c>
      <c r="BQ29" s="31">
        <f>BQ23+1</f>
        <v>7</v>
      </c>
      <c r="BR29" s="31">
        <v>5</v>
      </c>
      <c r="BS29" s="107">
        <f t="shared" si="16"/>
        <v>4.1694488542097094E-5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7.9190817062899446E-2</v>
      </c>
      <c r="I30" s="138">
        <v>5</v>
      </c>
      <c r="J30" s="86">
        <f t="shared" si="17"/>
        <v>5.3282322091141011E-2</v>
      </c>
      <c r="K30" s="138">
        <v>5</v>
      </c>
      <c r="L30" s="86"/>
      <c r="M30" s="85">
        <v>5</v>
      </c>
      <c r="N30" s="210">
        <f>(($B$24)^M30)*((1-($B$24))^($B$21-M30))*HLOOKUP($B$21,$AV$24:$BF$34,M30+1)</f>
        <v>6.0757274103506183E-2</v>
      </c>
      <c r="O30" s="72">
        <v>5</v>
      </c>
      <c r="P30" s="210">
        <f t="shared" si="18"/>
        <v>6.0757274103506183E-2</v>
      </c>
      <c r="Q30" s="28">
        <v>5</v>
      </c>
      <c r="R30" s="211">
        <f>P25*N30+P26*N29+P27*N28+P28*N27+P29*N26+P30*N25</f>
        <v>0.22219237209419737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0.22094553861361005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3.0527503826616419E-3</v>
      </c>
      <c r="AJ30" s="28">
        <v>5</v>
      </c>
      <c r="AK30" s="213">
        <f>((($W$25)^M30)*((1-($W$25))^($U$31-M30))*HLOOKUP($U$31,$AV$24:$BF$34,M30+1))*V31</f>
        <v>1.1741454525985412E-2</v>
      </c>
      <c r="AL30" s="28">
        <v>5</v>
      </c>
      <c r="AM30" s="213">
        <f>((($W$25)^Q30)*((1-($W$25))^($U$32-Q30))*HLOOKUP($U$32,$AV$24:$BF$34,Q30+1))*V32</f>
        <v>1.8100908526004645E-2</v>
      </c>
      <c r="AN30" s="28">
        <v>5</v>
      </c>
      <c r="AO30" s="213">
        <f>((($W$25)^Q30)*((1-($W$25))^($U$33-Q30))*HLOOKUP($U$33,$AV$24:$BF$34,Q30+1))*V33</f>
        <v>1.4009162447540741E-2</v>
      </c>
      <c r="AP30" s="28">
        <v>5</v>
      </c>
      <c r="AQ30" s="213">
        <f>((($W$25)^Q30)*((1-($W$25))^($U$34-Q30))*HLOOKUP($U$34,$AV$24:$BF$34,Q30+1))*V34</f>
        <v>5.4757289656300091E-3</v>
      </c>
      <c r="AR30" s="28">
        <v>5</v>
      </c>
      <c r="AS30" s="213">
        <f>((($W$25)^Q30)*((1-($W$25))^($U$35-Q30))*HLOOKUP($U$35,$AV$24:$BF$34,Q30+1))*V35</f>
        <v>9.023172433185653E-4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1.2205604033017591E-8</v>
      </c>
      <c r="BQ30" s="31">
        <f>BM10+1</f>
        <v>7</v>
      </c>
      <c r="BR30" s="31">
        <v>6</v>
      </c>
      <c r="BS30" s="107">
        <f t="shared" si="16"/>
        <v>7.6177061894448306E-6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0.42469897374422483</v>
      </c>
      <c r="C31" s="61">
        <f>(C25*E25)+(C26*E26)+(C27*E27)+(C28*E28)+(C29*E29)+(C30*E30)/(C25+C26+C27+C28+C29+C30)</f>
        <v>0.18470119008904248</v>
      </c>
      <c r="G31" s="87">
        <v>6</v>
      </c>
      <c r="H31" s="126">
        <f>J31*L25+J30*L26+J29*L27+J28*L28</f>
        <v>2.7391992377792312E-2</v>
      </c>
      <c r="I31" s="138">
        <v>6</v>
      </c>
      <c r="J31" s="86">
        <f t="shared" si="17"/>
        <v>1.431966299661565E-2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0.2465593581505853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0.24618945310232104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1.4446302775622854E-3</v>
      </c>
      <c r="AL31" s="28">
        <v>6</v>
      </c>
      <c r="AM31" s="213">
        <f>((($W$25)^Q31)*((1-($W$25))^($U$32-Q31))*HLOOKUP($U$32,$AV$24:$BF$34,Q31+1))*V32</f>
        <v>4.4541535207891182E-3</v>
      </c>
      <c r="AN31" s="28">
        <v>6</v>
      </c>
      <c r="AO31" s="213">
        <f>((($W$25)^Q31)*((1-($W$25))^($U$33-Q31))*HLOOKUP($U$33,$AV$24:$BF$34,Q31+1))*V33</f>
        <v>5.1709249966134224E-3</v>
      </c>
      <c r="AP31" s="28">
        <v>6</v>
      </c>
      <c r="AQ31" s="213">
        <f>((($W$25)^Q31)*((1-($W$25))^($U$34-Q31))*HLOOKUP($U$34,$AV$24:$BF$34,Q31+1))*V34</f>
        <v>2.6948633452413043E-3</v>
      </c>
      <c r="AR31" s="28">
        <v>6</v>
      </c>
      <c r="AS31" s="213">
        <f>((($W$25)^Q31)*((1-($W$25))^($U$35-Q31))*HLOOKUP($U$35,$AV$24:$BF$34,Q31+1))*V35</f>
        <v>5.5509085640951985E-4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6.1687816163994774E-3</v>
      </c>
      <c r="BQ31" s="31">
        <f t="shared" ref="BQ31:BQ37" si="23">BQ24+1</f>
        <v>8</v>
      </c>
      <c r="BR31" s="31">
        <v>0</v>
      </c>
      <c r="BS31" s="107">
        <f t="shared" ref="BS31:BS38" si="24">$H$33*H39</f>
        <v>4.2237805171898841E-4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7.0318782189389044E-3</v>
      </c>
      <c r="I32" s="138">
        <v>7</v>
      </c>
      <c r="J32" s="86">
        <f t="shared" si="17"/>
        <v>2.6471484817563603E-3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0.1876104536221499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0.1884884415659783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4.6973530696986998E-4</v>
      </c>
      <c r="AN32" s="28">
        <v>7</v>
      </c>
      <c r="AO32" s="213">
        <f>((($W$25)^Q32)*((1-($W$25))^($U$33-Q32))*HLOOKUP($U$33,$AV$24:$BF$34,Q32+1))*V33</f>
        <v>1.0906521426643835E-3</v>
      </c>
      <c r="AP32" s="28">
        <v>7</v>
      </c>
      <c r="AQ32" s="213">
        <f>((($W$25)^Q32)*((1-($W$25))^($U$34-Q32))*HLOOKUP($U$34,$AV$24:$BF$34,Q32+1))*V34</f>
        <v>8.5260136733758584E-4</v>
      </c>
      <c r="AR32" s="28">
        <v>7</v>
      </c>
      <c r="AS32" s="213">
        <f>((($W$25)^Q32)*((1-($W$25))^($U$35-Q32))*HLOOKUP($U$35,$AV$24:$BF$34,Q32+1))*V35</f>
        <v>2.341596647845213E-4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1.5030207810632868E-3</v>
      </c>
      <c r="BQ32" s="31">
        <f t="shared" si="23"/>
        <v>8</v>
      </c>
      <c r="BR32" s="31">
        <v>1</v>
      </c>
      <c r="BS32" s="107">
        <f t="shared" si="24"/>
        <v>4.97490835046191E-4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1.3405232217640858E-3</v>
      </c>
      <c r="I33" s="138">
        <v>8</v>
      </c>
      <c r="J33" s="86">
        <f t="shared" si="17"/>
        <v>3.2281769398021605E-4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9.3683237935427974E-2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9.5089516755194503E-2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1.0064271237184623E-4</v>
      </c>
      <c r="AP33" s="28">
        <v>8</v>
      </c>
      <c r="AQ33" s="213">
        <f>((($W$25)^Q33)*((1-($W$25))^($U$34-Q33))*HLOOKUP($U$34,$AV$24:$BF$34,Q33+1))*V34</f>
        <v>1.5735193802705329E-4</v>
      </c>
      <c r="AR33" s="28">
        <v>8</v>
      </c>
      <c r="AS33" s="213">
        <f>((($W$25)^Q33)*((1-($W$25))^($U$35-Q33))*HLOOKUP($U$35,$AV$24:$BF$34,Q33+1))*V35</f>
        <v>6.4823043581316493E-5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2.7460633544430877E-4</v>
      </c>
      <c r="BQ33" s="31">
        <f t="shared" si="23"/>
        <v>8</v>
      </c>
      <c r="BR33" s="31">
        <v>2</v>
      </c>
      <c r="BS33" s="107">
        <f t="shared" si="24"/>
        <v>2.7309682499096532E-4</v>
      </c>
    </row>
    <row r="34" spans="1:71" x14ac:dyDescent="0.25">
      <c r="A34" s="40" t="s">
        <v>123</v>
      </c>
      <c r="B34" s="56">
        <f>B23*2</f>
        <v>5.7110985738030742</v>
      </c>
      <c r="C34" s="57">
        <f>C23*2</f>
        <v>4.2889014261969258</v>
      </c>
      <c r="G34" s="87">
        <v>9</v>
      </c>
      <c r="H34" s="126">
        <f>J34*L25+J33*L26+J32*L27+J31*L28</f>
        <v>1.8773379851071459E-4</v>
      </c>
      <c r="I34" s="138">
        <v>9</v>
      </c>
      <c r="J34" s="86">
        <f t="shared" si="17"/>
        <v>2.354086743807453E-5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2.7721898577790588E-2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2.8713408240856393E-2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1.290671290079698E-5</v>
      </c>
      <c r="AR34" s="28">
        <v>9</v>
      </c>
      <c r="AS34" s="213">
        <f>((($W$25)^Q34)*((1-($W$25))^($U$35-Q34))*HLOOKUP($U$35,$AV$24:$BF$34,Q34+1))*V35</f>
        <v>1.063415453727755E-5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3.6713793208699907E-5</v>
      </c>
      <c r="BQ34" s="31">
        <f t="shared" si="23"/>
        <v>8</v>
      </c>
      <c r="BR34" s="31">
        <v>3</v>
      </c>
      <c r="BS34" s="107">
        <f t="shared" si="24"/>
        <v>1.0532013754551734E-4</v>
      </c>
    </row>
    <row r="35" spans="1:71" ht="15.75" thickBot="1" x14ac:dyDescent="0.3">
      <c r="G35" s="88">
        <v>10</v>
      </c>
      <c r="H35" s="127">
        <f>J35*L25+J34*L26+J33*L27+J32*L28</f>
        <v>1.8834855335769646E-5</v>
      </c>
      <c r="I35" s="94">
        <v>10</v>
      </c>
      <c r="J35" s="89">
        <f t="shared" si="17"/>
        <v>7.8503501862542189E-7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3.6914463564885831E-3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4.1122254313414874E-3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7.8503501862542189E-7</v>
      </c>
      <c r="BI35" s="31">
        <f t="shared" si="21"/>
        <v>3</v>
      </c>
      <c r="BJ35" s="31">
        <v>8</v>
      </c>
      <c r="BK35" s="107">
        <f t="shared" si="22"/>
        <v>3.5550122498866624E-6</v>
      </c>
      <c r="BQ35" s="31">
        <f t="shared" si="23"/>
        <v>8</v>
      </c>
      <c r="BR35" s="31">
        <v>4</v>
      </c>
      <c r="BS35" s="107">
        <f t="shared" si="24"/>
        <v>3.2622411543648037E-5</v>
      </c>
    </row>
    <row r="36" spans="1:71" ht="15.75" x14ac:dyDescent="0.25">
      <c r="A36" s="109" t="s">
        <v>124</v>
      </c>
      <c r="B36" s="219">
        <f>SUM(BO4:BO14)</f>
        <v>0.15070709602057442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0.99999999999999978</v>
      </c>
      <c r="BI36" s="31">
        <f t="shared" si="21"/>
        <v>3</v>
      </c>
      <c r="BJ36" s="31">
        <v>9</v>
      </c>
      <c r="BK36" s="107">
        <f t="shared" si="22"/>
        <v>2.4651785108523528E-7</v>
      </c>
      <c r="BQ36" s="31">
        <f t="shared" si="23"/>
        <v>8</v>
      </c>
      <c r="BR36" s="31">
        <v>5</v>
      </c>
      <c r="BS36" s="107">
        <f t="shared" si="24"/>
        <v>7.9484354492549511E-6</v>
      </c>
    </row>
    <row r="37" spans="1:71" ht="16.5" thickBot="1" x14ac:dyDescent="0.3">
      <c r="A37" s="110" t="s">
        <v>125</v>
      </c>
      <c r="B37" s="219">
        <f>SUM(BK4:BK59)</f>
        <v>0.12746837605585412</v>
      </c>
      <c r="G37" s="158"/>
      <c r="H37" s="266">
        <f>SUM(H39:H49)</f>
        <v>0.99999999843919074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1.0000000000000002</v>
      </c>
      <c r="S37" s="267"/>
      <c r="T37" s="266">
        <f>SUM(T39:T49)</f>
        <v>1</v>
      </c>
      <c r="U37" s="267"/>
      <c r="V37" s="208">
        <f>SUM(V39:V48)</f>
        <v>0.99974627984460462</v>
      </c>
      <c r="W37" s="158"/>
      <c r="X37" s="158"/>
      <c r="Y37" s="205">
        <f>SUM(Y39:Y49)</f>
        <v>3.6363510581871967E-3</v>
      </c>
      <c r="Z37" s="81"/>
      <c r="AA37" s="205">
        <f>SUM(AA39:AA49)</f>
        <v>2.7362965138965981E-2</v>
      </c>
      <c r="AB37" s="81"/>
      <c r="AC37" s="205">
        <f>SUM(AC39:AC49)</f>
        <v>9.269695996261347E-2</v>
      </c>
      <c r="AD37" s="81"/>
      <c r="AE37" s="205">
        <f>SUM(AE39:AE49)</f>
        <v>0.18620364457320007</v>
      </c>
      <c r="AF37" s="81"/>
      <c r="AG37" s="205">
        <f>SUM(AG39:AG49)</f>
        <v>0.24567250907734534</v>
      </c>
      <c r="AH37" s="81"/>
      <c r="AI37" s="205">
        <f>SUM(AI39:AI49)</f>
        <v>0.22255163423544669</v>
      </c>
      <c r="AJ37" s="81"/>
      <c r="AK37" s="205">
        <f>SUM(AK39:AK49)</f>
        <v>0.14029376983616174</v>
      </c>
      <c r="AL37" s="81"/>
      <c r="AM37" s="205">
        <f>SUM(AM39:AM49)</f>
        <v>6.0861887470921749E-2</v>
      </c>
      <c r="AN37" s="81"/>
      <c r="AO37" s="205">
        <f>SUM(AO39:AO49)</f>
        <v>1.7450030460532506E-2</v>
      </c>
      <c r="AP37" s="81"/>
      <c r="AQ37" s="205">
        <f>SUM(AQ39:AQ49)</f>
        <v>3.0165280312297585E-3</v>
      </c>
      <c r="AR37" s="81"/>
      <c r="AS37" s="205">
        <f>SUM(AS39:AS49)</f>
        <v>2.5372015539537601E-4</v>
      </c>
      <c r="BI37" s="31">
        <f t="shared" si="21"/>
        <v>3</v>
      </c>
      <c r="BJ37" s="31">
        <v>10</v>
      </c>
      <c r="BK37" s="107">
        <f t="shared" si="22"/>
        <v>1.1965225237051877E-8</v>
      </c>
      <c r="BQ37" s="31">
        <f t="shared" si="23"/>
        <v>8</v>
      </c>
      <c r="BR37" s="31">
        <v>6</v>
      </c>
      <c r="BS37" s="107">
        <f t="shared" si="24"/>
        <v>1.4522026300204794E-6</v>
      </c>
    </row>
    <row r="38" spans="1:71" ht="16.5" thickBot="1" x14ac:dyDescent="0.3">
      <c r="A38" s="111" t="s">
        <v>126</v>
      </c>
      <c r="B38" s="219">
        <f>SUM(BS4:BS47)</f>
        <v>0.72180434636020119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9.9506186402230508E-4</v>
      </c>
      <c r="BQ38" s="31">
        <f>BM11+1</f>
        <v>8</v>
      </c>
      <c r="BR38" s="31">
        <v>7</v>
      </c>
      <c r="BS38" s="107">
        <f t="shared" si="24"/>
        <v>1.9415381283697545E-7</v>
      </c>
    </row>
    <row r="39" spans="1:71" x14ac:dyDescent="0.25">
      <c r="G39" s="128">
        <v>0</v>
      </c>
      <c r="H39" s="129">
        <f>L39*J39</f>
        <v>0.31508447213853735</v>
      </c>
      <c r="I39" s="97">
        <v>0</v>
      </c>
      <c r="J39" s="98">
        <f t="shared" ref="J39:J49" si="28">Y39+AA39+AC39+AE39+AG39+AI39+AK39+AM39+AO39+AQ39+AS39</f>
        <v>0.43688938604537059</v>
      </c>
      <c r="K39" s="102">
        <v>0</v>
      </c>
      <c r="L39" s="98">
        <f>AH18</f>
        <v>0.72119964961981498</v>
      </c>
      <c r="M39" s="85">
        <v>0</v>
      </c>
      <c r="N39" s="210">
        <f>(1-$C$24)^$B$21</f>
        <v>6.0757274103506183E-2</v>
      </c>
      <c r="O39" s="72">
        <v>0</v>
      </c>
      <c r="P39" s="210">
        <f t="shared" ref="P39:P44" si="29">N39</f>
        <v>6.0757274103506183E-2</v>
      </c>
      <c r="Q39" s="28">
        <v>0</v>
      </c>
      <c r="R39" s="211">
        <f>P39*N39</f>
        <v>3.6914463564885831E-3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3.6363510581871967E-3</v>
      </c>
      <c r="W39" s="134">
        <f>C31</f>
        <v>0.18470119008904248</v>
      </c>
      <c r="X39" s="28">
        <v>0</v>
      </c>
      <c r="Y39" s="213">
        <f>V39</f>
        <v>3.6363510581871967E-3</v>
      </c>
      <c r="Z39" s="28">
        <v>0</v>
      </c>
      <c r="AA39" s="213">
        <f>((1-W39)^Z40)*V40</f>
        <v>2.2308992913433981E-2</v>
      </c>
      <c r="AB39" s="28">
        <v>0</v>
      </c>
      <c r="AC39" s="213">
        <f>(((1-$W$39)^AB41))*V41</f>
        <v>6.1616795503508542E-2</v>
      </c>
      <c r="AD39" s="28">
        <v>0</v>
      </c>
      <c r="AE39" s="213">
        <f>(((1-$W$39)^AB42))*V42</f>
        <v>0.10091102147480853</v>
      </c>
      <c r="AF39" s="28">
        <v>0</v>
      </c>
      <c r="AG39" s="213">
        <f>(((1-$W$39)^AB43))*V43</f>
        <v>0.10854849211418618</v>
      </c>
      <c r="AH39" s="28">
        <v>0</v>
      </c>
      <c r="AI39" s="213">
        <f>(((1-$W$39)^AB44))*V44</f>
        <v>8.0170543840121442E-2</v>
      </c>
      <c r="AJ39" s="28">
        <v>0</v>
      </c>
      <c r="AK39" s="213">
        <f>(((1-$W$39)^AB45))*V45</f>
        <v>4.1203986445228734E-2</v>
      </c>
      <c r="AL39" s="28">
        <v>0</v>
      </c>
      <c r="AM39" s="213">
        <f>(((1-$W$39)^AB46))*V46</f>
        <v>1.4573473494632238E-2</v>
      </c>
      <c r="AN39" s="28">
        <v>0</v>
      </c>
      <c r="AO39" s="213">
        <f>(((1-$W$39)^AB47))*V47</f>
        <v>3.4066746316564027E-3</v>
      </c>
      <c r="AP39" s="28">
        <v>0</v>
      </c>
      <c r="AQ39" s="213">
        <f>(((1-$W$39)^AB48))*V48</f>
        <v>4.8012977665511867E-4</v>
      </c>
      <c r="AR39" s="28">
        <v>0</v>
      </c>
      <c r="AS39" s="213">
        <f>(((1-$W$39)^AB49))*V49</f>
        <v>3.2924792952260682E-5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1.8180074118884901E-4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5.9152004806311035E-5</v>
      </c>
    </row>
    <row r="40" spans="1:71" x14ac:dyDescent="0.25">
      <c r="G40" s="91">
        <v>1</v>
      </c>
      <c r="H40" s="130">
        <f>L39*J40+L40*J39</f>
        <v>0.37111690940460468</v>
      </c>
      <c r="I40" s="138">
        <v>1</v>
      </c>
      <c r="J40" s="86">
        <f t="shared" si="28"/>
        <v>0.37707469764352375</v>
      </c>
      <c r="K40" s="95">
        <v>1</v>
      </c>
      <c r="L40" s="86">
        <f>AI18</f>
        <v>0.22699285620387871</v>
      </c>
      <c r="M40" s="85">
        <v>1</v>
      </c>
      <c r="N40" s="210">
        <f>(($C$24)^M26)*((1-($C$24))^($B$21-M26))*HLOOKUP($B$21,$AV$24:$BF$34,M26+1)</f>
        <v>0.22813645762451029</v>
      </c>
      <c r="O40" s="72">
        <v>1</v>
      </c>
      <c r="P40" s="210">
        <f t="shared" si="29"/>
        <v>0.22813645762451029</v>
      </c>
      <c r="Q40" s="28">
        <v>1</v>
      </c>
      <c r="R40" s="211">
        <f>P40*N39+P39*N40</f>
        <v>2.7721898577790588E-2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2.7362965138965981E-2</v>
      </c>
      <c r="W40" s="214"/>
      <c r="X40" s="28">
        <v>1</v>
      </c>
      <c r="Y40" s="211"/>
      <c r="Z40" s="28">
        <v>1</v>
      </c>
      <c r="AA40" s="213">
        <f>(1-((1-W39)^Z40))*V40</f>
        <v>5.0539722255319988E-3</v>
      </c>
      <c r="AB40" s="28">
        <v>1</v>
      </c>
      <c r="AC40" s="213">
        <f>((($W$39)^M40)*((1-($W$39))^($U$27-M40))*HLOOKUP($U$27,$AV$24:$BF$34,M40+1))*V41</f>
        <v>2.7917851272747783E-2</v>
      </c>
      <c r="AD40" s="28">
        <v>1</v>
      </c>
      <c r="AE40" s="213">
        <f>((($W$39)^M40)*((1-($W$39))^($U$28-M40))*HLOOKUP($U$28,$AV$24:$BF$34,M40+1))*V42</f>
        <v>6.8582410030257404E-2</v>
      </c>
      <c r="AF40" s="28">
        <v>1</v>
      </c>
      <c r="AG40" s="213">
        <f>((($W$39)^M40)*((1-($W$39))^($U$29-M40))*HLOOKUP($U$29,$AV$24:$BF$34,M40+1))*V43</f>
        <v>9.8364111082418396E-2</v>
      </c>
      <c r="AH40" s="28">
        <v>1</v>
      </c>
      <c r="AI40" s="213">
        <f>((($W$39)^M40)*((1-($W$39))^($U$30-M40))*HLOOKUP($U$30,$AV$24:$BF$34,M40+1))*V44</f>
        <v>9.0810845528974754E-2</v>
      </c>
      <c r="AJ40" s="28">
        <v>1</v>
      </c>
      <c r="AK40" s="213">
        <f>((($W$39)^M40)*((1-($W$39))^($U$31-M40))*HLOOKUP($U$31,$AV$24:$BF$34,M40+1))*V45</f>
        <v>5.6007136821487766E-2</v>
      </c>
      <c r="AL40" s="28">
        <v>1</v>
      </c>
      <c r="AM40" s="213">
        <f>((($W$39)^Q40)*((1-($W$39))^($U$32-Q40))*HLOOKUP($U$32,$AV$24:$BF$34,Q40+1))*V46</f>
        <v>2.3110747934718165E-2</v>
      </c>
      <c r="AN40" s="28">
        <v>1</v>
      </c>
      <c r="AO40" s="213">
        <f>((($W$39)^Q40)*((1-($W$39))^($U$33-Q40))*HLOOKUP($U$33,$AV$24:$BF$34,Q40+1))*V47</f>
        <v>6.1740981447703349E-3</v>
      </c>
      <c r="AP40" s="28">
        <v>1</v>
      </c>
      <c r="AQ40" s="213">
        <f>((($W$39)^Q40)*((1-($W$39))^($U$34-Q40))*HLOOKUP($U$34,$AV$24:$BF$34,Q40+1))*V48</f>
        <v>9.7893540454897267E-4</v>
      </c>
      <c r="AR40" s="28">
        <v>1</v>
      </c>
      <c r="AS40" s="213">
        <f>((($W$39)^Q40)*((1-($W$39))^($U$35-Q40))*HLOOKUP($U$35,$AV$24:$BF$34,Q40+1))*V49</f>
        <v>7.4589198068154028E-5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2.4306048170361343E-5</v>
      </c>
      <c r="BQ40" s="31">
        <f t="shared" si="30"/>
        <v>9</v>
      </c>
      <c r="BR40" s="31">
        <v>1</v>
      </c>
      <c r="BS40" s="107">
        <f t="shared" si="31"/>
        <v>6.9671187094083177E-5</v>
      </c>
    </row>
    <row r="41" spans="1:71" x14ac:dyDescent="0.25">
      <c r="G41" s="91">
        <v>2</v>
      </c>
      <c r="H41" s="130">
        <f>L39*J41+J40*L40+J39*L41</f>
        <v>0.20372405382995054</v>
      </c>
      <c r="I41" s="138">
        <v>2</v>
      </c>
      <c r="J41" s="86">
        <f t="shared" si="28"/>
        <v>0.14655595634854063</v>
      </c>
      <c r="K41" s="95">
        <v>2</v>
      </c>
      <c r="L41" s="86">
        <f>AJ18</f>
        <v>2.8461865265084207E-2</v>
      </c>
      <c r="M41" s="85">
        <v>2</v>
      </c>
      <c r="N41" s="210">
        <f>(($C$24)^M27)*((1-($C$24))^($B$21-M27))*HLOOKUP($B$21,$AV$24:$BF$34,M27+1)</f>
        <v>0.34265028552001148</v>
      </c>
      <c r="O41" s="72">
        <v>2</v>
      </c>
      <c r="P41" s="210">
        <f t="shared" si="29"/>
        <v>0.34265028552001148</v>
      </c>
      <c r="Q41" s="28">
        <v>2</v>
      </c>
      <c r="R41" s="211">
        <f>P41*N39+P40*N40+P39*N41</f>
        <v>9.3683237935427974E-2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9.269695996261347E-2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3.1623131863571384E-3</v>
      </c>
      <c r="AD41" s="28">
        <v>2</v>
      </c>
      <c r="AE41" s="213">
        <f>((($W$39)^M41)*((1-($W$39))^($U$28-M41))*HLOOKUP($U$28,$AV$24:$BF$34,M41+1))*V42</f>
        <v>1.5536944979898444E-2</v>
      </c>
      <c r="AF41" s="28">
        <v>2</v>
      </c>
      <c r="AG41" s="213">
        <f>((($W$39)^M41)*((1-($W$39))^($U$29-M41))*HLOOKUP($U$29,$AV$24:$BF$34,M41+1))*V43</f>
        <v>3.342572347362617E-2</v>
      </c>
      <c r="AH41" s="28">
        <v>2</v>
      </c>
      <c r="AI41" s="213">
        <f>((($W$39)^M41)*((1-($W$39))^($U$30-M41))*HLOOKUP($U$30,$AV$24:$BF$34,M41+1))*V44</f>
        <v>4.1145334785968067E-2</v>
      </c>
      <c r="AJ41" s="28">
        <v>2</v>
      </c>
      <c r="AK41" s="213">
        <f>((($W$39)^M41)*((1-($W$39))^($U$31-M41))*HLOOKUP($U$31,$AV$24:$BF$34,M41+1))*V45</f>
        <v>3.1720225451875743E-2</v>
      </c>
      <c r="AL41" s="28">
        <v>2</v>
      </c>
      <c r="AM41" s="213">
        <f>((($W$39)^Q41)*((1-($W$39))^($U$32-Q41))*HLOOKUP($U$32,$AV$24:$BF$34,Q41+1))*V46</f>
        <v>1.5706815447908667E-2</v>
      </c>
      <c r="AN41" s="28">
        <v>2</v>
      </c>
      <c r="AO41" s="213">
        <f>((($W$39)^Q41)*((1-($W$39))^($U$33-Q41))*HLOOKUP($U$33,$AV$24:$BF$34,Q41+1))*V47</f>
        <v>4.89547073319733E-3</v>
      </c>
      <c r="AP41" s="28">
        <v>2</v>
      </c>
      <c r="AQ41" s="213">
        <f>((($W$39)^Q41)*((1-($W$39))^($U$34-Q41))*HLOOKUP($U$34,$AV$24:$BF$34,Q41+1))*V48</f>
        <v>8.8708842472241887E-4</v>
      </c>
      <c r="AR41" s="28">
        <v>2</v>
      </c>
      <c r="AS41" s="213">
        <f>((($W$39)^Q41)*((1-($W$39))^($U$35-Q41))*HLOOKUP($U$35,$AV$24:$BF$34,Q41+1))*V49</f>
        <v>7.6039864986629735E-5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2.3535650075921349E-6</v>
      </c>
      <c r="BQ41" s="31">
        <f t="shared" si="30"/>
        <v>9</v>
      </c>
      <c r="BR41" s="31">
        <v>2</v>
      </c>
      <c r="BS41" s="107">
        <f t="shared" si="31"/>
        <v>3.8245890473497908E-5</v>
      </c>
    </row>
    <row r="42" spans="1:71" ht="15" customHeight="1" x14ac:dyDescent="0.25">
      <c r="G42" s="91">
        <v>3</v>
      </c>
      <c r="H42" s="130">
        <f>J42*L39+J41*L40+L42*J39+L41*J40</f>
        <v>7.8566440204534016E-2</v>
      </c>
      <c r="I42" s="138">
        <v>3</v>
      </c>
      <c r="J42" s="86">
        <f t="shared" si="28"/>
        <v>3.3787562668761852E-2</v>
      </c>
      <c r="K42" s="95">
        <v>3</v>
      </c>
      <c r="L42" s="86">
        <f>AK18</f>
        <v>2.3345628911222105E-2</v>
      </c>
      <c r="M42" s="85">
        <v>3</v>
      </c>
      <c r="N42" s="210">
        <f>(($C$24)^M28)*((1-($C$24))^($B$21-M28))*HLOOKUP($B$21,$AV$24:$BF$34,M28+1)</f>
        <v>0.25732234862739289</v>
      </c>
      <c r="O42" s="72">
        <v>3</v>
      </c>
      <c r="P42" s="210">
        <f t="shared" si="29"/>
        <v>0.25732234862739289</v>
      </c>
      <c r="Q42" s="28">
        <v>3</v>
      </c>
      <c r="R42" s="211">
        <f>P42*N39+P41*N40+P40*N41+P39*N42</f>
        <v>0.1876104536221499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0.1862036445732001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1.1732680882357023E-3</v>
      </c>
      <c r="AF42" s="28">
        <v>3</v>
      </c>
      <c r="AG42" s="213">
        <f>((($W$39)^M42)*((1-($W$39))^($U$29-M42))*HLOOKUP($U$29,$AV$24:$BF$34,M42+1))*V43</f>
        <v>5.0482684631419673E-3</v>
      </c>
      <c r="AH42" s="28">
        <v>3</v>
      </c>
      <c r="AI42" s="213">
        <f>((($W$39)^M42)*((1-($W$39))^($U$30-M42))*HLOOKUP($U$30,$AV$24:$BF$34,M42+1))*V44</f>
        <v>9.3212356122663355E-3</v>
      </c>
      <c r="AJ42" s="28">
        <v>3</v>
      </c>
      <c r="AK42" s="213">
        <f>((($W$39)^M42)*((1-($W$39))^($U$31-M42))*HLOOKUP($U$31,$AV$24:$BF$34,M42+1))*V45</f>
        <v>9.5813760871208235E-3</v>
      </c>
      <c r="AL42" s="28">
        <v>3</v>
      </c>
      <c r="AM42" s="213">
        <f>((($W$39)^Q42)*((1-($W$39))^($U$32-Q42))*HLOOKUP($U$32,$AV$24:$BF$34,Q42+1))*V46</f>
        <v>5.9304790474192862E-3</v>
      </c>
      <c r="AN42" s="28">
        <v>3</v>
      </c>
      <c r="AO42" s="213">
        <f>((($W$39)^Q42)*((1-($W$39))^($U$33-Q42))*HLOOKUP($U$33,$AV$24:$BF$34,Q42+1))*V47</f>
        <v>2.2180806827532991E-3</v>
      </c>
      <c r="AP42" s="28">
        <v>3</v>
      </c>
      <c r="AQ42" s="213">
        <f>((($W$39)^Q42)*((1-($W$39))^($U$34-Q42))*HLOOKUP($U$34,$AV$24:$BF$34,Q42+1))*V48</f>
        <v>4.6891765341362958E-4</v>
      </c>
      <c r="AR42" s="28">
        <v>3</v>
      </c>
      <c r="AS42" s="213">
        <f>((($W$39)^Q42)*((1-($W$39))^($U$35-Q42))*HLOOKUP($U$35,$AV$24:$BF$34,Q42+1))*V49</f>
        <v>4.5937034410813565E-5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1.6320500388698121E-7</v>
      </c>
      <c r="BQ42" s="31">
        <f t="shared" si="30"/>
        <v>9</v>
      </c>
      <c r="BR42" s="31">
        <v>3</v>
      </c>
      <c r="BS42" s="107">
        <f t="shared" si="31"/>
        <v>1.4749576255062096E-5</v>
      </c>
    </row>
    <row r="43" spans="1:71" ht="15" customHeight="1" x14ac:dyDescent="0.25">
      <c r="G43" s="91">
        <v>4</v>
      </c>
      <c r="H43" s="130">
        <f>J43*L39+J42*L40+J41*L41+J40*L42</f>
        <v>2.4335581073126049E-2</v>
      </c>
      <c r="I43" s="138">
        <v>4</v>
      </c>
      <c r="J43" s="86">
        <f t="shared" si="28"/>
        <v>5.118893047629281E-3</v>
      </c>
      <c r="K43" s="95">
        <v>4</v>
      </c>
      <c r="L43" s="86"/>
      <c r="M43" s="85">
        <v>4</v>
      </c>
      <c r="N43" s="210">
        <f>(($C$24)^M29)*((1-($C$24))^($B$21-M29))*HLOOKUP($B$21,$AV$24:$BF$34,M29+1)</f>
        <v>9.6621532071144975E-2</v>
      </c>
      <c r="O43" s="72">
        <v>4</v>
      </c>
      <c r="P43" s="210">
        <f t="shared" si="29"/>
        <v>9.6621532071144975E-2</v>
      </c>
      <c r="Q43" s="28">
        <v>4</v>
      </c>
      <c r="R43" s="211">
        <f>P43*N39+P42*N40+P41*N41+P40*N42+P39*N43</f>
        <v>0.2465593581505853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0.24567250907734536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2.8591394397262061E-4</v>
      </c>
      <c r="AH43" s="28">
        <v>4</v>
      </c>
      <c r="AI43" s="213">
        <f>((($W$39)^M43)*((1-($W$39))^($U$30-M43))*HLOOKUP($U$30,$AV$24:$BF$34,M43+1))*V44</f>
        <v>1.0558357805489657E-3</v>
      </c>
      <c r="AJ43" s="28">
        <v>4</v>
      </c>
      <c r="AK43" s="213">
        <f>((($W$39)^M43)*((1-($W$39))^($U$31-M43))*HLOOKUP($U$31,$AV$24:$BF$34,M43+1))*V45</f>
        <v>1.627953651289383E-3</v>
      </c>
      <c r="AL43" s="28">
        <v>4</v>
      </c>
      <c r="AM43" s="213">
        <f>((($W$39)^Q43)*((1-($W$39))^($U$32-Q43))*HLOOKUP($U$32,$AV$24:$BF$34,Q43+1))*V46</f>
        <v>1.3435154381938855E-3</v>
      </c>
      <c r="AN43" s="28">
        <v>4</v>
      </c>
      <c r="AO43" s="213">
        <f>((($W$39)^Q43)*((1-($W$39))^($U$33-Q43))*HLOOKUP($U$33,$AV$24:$BF$34,Q43+1))*V47</f>
        <v>6.2811655192835595E-4</v>
      </c>
      <c r="AP43" s="28">
        <v>4</v>
      </c>
      <c r="AQ43" s="213">
        <f>((($W$39)^Q43)*((1-($W$39))^($U$34-Q43))*HLOOKUP($U$34,$AV$24:$BF$34,Q43+1))*V48</f>
        <v>1.5934583907104732E-4</v>
      </c>
      <c r="AR43" s="28">
        <v>4</v>
      </c>
      <c r="AS43" s="213">
        <f>((($W$39)^Q43)*((1-($W$39))^($U$35-Q43))*HLOOKUP($U$35,$AV$24:$BF$34,Q43+1))*V49</f>
        <v>1.8211842625023717E-5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7.921473527069114E-9</v>
      </c>
      <c r="BQ43" s="31">
        <f t="shared" si="30"/>
        <v>9</v>
      </c>
      <c r="BR43" s="31">
        <v>4</v>
      </c>
      <c r="BS43" s="107">
        <f t="shared" si="31"/>
        <v>4.5686110738234054E-6</v>
      </c>
    </row>
    <row r="44" spans="1:71" ht="15" customHeight="1" thickBot="1" x14ac:dyDescent="0.3">
      <c r="G44" s="91">
        <v>5</v>
      </c>
      <c r="H44" s="130">
        <f>J44*L39+J43*L40+J42*L41+J41*L42</f>
        <v>5.9293530467865105E-3</v>
      </c>
      <c r="I44" s="138">
        <v>5</v>
      </c>
      <c r="J44" s="86">
        <f t="shared" si="28"/>
        <v>5.3286612874724334E-4</v>
      </c>
      <c r="K44" s="95">
        <v>5</v>
      </c>
      <c r="L44" s="86"/>
      <c r="M44" s="85">
        <v>5</v>
      </c>
      <c r="N44" s="210">
        <f>(($C$24)^M30)*((1-($C$24))^($B$21-M30))*HLOOKUP($B$21,$AV$24:$BF$34,M30+1)</f>
        <v>1.4512102053434273E-2</v>
      </c>
      <c r="O44" s="72">
        <v>5</v>
      </c>
      <c r="P44" s="210">
        <f t="shared" si="29"/>
        <v>1.4512102053434273E-2</v>
      </c>
      <c r="Q44" s="28">
        <v>5</v>
      </c>
      <c r="R44" s="211">
        <f>P44*N39+P43*N40+P42*N41+P41*N42+P40*N43+P39*N44</f>
        <v>0.22219237209419737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0.22255163423544674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4.7838687567147421E-5</v>
      </c>
      <c r="AJ44" s="28">
        <v>5</v>
      </c>
      <c r="AK44" s="213">
        <f>((($W$39)^M44)*((1-($W$39))^($U$31-M44))*HLOOKUP($U$31,$AV$24:$BF$34,M44+1))*V45</f>
        <v>1.4752136181128011E-4</v>
      </c>
      <c r="AL44" s="28">
        <v>5</v>
      </c>
      <c r="AM44" s="213">
        <f>((($W$39)^Q44)*((1-($W$39))^($U$32-Q44))*HLOOKUP($U$32,$AV$24:$BF$34,Q44+1))*V46</f>
        <v>1.8261935181618637E-4</v>
      </c>
      <c r="AN44" s="28">
        <v>5</v>
      </c>
      <c r="AO44" s="213">
        <f>((($W$39)^Q44)*((1-($W$39))^($U$33-Q44))*HLOOKUP($U$33,$AV$24:$BF$34,Q44+1))*V47</f>
        <v>1.1383691303900086E-4</v>
      </c>
      <c r="AP44" s="28">
        <v>5</v>
      </c>
      <c r="AQ44" s="213">
        <f>((($W$39)^Q44)*((1-($W$39))^($U$34-Q44))*HLOOKUP($U$34,$AV$24:$BF$34,Q44+1))*V48</f>
        <v>3.6098870444044709E-5</v>
      </c>
      <c r="AR44" s="28">
        <v>5</v>
      </c>
      <c r="AS44" s="213">
        <f>((($W$39)^Q44)*((1-($W$39))^($U$35-Q44))*HLOOKUP($U$35,$AV$24:$BF$34,Q44+1))*V49</f>
        <v>4.9509440695839157E-6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8.57882287640459E-5</v>
      </c>
      <c r="BQ44" s="31">
        <f t="shared" si="30"/>
        <v>9</v>
      </c>
      <c r="BR44" s="31">
        <v>5</v>
      </c>
      <c r="BS44" s="107">
        <f t="shared" si="31"/>
        <v>1.1131399701843105E-6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1.0833103123043457E-3</v>
      </c>
      <c r="I45" s="138">
        <v>6</v>
      </c>
      <c r="J45" s="86">
        <f t="shared" si="28"/>
        <v>3.8641676646431938E-5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0.13905106131654682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0.14029376983616176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5.5700173480108224E-6</v>
      </c>
      <c r="AL45" s="28">
        <v>6</v>
      </c>
      <c r="AM45" s="213">
        <f>((($W$39)^Q45)*((1-($W$39))^($U$32-Q45))*HLOOKUP($U$32,$AV$24:$BF$34,Q45+1))*V46</f>
        <v>1.3790449670603174E-5</v>
      </c>
      <c r="AN45" s="28">
        <v>6</v>
      </c>
      <c r="AO45" s="213">
        <f>((($W$39)^Q45)*((1-($W$39))^($U$33-Q45))*HLOOKUP($U$33,$AV$24:$BF$34,Q45+1))*V47</f>
        <v>1.2894544342989184E-5</v>
      </c>
      <c r="AP45" s="28">
        <v>6</v>
      </c>
      <c r="AQ45" s="213">
        <f>((($W$39)^Q45)*((1-($W$39))^($U$34-Q45))*HLOOKUP($U$34,$AV$24:$BF$34,Q45+1))*V48</f>
        <v>5.4519923663434991E-6</v>
      </c>
      <c r="AR45" s="28">
        <v>6</v>
      </c>
      <c r="AS45" s="213">
        <f>((($W$39)^Q45)*((1-($W$39))^($U$35-Q45))*HLOOKUP($U$35,$AV$24:$BF$34,Q45+1))*V49</f>
        <v>9.3467291848525558E-7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1.146955071334316E-5</v>
      </c>
      <c r="BQ45" s="31">
        <f t="shared" si="30"/>
        <v>9</v>
      </c>
      <c r="BR45" s="31">
        <v>6</v>
      </c>
      <c r="BS45" s="107">
        <f t="shared" si="31"/>
        <v>2.0337395989472333E-7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1.4483435250116385E-4</v>
      </c>
      <c r="I46" s="138">
        <v>7</v>
      </c>
      <c r="J46" s="86">
        <f t="shared" si="28"/>
        <v>1.9312633672225954E-6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5.9670910945257574E-2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6.0861887470921749E-2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4.4630656270878367E-7</v>
      </c>
      <c r="AN46" s="28">
        <v>7</v>
      </c>
      <c r="AO46" s="213">
        <f>((($W$39)^Q46)*((1-($W$39))^($U$33-Q46))*HLOOKUP($U$33,$AV$24:$BF$34,Q46+1))*V47</f>
        <v>8.3462394640881671E-7</v>
      </c>
      <c r="AP46" s="28">
        <v>7</v>
      </c>
      <c r="AQ46" s="213">
        <f>((($W$39)^Q46)*((1-($W$39))^($U$34-Q46))*HLOOKUP($U$34,$AV$24:$BF$34,Q46+1))*V48</f>
        <v>5.2933588774647998E-7</v>
      </c>
      <c r="AR46" s="28">
        <v>7</v>
      </c>
      <c r="AS46" s="213">
        <f>((($W$39)^Q46)*((1-($W$39))^($U$35-Q46))*HLOOKUP($U$35,$AV$24:$BF$34,Q46+1))*V49</f>
        <v>1.2099697035851509E-7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1.1106014857916971E-6</v>
      </c>
      <c r="BQ46" s="31">
        <f t="shared" si="30"/>
        <v>9</v>
      </c>
      <c r="BR46" s="31">
        <v>7</v>
      </c>
      <c r="BS46" s="107">
        <f t="shared" si="31"/>
        <v>2.7190303149883308E-8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1.4024372105032984E-5</v>
      </c>
      <c r="I47" s="138">
        <v>8</v>
      </c>
      <c r="J47" s="86">
        <f t="shared" si="28"/>
        <v>6.3893572090830095E-8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1.6804296827595534E-2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1.7450030460532506E-2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2.3634898380901254E-8</v>
      </c>
      <c r="AP47" s="28">
        <v>8</v>
      </c>
      <c r="AQ47" s="213">
        <f>((($W$39)^Q47)*((1-($W$39))^($U$34-Q47))*HLOOKUP($U$34,$AV$24:$BF$34,Q47+1))*V48</f>
        <v>2.9979489493641127E-8</v>
      </c>
      <c r="AR47" s="28">
        <v>8</v>
      </c>
      <c r="AS47" s="213">
        <f>((($W$39)^Q47)*((1-($W$39))^($U$35-Q47))*HLOOKUP($U$35,$AV$24:$BF$34,Q47+1))*V49</f>
        <v>1.0279184216287719E-8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7.7013262527623401E-8</v>
      </c>
      <c r="BQ47" s="31">
        <f>BM12+1</f>
        <v>9</v>
      </c>
      <c r="BR47" s="31">
        <v>8</v>
      </c>
      <c r="BS47" s="107">
        <f t="shared" si="31"/>
        <v>2.6328486470055487E-9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9.7250243631725042E-7</v>
      </c>
      <c r="I48" s="138">
        <v>9</v>
      </c>
      <c r="J48" s="86">
        <f t="shared" si="28"/>
        <v>1.2721174385598171E-9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2.8043630679512569E-3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3.0165280312297593E-3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7.5463094299843414E-10</v>
      </c>
      <c r="AR48" s="28">
        <v>9</v>
      </c>
      <c r="AS48" s="213">
        <f>((($W$39)^Q48)*((1-($W$39))^($U$35-Q48))*HLOOKUP($U$35,$AV$24:$BF$34,Q48+1))*V49</f>
        <v>5.1748649556138281E-10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3.7379890678367651E-9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4.7202304591298334E-8</v>
      </c>
      <c r="I49" s="94">
        <v>10</v>
      </c>
      <c r="J49" s="89">
        <f t="shared" si="28"/>
        <v>1.1723354728756955E-11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2.1060110600929126E-4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2.5372015539537607E-4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1.1723354728756955E-11</v>
      </c>
      <c r="BI49" s="31">
        <f>BQ14+1</f>
        <v>6</v>
      </c>
      <c r="BJ49" s="31">
        <v>0</v>
      </c>
      <c r="BK49" s="107">
        <f>$H$31*H39</f>
        <v>8.63079145917953E-3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5"/>
      <c r="J50" s="29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5"/>
      <c r="X50" s="158"/>
      <c r="Y50" s="158"/>
      <c r="BI50" s="31">
        <f>BI45+1</f>
        <v>6</v>
      </c>
      <c r="BJ50" s="31">
        <v>7</v>
      </c>
      <c r="BK50" s="107">
        <f>$H$31*H46</f>
        <v>3.9673014797543651E-6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3.8415549380438661E-7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2.6638779322986577E-8</v>
      </c>
    </row>
    <row r="53" spans="1:63" x14ac:dyDescent="0.25">
      <c r="BI53" s="31">
        <f>BI48+1</f>
        <v>6</v>
      </c>
      <c r="BJ53" s="31">
        <v>10</v>
      </c>
      <c r="BK53" s="107">
        <f>$H$31*H49</f>
        <v>1.2929651675790749E-9</v>
      </c>
    </row>
    <row r="54" spans="1:63" x14ac:dyDescent="0.25">
      <c r="BI54" s="31">
        <f>BI51+1</f>
        <v>7</v>
      </c>
      <c r="BJ54" s="31">
        <v>8</v>
      </c>
      <c r="BK54" s="107">
        <f>$H$32*H47</f>
        <v>9.8617676739675789E-8</v>
      </c>
    </row>
    <row r="55" spans="1:63" x14ac:dyDescent="0.25">
      <c r="BI55" s="31">
        <f>BI52+1</f>
        <v>7</v>
      </c>
      <c r="BJ55" s="31">
        <v>9</v>
      </c>
      <c r="BK55" s="107">
        <f>$H$32*H48</f>
        <v>6.838518699804292E-9</v>
      </c>
    </row>
    <row r="56" spans="1:63" x14ac:dyDescent="0.25">
      <c r="BI56" s="31">
        <f>BI53+1</f>
        <v>7</v>
      </c>
      <c r="BJ56" s="31">
        <v>10</v>
      </c>
      <c r="BK56" s="107">
        <f>$H$32*H49</f>
        <v>3.3192085753927058E-10</v>
      </c>
    </row>
    <row r="57" spans="1:63" x14ac:dyDescent="0.25">
      <c r="BI57" s="31">
        <f>BI55+1</f>
        <v>8</v>
      </c>
      <c r="BJ57" s="31">
        <v>9</v>
      </c>
      <c r="BK57" s="107">
        <f>$H$33*H48</f>
        <v>1.3036620991054233E-9</v>
      </c>
    </row>
    <row r="58" spans="1:63" x14ac:dyDescent="0.25">
      <c r="BI58" s="31">
        <f>BI56+1</f>
        <v>8</v>
      </c>
      <c r="BJ58" s="31">
        <v>10</v>
      </c>
      <c r="BK58" s="107">
        <f>$H$33*H49</f>
        <v>6.3275785425416937E-11</v>
      </c>
    </row>
    <row r="59" spans="1:63" x14ac:dyDescent="0.25">
      <c r="BI59" s="31">
        <f>BI58+1</f>
        <v>9</v>
      </c>
      <c r="BJ59" s="31">
        <v>10</v>
      </c>
      <c r="BK59" s="107">
        <f>$H$34*H49</f>
        <v>8.8614679393841803E-12</v>
      </c>
    </row>
  </sheetData>
  <mergeCells count="2">
    <mergeCell ref="Q1:R1"/>
    <mergeCell ref="B3:C3"/>
  </mergeCells>
  <conditionalFormatting sqref="H49">
    <cfRule type="cellIs" dxfId="139" priority="1" operator="greaterThan">
      <formula>0.15</formula>
    </cfRule>
  </conditionalFormatting>
  <conditionalFormatting sqref="H39:H49">
    <cfRule type="cellIs" dxfId="138" priority="2" operator="greaterThan">
      <formula>0.15</formula>
    </cfRule>
  </conditionalFormatting>
  <conditionalFormatting sqref="H49">
    <cfRule type="cellIs" dxfId="137" priority="3" operator="greaterThan">
      <formula>0.15</formula>
    </cfRule>
  </conditionalFormatting>
  <conditionalFormatting sqref="H39:H49">
    <cfRule type="cellIs" dxfId="136" priority="4" operator="greaterThan">
      <formula>0.15</formula>
    </cfRule>
  </conditionalFormatting>
  <conditionalFormatting sqref="H35">
    <cfRule type="cellIs" dxfId="135" priority="5" operator="greaterThan">
      <formula>0.15</formula>
    </cfRule>
  </conditionalFormatting>
  <conditionalFormatting sqref="H25:H35">
    <cfRule type="cellIs" dxfId="134" priority="6" operator="greaterThan">
      <formula>0.15</formula>
    </cfRule>
  </conditionalFormatting>
  <conditionalFormatting sqref="H35">
    <cfRule type="cellIs" dxfId="133" priority="7" operator="greaterThan">
      <formula>0.15</formula>
    </cfRule>
  </conditionalFormatting>
  <conditionalFormatting sqref="H25:H35">
    <cfRule type="cellIs" dxfId="132" priority="8" operator="greaterThan">
      <formula>0.15</formula>
    </cfRule>
  </conditionalFormatting>
  <conditionalFormatting sqref="V49">
    <cfRule type="cellIs" dxfId="131" priority="9" operator="greaterThan">
      <formula>0.15</formula>
    </cfRule>
  </conditionalFormatting>
  <conditionalFormatting sqref="V35">
    <cfRule type="cellIs" dxfId="130" priority="10" operator="greaterThan">
      <formula>0.15</formula>
    </cfRule>
  </conditionalFormatting>
  <conditionalFormatting sqref="V25:V35 V39:V49">
    <cfRule type="cellIs" dxfId="129" priority="11" operator="greaterThan">
      <formula>0.15</formula>
    </cfRule>
  </conditionalFormatting>
  <conditionalFormatting sqref="V49">
    <cfRule type="cellIs" dxfId="128" priority="12" operator="greaterThan">
      <formula>0.15</formula>
    </cfRule>
  </conditionalFormatting>
  <conditionalFormatting sqref="V35">
    <cfRule type="cellIs" dxfId="127" priority="13" operator="greaterThan">
      <formula>0.15</formula>
    </cfRule>
  </conditionalFormatting>
  <conditionalFormatting sqref="V25:V35 V39:V49">
    <cfRule type="cellIs" dxfId="12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2" t="s">
        <v>156</v>
      </c>
      <c r="Q1" s="302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145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304" t="s">
        <v>161</v>
      </c>
      <c r="C3" s="304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148</v>
      </c>
      <c r="Q3" t="s">
        <v>8</v>
      </c>
      <c r="R3" s="16" t="s">
        <v>149</v>
      </c>
      <c r="Y3" t="s">
        <v>7</v>
      </c>
      <c r="Z3" s="19" t="s">
        <v>148</v>
      </c>
      <c r="AA3" t="s">
        <v>8</v>
      </c>
      <c r="AB3" s="1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159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151</v>
      </c>
      <c r="X7" s="15" t="s">
        <v>152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155</v>
      </c>
      <c r="L19" s="13" t="s">
        <v>155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27" priority="1" operator="greaterThan">
      <formula>0.15</formula>
    </cfRule>
  </conditionalFormatting>
  <conditionalFormatting sqref="H38:H48">
    <cfRule type="cellIs" dxfId="26" priority="2" operator="greaterThan">
      <formula>0.15</formula>
    </cfRule>
  </conditionalFormatting>
  <conditionalFormatting sqref="H48">
    <cfRule type="cellIs" dxfId="25" priority="3" operator="greaterThan">
      <formula>0.15</formula>
    </cfRule>
  </conditionalFormatting>
  <conditionalFormatting sqref="H38:H48">
    <cfRule type="cellIs" dxfId="24" priority="4" operator="greaterThan">
      <formula>0.15</formula>
    </cfRule>
  </conditionalFormatting>
  <conditionalFormatting sqref="H34">
    <cfRule type="cellIs" dxfId="23" priority="5" operator="greaterThan">
      <formula>0.15</formula>
    </cfRule>
  </conditionalFormatting>
  <conditionalFormatting sqref="H24:H34">
    <cfRule type="cellIs" dxfId="22" priority="6" operator="greaterThan">
      <formula>0.15</formula>
    </cfRule>
  </conditionalFormatting>
  <conditionalFormatting sqref="H34">
    <cfRule type="cellIs" dxfId="21" priority="7" operator="greaterThan">
      <formula>0.15</formula>
    </cfRule>
  </conditionalFormatting>
  <conditionalFormatting sqref="H24:H34">
    <cfRule type="cellIs" dxfId="20" priority="8" operator="greaterThan">
      <formula>0.15</formula>
    </cfRule>
  </conditionalFormatting>
  <conditionalFormatting sqref="V48">
    <cfRule type="cellIs" dxfId="19" priority="9" operator="greaterThan">
      <formula>0.15</formula>
    </cfRule>
  </conditionalFormatting>
  <conditionalFormatting sqref="V34">
    <cfRule type="cellIs" dxfId="18" priority="10" operator="greaterThan">
      <formula>0.15</formula>
    </cfRule>
  </conditionalFormatting>
  <conditionalFormatting sqref="V24:V34 V38:V48">
    <cfRule type="cellIs" dxfId="17" priority="11" operator="greaterThan">
      <formula>0.15</formula>
    </cfRule>
  </conditionalFormatting>
  <conditionalFormatting sqref="V48">
    <cfRule type="cellIs" dxfId="16" priority="12" operator="greaterThan">
      <formula>0.15</formula>
    </cfRule>
  </conditionalFormatting>
  <conditionalFormatting sqref="V34">
    <cfRule type="cellIs" dxfId="15" priority="13" operator="greaterThan">
      <formula>0.15</formula>
    </cfRule>
  </conditionalFormatting>
  <conditionalFormatting sqref="V24:V34 V38:V48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7F1-1CAE-4DA9-AB72-A92AC76E9BE6}">
  <sheetPr>
    <tabColor theme="9" tint="-0.249977111117893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0"/>
      <c r="R1" s="300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5" t="s">
        <v>189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0.61132796257796262</v>
      </c>
      <c r="U2" s="256">
        <f t="shared" si="0"/>
        <v>0.61556133056133056</v>
      </c>
      <c r="V2" s="158"/>
      <c r="W2" s="158"/>
      <c r="X2" s="290">
        <f t="shared" ref="X2:Y2" si="1">SUM(X4:X15)</f>
        <v>0.32720839397089391</v>
      </c>
      <c r="Y2" s="291">
        <f t="shared" si="1"/>
        <v>0.33820259875259878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4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1" t="s">
        <v>5</v>
      </c>
      <c r="C3" s="301"/>
      <c r="D3" s="31" t="str">
        <f>IF(B3="Sol","SI",IF(B3="Lluvia","SI","NO"))</f>
        <v>SI</v>
      </c>
      <c r="E3" s="248"/>
      <c r="F3" s="249"/>
      <c r="G3" s="279" t="s">
        <v>37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2</v>
      </c>
      <c r="F4" s="279" t="s">
        <v>162</v>
      </c>
      <c r="G4" s="279" t="s">
        <v>1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1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3.7499999999999999E-2</v>
      </c>
      <c r="U4" s="265">
        <f t="shared" ref="U4:U9" si="5">IF(S4=0,0,IF(P4=0,S4*Q4/L4,S4*Q4/(L4*2)))</f>
        <v>7.4999999999999997E-2</v>
      </c>
      <c r="V4" s="255">
        <f>$G$17</f>
        <v>0.56999999999999995</v>
      </c>
      <c r="W4" s="253">
        <f>$H$17</f>
        <v>0.56999999999999995</v>
      </c>
      <c r="X4" s="288">
        <f>V4*T4</f>
        <v>2.1374999999999998E-2</v>
      </c>
      <c r="Y4" s="289">
        <f>W4*U4</f>
        <v>4.2749999999999996E-2</v>
      </c>
      <c r="Z4" s="227"/>
      <c r="AA4" s="281">
        <f t="shared" ref="AA4:AA14" si="6">X5</f>
        <v>2.4937499999999998E-2</v>
      </c>
      <c r="AB4" s="282">
        <f t="shared" ref="AB4:AB15" si="7">(1-AA4)</f>
        <v>0.97506250000000005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4.2749999999999996E-2</v>
      </c>
      <c r="AH4" s="284">
        <f t="shared" ref="AH4:AH15" si="8">(1-AG4)</f>
        <v>0.95725000000000005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5.7610778543419908E-2</v>
      </c>
      <c r="BM4" s="31">
        <v>0</v>
      </c>
      <c r="BN4" s="31">
        <v>0</v>
      </c>
      <c r="BO4" s="107">
        <f>H25*H39</f>
        <v>2.293973436514574E-2</v>
      </c>
      <c r="BQ4" s="31">
        <v>1</v>
      </c>
      <c r="BR4" s="31">
        <v>0</v>
      </c>
      <c r="BS4" s="107">
        <f>$H$26*H39</f>
        <v>3.4233383364159931E-2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144</v>
      </c>
      <c r="G5" s="279" t="s">
        <v>2</v>
      </c>
      <c r="H5" s="279" t="s">
        <v>162</v>
      </c>
      <c r="I5" s="279" t="s">
        <v>162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1</v>
      </c>
      <c r="Q5" s="251">
        <f>COUNTIF(E10:I11,"IMP")</f>
        <v>0</v>
      </c>
      <c r="R5" s="258">
        <f t="shared" si="2"/>
        <v>0.35</v>
      </c>
      <c r="S5" s="258">
        <f t="shared" si="3"/>
        <v>0.35</v>
      </c>
      <c r="T5" s="263">
        <f t="shared" si="4"/>
        <v>4.3749999999999997E-2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2.4937499999999998E-2</v>
      </c>
      <c r="Y5" s="289">
        <f t="shared" si="11"/>
        <v>0</v>
      </c>
      <c r="Z5" s="236"/>
      <c r="AA5" s="281">
        <f t="shared" si="6"/>
        <v>7.7884615384615392E-3</v>
      </c>
      <c r="AB5" s="282">
        <f t="shared" si="7"/>
        <v>0.99221153846153842</v>
      </c>
      <c r="AC5" s="282">
        <f>AA5*PRODUCT(AB3:AB4)*PRODUCT(AB6:AB17)</f>
        <v>5.7267107733453013E-3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1.6717846991821587E-3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6.6535347672851478E-2</v>
      </c>
      <c r="BM5" s="31">
        <v>1</v>
      </c>
      <c r="BN5" s="31">
        <v>1</v>
      </c>
      <c r="BO5" s="107">
        <f>$H$26*H40</f>
        <v>8.5973614009286867E-2</v>
      </c>
      <c r="BQ5" s="31">
        <f>BQ4+1</f>
        <v>2</v>
      </c>
      <c r="BR5" s="31">
        <v>0</v>
      </c>
      <c r="BS5" s="107">
        <f>$H$27*H39</f>
        <v>2.3681325339393273E-2</v>
      </c>
    </row>
    <row r="6" spans="1:71" ht="15.75" x14ac:dyDescent="0.25">
      <c r="A6" s="2" t="s">
        <v>35</v>
      </c>
      <c r="B6" s="269">
        <v>9.75</v>
      </c>
      <c r="C6" s="270">
        <v>8.75</v>
      </c>
      <c r="E6" s="248"/>
      <c r="F6" s="279" t="s">
        <v>6</v>
      </c>
      <c r="G6" s="279" t="s">
        <v>162</v>
      </c>
      <c r="H6" s="279" t="s">
        <v>37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1</v>
      </c>
      <c r="Q6" s="251">
        <f>COUNTIF(E9:I11,"IMP")</f>
        <v>2</v>
      </c>
      <c r="R6" s="258">
        <f t="shared" si="2"/>
        <v>0.45</v>
      </c>
      <c r="S6" s="258">
        <f t="shared" si="3"/>
        <v>0.45</v>
      </c>
      <c r="T6" s="263">
        <f t="shared" si="4"/>
        <v>1.7307692307692309E-2</v>
      </c>
      <c r="U6" s="265">
        <f t="shared" si="5"/>
        <v>3.4615384615384617E-2</v>
      </c>
      <c r="V6" s="255">
        <f>$G$18</f>
        <v>0.45</v>
      </c>
      <c r="W6" s="253">
        <f>$H$18</f>
        <v>0.45</v>
      </c>
      <c r="X6" s="288">
        <f t="shared" si="11"/>
        <v>7.7884615384615392E-3</v>
      </c>
      <c r="Y6" s="289">
        <f t="shared" si="11"/>
        <v>1.5576923076923078E-2</v>
      </c>
      <c r="Z6" s="236"/>
      <c r="AA6" s="281">
        <f t="shared" si="6"/>
        <v>2.2500000000000003E-3</v>
      </c>
      <c r="AB6" s="282">
        <f t="shared" si="7"/>
        <v>0.99775000000000003</v>
      </c>
      <c r="AC6" s="282">
        <f>AA6*PRODUCT(AB3:AB5)*PRODUCT(AB7:AB17)</f>
        <v>1.6451997124126557E-3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4.765690897339923E-4</v>
      </c>
      <c r="AE6" s="220"/>
      <c r="AF6" s="234"/>
      <c r="AG6" s="283">
        <f t="shared" si="12"/>
        <v>1.5576923076923078E-2</v>
      </c>
      <c r="AH6" s="284">
        <f t="shared" si="8"/>
        <v>0.98442307692307696</v>
      </c>
      <c r="AI6" s="284">
        <f>AG6*PRODUCT(AH3:AH5)*PRODUCT(AH7:AH17)</f>
        <v>1.1120580169696515E-2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3.4220004368150491E-3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4.8192063144139111E-2</v>
      </c>
      <c r="BM6" s="31">
        <f>BI14+1</f>
        <v>2</v>
      </c>
      <c r="BN6" s="31">
        <v>2</v>
      </c>
      <c r="BO6" s="107">
        <f>$H$27*H41</f>
        <v>6.8686288591224873E-2</v>
      </c>
      <c r="BQ6" s="31">
        <f>BM5+1</f>
        <v>2</v>
      </c>
      <c r="BR6" s="31">
        <v>1</v>
      </c>
      <c r="BS6" s="107">
        <f>$H$27*H40</f>
        <v>5.947320784216921E-2</v>
      </c>
    </row>
    <row r="7" spans="1:71" ht="15.75" x14ac:dyDescent="0.25">
      <c r="A7" s="5" t="s">
        <v>40</v>
      </c>
      <c r="B7" s="269">
        <v>14.5</v>
      </c>
      <c r="C7" s="270">
        <v>14.75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2</v>
      </c>
      <c r="Q7" s="251">
        <f>COUNTIF(E4:I4,"IMP")+COUNTIF(F5:H5,"IMP")</f>
        <v>0</v>
      </c>
      <c r="R7" s="258">
        <f t="shared" si="2"/>
        <v>0.02</v>
      </c>
      <c r="S7" s="258">
        <f t="shared" si="3"/>
        <v>0.02</v>
      </c>
      <c r="T7" s="263">
        <f t="shared" si="4"/>
        <v>5.0000000000000001E-3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2.2500000000000003E-3</v>
      </c>
      <c r="Y7" s="289">
        <f t="shared" si="11"/>
        <v>0</v>
      </c>
      <c r="Z7" s="236"/>
      <c r="AA7" s="281">
        <f t="shared" si="6"/>
        <v>1.7812499999999998E-2</v>
      </c>
      <c r="AB7" s="282">
        <f t="shared" si="7"/>
        <v>0.98218749999999999</v>
      </c>
      <c r="AC7" s="282">
        <f>AA7*PRODUCT(AB3:AB6)*PRODUCT(AB8:AB17)</f>
        <v>1.3230867429477062E-2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3.5926693366208837E-3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2.5423827877629309E-2</v>
      </c>
      <c r="BM7" s="31">
        <f>BI23+1</f>
        <v>3</v>
      </c>
      <c r="BN7" s="31">
        <v>3</v>
      </c>
      <c r="BO7" s="107">
        <f>$H$28*H42</f>
        <v>2.2807161280575416E-2</v>
      </c>
      <c r="BQ7" s="31">
        <f>BQ5+1</f>
        <v>3</v>
      </c>
      <c r="BR7" s="31">
        <v>0</v>
      </c>
      <c r="BS7" s="107">
        <f>$H$28*H39</f>
        <v>1.0856356571301204E-2</v>
      </c>
    </row>
    <row r="8" spans="1:71" ht="15.75" x14ac:dyDescent="0.25">
      <c r="A8" s="5" t="s">
        <v>44</v>
      </c>
      <c r="B8" s="269">
        <v>13.5</v>
      </c>
      <c r="C8" s="270">
        <v>15.25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1</v>
      </c>
      <c r="Q8" s="251">
        <f>COUNTIF(E10:I11,"RAP")</f>
        <v>6</v>
      </c>
      <c r="R8" s="258">
        <f t="shared" si="2"/>
        <v>0.5</v>
      </c>
      <c r="S8" s="258">
        <f t="shared" si="3"/>
        <v>0.5</v>
      </c>
      <c r="T8" s="263">
        <f t="shared" si="4"/>
        <v>3.125E-2</v>
      </c>
      <c r="U8" s="265">
        <f t="shared" si="5"/>
        <v>0.1875</v>
      </c>
      <c r="V8" s="255">
        <f>$G$17</f>
        <v>0.56999999999999995</v>
      </c>
      <c r="W8" s="253">
        <f>$H$17</f>
        <v>0.56999999999999995</v>
      </c>
      <c r="X8" s="288">
        <f t="shared" si="11"/>
        <v>1.7812499999999998E-2</v>
      </c>
      <c r="Y8" s="289">
        <f t="shared" si="11"/>
        <v>0.106875</v>
      </c>
      <c r="Z8" s="236"/>
      <c r="AA8" s="281">
        <f t="shared" si="6"/>
        <v>1.7812499999999998E-2</v>
      </c>
      <c r="AB8" s="282">
        <f t="shared" si="7"/>
        <v>0.98218749999999999</v>
      </c>
      <c r="AC8" s="282">
        <f>AA8*PRODUCT(AB3:AB7)*PRODUCT(AB9:AB17)</f>
        <v>1.3230867429477062E-2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3.3527204204642841E-3</v>
      </c>
      <c r="AE8" s="220"/>
      <c r="AF8" s="234"/>
      <c r="AG8" s="283">
        <f t="shared" si="12"/>
        <v>0.106875</v>
      </c>
      <c r="AH8" s="284">
        <f t="shared" si="8"/>
        <v>0.89312499999999995</v>
      </c>
      <c r="AI8" s="284">
        <f>AG8*PRODUCT(AH3:AH7)*PRODUCT(AH9:AH17)</f>
        <v>8.4099117322514003E-2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1.5815149904806734E-2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1.0688585453963097E-2</v>
      </c>
      <c r="BM8" s="31">
        <f>BI31+1</f>
        <v>4</v>
      </c>
      <c r="BN8" s="31">
        <v>4</v>
      </c>
      <c r="BO8" s="107">
        <f>$H$29*H43</f>
        <v>4.299267881317975E-3</v>
      </c>
      <c r="BQ8" s="31">
        <f>BQ6+1</f>
        <v>3</v>
      </c>
      <c r="BR8" s="31">
        <v>1</v>
      </c>
      <c r="BS8" s="107">
        <f>$H$28*H40</f>
        <v>2.7264620603799288E-2</v>
      </c>
    </row>
    <row r="9" spans="1:71" ht="15.75" x14ac:dyDescent="0.25">
      <c r="A9" s="5" t="s">
        <v>47</v>
      </c>
      <c r="B9" s="269">
        <v>14.5</v>
      </c>
      <c r="C9" s="270">
        <v>14.75</v>
      </c>
      <c r="E9" s="280" t="s">
        <v>37</v>
      </c>
      <c r="F9" s="280" t="s">
        <v>162</v>
      </c>
      <c r="G9" s="280" t="s">
        <v>162</v>
      </c>
      <c r="H9" s="280" t="s">
        <v>162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1</v>
      </c>
      <c r="Q9" s="251">
        <f>COUNTIF(E10:I11,"RAP")</f>
        <v>6</v>
      </c>
      <c r="R9" s="258">
        <f t="shared" si="2"/>
        <v>0.5</v>
      </c>
      <c r="S9" s="258">
        <f t="shared" si="3"/>
        <v>0.5</v>
      </c>
      <c r="T9" s="263">
        <f t="shared" si="4"/>
        <v>3.125E-2</v>
      </c>
      <c r="U9" s="265">
        <f t="shared" si="5"/>
        <v>0.1875</v>
      </c>
      <c r="V9" s="255">
        <f>$G$17</f>
        <v>0.56999999999999995</v>
      </c>
      <c r="W9" s="253">
        <f>$H$17</f>
        <v>0.56999999999999995</v>
      </c>
      <c r="X9" s="288">
        <f t="shared" si="11"/>
        <v>1.7812499999999998E-2</v>
      </c>
      <c r="Y9" s="289">
        <f t="shared" si="11"/>
        <v>0.106875</v>
      </c>
      <c r="Z9" s="236"/>
      <c r="AA9" s="281">
        <f t="shared" si="6"/>
        <v>3.5574324324324315E-2</v>
      </c>
      <c r="AB9" s="282">
        <f t="shared" si="7"/>
        <v>0.96442567567567572</v>
      </c>
      <c r="AC9" s="282">
        <f>AA9*PRODUCT(AB3:AB8)*PRODUCT(AB10:AB17)</f>
        <v>2.6910746141869616E-2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5.8265766718096834E-3</v>
      </c>
      <c r="AE9" s="220"/>
      <c r="AF9" s="234"/>
      <c r="AG9" s="283">
        <f t="shared" si="12"/>
        <v>0.106875</v>
      </c>
      <c r="AH9" s="284">
        <f t="shared" si="8"/>
        <v>0.89312499999999995</v>
      </c>
      <c r="AI9" s="284">
        <f>AG9*PRODUCT(AH3:AH8)*PRODUCT(AH10:AH17)</f>
        <v>8.4099117322514003E-2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5.7515046548767884E-3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3.7087654084374706E-3</v>
      </c>
      <c r="BM9" s="31">
        <f>BI38+1</f>
        <v>5</v>
      </c>
      <c r="BN9" s="31">
        <v>5</v>
      </c>
      <c r="BO9" s="107">
        <f>$H$30*H44</f>
        <v>5.254175427747644E-4</v>
      </c>
      <c r="BQ9" s="31">
        <f>BM6+1</f>
        <v>3</v>
      </c>
      <c r="BR9" s="31">
        <v>2</v>
      </c>
      <c r="BS9" s="107">
        <f>$H$28*H41</f>
        <v>3.1488222463005935E-2</v>
      </c>
    </row>
    <row r="10" spans="1:71" ht="15.75" x14ac:dyDescent="0.25">
      <c r="A10" s="6" t="s">
        <v>50</v>
      </c>
      <c r="B10" s="269">
        <v>7.75</v>
      </c>
      <c r="C10" s="270">
        <v>13.5</v>
      </c>
      <c r="E10" s="280" t="s">
        <v>1</v>
      </c>
      <c r="F10" s="280" t="s">
        <v>1</v>
      </c>
      <c r="G10" s="280" t="s">
        <v>1</v>
      </c>
      <c r="H10" s="280" t="s">
        <v>162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7.9054054054054038E-2</v>
      </c>
      <c r="U10" s="265">
        <f>S10*G14</f>
        <v>7.0945945945945957E-2</v>
      </c>
      <c r="V10" s="255">
        <f>$G$18</f>
        <v>0.45</v>
      </c>
      <c r="W10" s="253">
        <f>$H$18</f>
        <v>0.45</v>
      </c>
      <c r="X10" s="288">
        <f t="shared" si="11"/>
        <v>3.5574324324324315E-2</v>
      </c>
      <c r="Y10" s="289">
        <f t="shared" si="11"/>
        <v>3.1925675675675683E-2</v>
      </c>
      <c r="Z10" s="236"/>
      <c r="AA10" s="281">
        <f t="shared" si="6"/>
        <v>6.0608108108108107E-2</v>
      </c>
      <c r="AB10" s="282">
        <f t="shared" si="7"/>
        <v>0.93939189189189187</v>
      </c>
      <c r="AC10" s="282">
        <f>AA10*PRODUCT(AB3:AB9)*PRODUCT(AB11:AB17)</f>
        <v>4.7069736114973587E-2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7.1544313611635376E-3</v>
      </c>
      <c r="AE10" s="220"/>
      <c r="AF10" s="234"/>
      <c r="AG10" s="283">
        <f t="shared" si="12"/>
        <v>3.1925675675675683E-2</v>
      </c>
      <c r="AH10" s="284">
        <f t="shared" si="8"/>
        <v>0.96807432432432428</v>
      </c>
      <c r="AI10" s="284">
        <f>AG10*PRODUCT(AH3:AH9)*PRODUCT(AH11:AH17)</f>
        <v>2.317709237600973E-2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8.207253668042376E-4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1.0471780121476914E-3</v>
      </c>
      <c r="BM10" s="31">
        <f>BI44+1</f>
        <v>6</v>
      </c>
      <c r="BN10" s="31">
        <v>6</v>
      </c>
      <c r="BO10" s="107">
        <f>$H$31*H45</f>
        <v>4.1935762450378099E-5</v>
      </c>
      <c r="BQ10" s="31">
        <f>BQ7+1</f>
        <v>4</v>
      </c>
      <c r="BR10" s="31">
        <v>0</v>
      </c>
      <c r="BS10" s="107">
        <f>$H$29*H39</f>
        <v>3.8791980356670682E-3</v>
      </c>
    </row>
    <row r="11" spans="1:71" ht="15.75" x14ac:dyDescent="0.25">
      <c r="A11" s="6" t="s">
        <v>53</v>
      </c>
      <c r="B11" s="269">
        <v>8.25</v>
      </c>
      <c r="C11" s="270">
        <v>12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0</v>
      </c>
      <c r="R11" s="258">
        <f t="shared" si="2"/>
        <v>0.23</v>
      </c>
      <c r="S11" s="258">
        <f t="shared" si="3"/>
        <v>0.23</v>
      </c>
      <c r="T11" s="263">
        <f>IF(P11&gt;0,S11*G13,0)</f>
        <v>0.12121621621621621</v>
      </c>
      <c r="U11" s="265">
        <f>IF(Q11&gt;0,S11*G14,0)</f>
        <v>0</v>
      </c>
      <c r="V11" s="255">
        <f>IF(P11-Q11&gt;2,0.9,IF(P11-Q11&gt;1,0.75,IF(P11-Q11&gt;0,0.5,0.15)))</f>
        <v>0.5</v>
      </c>
      <c r="W11" s="253">
        <f>IF(Q11-P11&gt;2,0.9,IF(Q11-P11&gt;1,0.75,IF(Q11-P11&gt;0,0.5,0.15)))</f>
        <v>0.15</v>
      </c>
      <c r="X11" s="288">
        <f t="shared" si="11"/>
        <v>6.0608108108108107E-2</v>
      </c>
      <c r="Y11" s="289">
        <f t="shared" si="11"/>
        <v>0</v>
      </c>
      <c r="Z11" s="236"/>
      <c r="AA11" s="281">
        <f t="shared" si="6"/>
        <v>2.2500000000000003E-3</v>
      </c>
      <c r="AB11" s="282">
        <f t="shared" si="7"/>
        <v>0.99775000000000003</v>
      </c>
      <c r="AC11" s="282">
        <f>AA11*PRODUCT(AB3:AB10)*PRODUCT(AB12:AB17)</f>
        <v>1.6451997124126555E-3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2.4635441886105571E-4</v>
      </c>
      <c r="AE11" s="220"/>
      <c r="AF11" s="234"/>
      <c r="AG11" s="283">
        <f t="shared" si="12"/>
        <v>0</v>
      </c>
      <c r="AH11" s="284">
        <f t="shared" si="8"/>
        <v>1</v>
      </c>
      <c r="AI11" s="284">
        <f>AG11*PRODUCT(AH3:AH10)*PRODUCT(AH12:AH17)</f>
        <v>0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2.3168570562260896E-4</v>
      </c>
      <c r="BM11" s="31">
        <f>BI50+1</f>
        <v>7</v>
      </c>
      <c r="BN11" s="31">
        <v>7</v>
      </c>
      <c r="BO11" s="107">
        <f>$H$32*H46</f>
        <v>2.0742746149039483E-6</v>
      </c>
      <c r="BQ11" s="31">
        <f>BQ8+1</f>
        <v>4</v>
      </c>
      <c r="BR11" s="31">
        <v>1</v>
      </c>
      <c r="BS11" s="107">
        <f>$H$29*H40</f>
        <v>9.7422060518033895E-3</v>
      </c>
    </row>
    <row r="12" spans="1:71" ht="15.75" x14ac:dyDescent="0.25">
      <c r="A12" s="6" t="s">
        <v>57</v>
      </c>
      <c r="B12" s="269">
        <v>9.75</v>
      </c>
      <c r="C12" s="270">
        <v>13.5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0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5.0000000000000001E-3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2.2500000000000003E-3</v>
      </c>
      <c r="Y12" s="289">
        <f t="shared" si="11"/>
        <v>0</v>
      </c>
      <c r="Z12" s="236"/>
      <c r="AA12" s="281">
        <f t="shared" si="6"/>
        <v>0.10259999999999998</v>
      </c>
      <c r="AB12" s="282">
        <f t="shared" si="7"/>
        <v>0.89739999999999998</v>
      </c>
      <c r="AC12" s="282">
        <f>AA12*PRODUCT(AB3:AB11)*PRODUCT(AB13:AB17)</f>
        <v>8.3410195448544167E-2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2.9536432846761339E-3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3.8546491109865902E-5</v>
      </c>
      <c r="BM12" s="31">
        <f>BI54+1</f>
        <v>8</v>
      </c>
      <c r="BN12" s="31">
        <v>8</v>
      </c>
      <c r="BO12" s="107">
        <f>$H$33*H47</f>
        <v>5.9566231729080522E-8</v>
      </c>
      <c r="BQ12" s="31">
        <f>BQ9+1</f>
        <v>4</v>
      </c>
      <c r="BR12" s="31">
        <v>2</v>
      </c>
      <c r="BS12" s="107">
        <f>$H$29*H41</f>
        <v>1.1251385298824978E-2</v>
      </c>
    </row>
    <row r="13" spans="1:71" ht="15.75" x14ac:dyDescent="0.25">
      <c r="A13" s="7" t="s">
        <v>60</v>
      </c>
      <c r="B13" s="269">
        <v>7</v>
      </c>
      <c r="C13" s="270">
        <v>12.5</v>
      </c>
      <c r="E13" s="247"/>
      <c r="F13" s="247" t="s">
        <v>163</v>
      </c>
      <c r="G13" s="254">
        <f>B22</f>
        <v>0.52702702702702697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1</v>
      </c>
      <c r="Q13" s="251">
        <f>COUNTIF(E10:I11,"CAB")</f>
        <v>0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0.18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0.10259999999999998</v>
      </c>
      <c r="Y13" s="289">
        <f t="shared" si="11"/>
        <v>0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2.5834302959730635E-2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4.6188908716958651E-6</v>
      </c>
      <c r="BM13" s="31">
        <f>BI57+1</f>
        <v>9</v>
      </c>
      <c r="BN13" s="31">
        <v>9</v>
      </c>
      <c r="BO13" s="107">
        <f>$H$34*H48</f>
        <v>9.3145891154441994E-10</v>
      </c>
      <c r="BQ13" s="31">
        <f>BM7+1</f>
        <v>4</v>
      </c>
      <c r="BR13" s="31">
        <v>3</v>
      </c>
      <c r="BS13" s="107">
        <f>$H$29*H42</f>
        <v>8.1494647543753317E-3</v>
      </c>
    </row>
    <row r="14" spans="1:71" ht="15.75" x14ac:dyDescent="0.25">
      <c r="A14" s="7" t="s">
        <v>63</v>
      </c>
      <c r="B14" s="269">
        <v>6</v>
      </c>
      <c r="C14" s="270">
        <v>11.5</v>
      </c>
      <c r="E14" s="247"/>
      <c r="F14" s="247" t="s">
        <v>164</v>
      </c>
      <c r="G14" s="252">
        <f>C22</f>
        <v>0.47297297297297303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2.4886651201878753E-2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9.9291911052515808E-2</v>
      </c>
      <c r="BM14" s="31">
        <f>BQ39+1</f>
        <v>10</v>
      </c>
      <c r="BN14" s="31">
        <v>10</v>
      </c>
      <c r="BO14" s="107">
        <f>$H$35*H49</f>
        <v>7.3709758299279929E-12</v>
      </c>
      <c r="BQ14" s="31">
        <f>BQ10+1</f>
        <v>5</v>
      </c>
      <c r="BR14" s="31">
        <v>0</v>
      </c>
      <c r="BS14" s="107">
        <f>$H$30*H39</f>
        <v>1.1276458343299042E-3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1</v>
      </c>
      <c r="Q15" s="251">
        <f>COUNTIF(E10:I11,"TEC")</f>
        <v>0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7.1917893488329221E-2</v>
      </c>
      <c r="BQ15" s="31">
        <f>BQ11+1</f>
        <v>5</v>
      </c>
      <c r="BR15" s="31">
        <v>1</v>
      </c>
      <c r="BS15" s="107">
        <f>$H$30*H40</f>
        <v>2.831966290581646E-3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3.7940441352350036E-2</v>
      </c>
      <c r="BQ16" s="31">
        <f>BQ12+1</f>
        <v>5</v>
      </c>
      <c r="BR16" s="31">
        <v>2</v>
      </c>
      <c r="BS16" s="107">
        <f>$H$30*H41</f>
        <v>3.2706702895818904E-3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1.5950770730024426E-2</v>
      </c>
      <c r="BQ17" s="31">
        <f>BQ13+1</f>
        <v>5</v>
      </c>
      <c r="BR17" s="31">
        <v>3</v>
      </c>
      <c r="BS17" s="107">
        <f>$H$30*H42</f>
        <v>2.3689716012937332E-3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0.72955467247098982</v>
      </c>
      <c r="AC18" s="176">
        <f>SUM(AC3:AC17)</f>
        <v>0.21870382572224276</v>
      </c>
      <c r="AD18" s="176">
        <f>SUM(AD3:AD17)</f>
        <v>2.5274749282511728E-2</v>
      </c>
      <c r="AE18" s="176">
        <f>1-AB18-AC18-AD18</f>
        <v>2.6466752524255698E-2</v>
      </c>
      <c r="AF18" s="234"/>
      <c r="AG18" s="158"/>
      <c r="AH18" s="179">
        <f>PRODUCT(AH3:AH17)</f>
        <v>0.70279320850217852</v>
      </c>
      <c r="AI18" s="176">
        <f>SUM(AI3:AI17)</f>
        <v>0.22738255839261298</v>
      </c>
      <c r="AJ18" s="176">
        <f>SUM(AJ3:AJ17)</f>
        <v>2.5809380363302808E-2</v>
      </c>
      <c r="AK18" s="176">
        <f>1-AH18-AI18-AJ18</f>
        <v>4.4014852741905683E-2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5.5346581618521936E-3</v>
      </c>
      <c r="BQ18" s="31">
        <f>BM8+1</f>
        <v>5</v>
      </c>
      <c r="BR18" s="31">
        <v>4</v>
      </c>
      <c r="BS18" s="107">
        <f>$H$30*H43</f>
        <v>1.2497561280608597E-3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1.5627228183966418E-3</v>
      </c>
      <c r="BQ19" s="31">
        <f>BQ15+1</f>
        <v>6</v>
      </c>
      <c r="BR19" s="31">
        <v>1</v>
      </c>
      <c r="BS19" s="107">
        <f>$H$31*H40</f>
        <v>6.5141675396397061E-4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3.457487978860599E-4</v>
      </c>
      <c r="BQ20" s="31">
        <f>BQ16+1</f>
        <v>6</v>
      </c>
      <c r="BR20" s="31">
        <v>2</v>
      </c>
      <c r="BS20" s="107">
        <f>$H$31*H41</f>
        <v>7.5232866662697663E-4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5.7523630679532441E-5</v>
      </c>
      <c r="BQ21" s="31">
        <f>BQ17+1</f>
        <v>6</v>
      </c>
      <c r="BR21" s="31">
        <v>3</v>
      </c>
      <c r="BS21" s="107">
        <f>$H$31*H42</f>
        <v>5.4491742923629366E-4</v>
      </c>
    </row>
    <row r="22" spans="1:71" x14ac:dyDescent="0.25">
      <c r="A22" s="26" t="s">
        <v>87</v>
      </c>
      <c r="B22" s="206">
        <f>(B6)/((B6)+(C6))</f>
        <v>0.52702702702702697</v>
      </c>
      <c r="C22" s="207">
        <f>1-B22</f>
        <v>0.47297297297297303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6.8928549655844651E-6</v>
      </c>
      <c r="BQ22" s="31">
        <f>BQ18+1</f>
        <v>6</v>
      </c>
      <c r="BR22" s="31">
        <v>4</v>
      </c>
      <c r="BS22" s="107">
        <f>$H$31*H43</f>
        <v>2.874723766647584E-4</v>
      </c>
    </row>
    <row r="23" spans="1:71" ht="15.75" thickBot="1" x14ac:dyDescent="0.3">
      <c r="A23" s="40" t="s">
        <v>88</v>
      </c>
      <c r="B23" s="56">
        <f>((B22^2.8)/((B22^2.8)+(C22^2.8)))*B21</f>
        <v>2.8758762389624968</v>
      </c>
      <c r="C23" s="57">
        <f>B21-B23</f>
        <v>2.1241237610375032</v>
      </c>
      <c r="D23" s="149">
        <f>SUM(D25:D30)</f>
        <v>1</v>
      </c>
      <c r="E23" s="149">
        <f>SUM(E25:E30)</f>
        <v>1</v>
      </c>
      <c r="H23" s="266">
        <f>SUM(H25:H35)</f>
        <v>0.99999998294080539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</v>
      </c>
      <c r="V23" s="208">
        <f>SUM(V25:V34)</f>
        <v>0.99574280971258788</v>
      </c>
      <c r="Y23" s="205">
        <f>SUM(Y25:Y35)</f>
        <v>1.8955894771421124E-4</v>
      </c>
      <c r="Z23" s="81"/>
      <c r="AA23" s="205">
        <f>SUM(AA25:AA35)</f>
        <v>2.5683660888130076E-3</v>
      </c>
      <c r="AB23" s="81"/>
      <c r="AC23" s="205">
        <f>SUM(AC25:AC35)</f>
        <v>1.5662226526498495E-2</v>
      </c>
      <c r="AD23" s="81"/>
      <c r="AE23" s="205">
        <f>SUM(AE25:AE35)</f>
        <v>5.6611467382075523E-2</v>
      </c>
      <c r="AF23" s="81"/>
      <c r="AG23" s="205">
        <f>SUM(AG25:AG35)</f>
        <v>0.13432741261899853</v>
      </c>
      <c r="AH23" s="81"/>
      <c r="AI23" s="205">
        <f>SUM(AI25:AI35)</f>
        <v>0.21866424789164601</v>
      </c>
      <c r="AJ23" s="81"/>
      <c r="AK23" s="205">
        <f>SUM(AK25:AK35)</f>
        <v>0.24737922395714823</v>
      </c>
      <c r="AL23" s="81"/>
      <c r="AM23" s="205">
        <f>SUM(AM25:AM35)</f>
        <v>0.19216572209828292</v>
      </c>
      <c r="AN23" s="81"/>
      <c r="AO23" s="205">
        <f>SUM(AO25:AO35)</f>
        <v>9.8224552121266989E-2</v>
      </c>
      <c r="AP23" s="81"/>
      <c r="AQ23" s="205">
        <f>SUM(AQ25:AQ35)</f>
        <v>2.9950032080143844E-2</v>
      </c>
      <c r="AR23" s="81"/>
      <c r="AS23" s="205">
        <f>SUM(AS25:AS35)</f>
        <v>4.257190287412115E-3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4.975000616515167E-2</v>
      </c>
      <c r="BQ23" s="31">
        <f>BM9+1</f>
        <v>6</v>
      </c>
      <c r="BR23" s="31">
        <v>5</v>
      </c>
      <c r="BS23" s="107">
        <f>$H$31*H44</f>
        <v>1.2085800291067947E-4</v>
      </c>
    </row>
    <row r="24" spans="1:71" ht="15.75" thickBot="1" x14ac:dyDescent="0.3">
      <c r="A24" s="26" t="s">
        <v>89</v>
      </c>
      <c r="B24" s="64">
        <f>B23/B21</f>
        <v>0.5751752477924994</v>
      </c>
      <c r="C24" s="65">
        <f>C23/B21</f>
        <v>0.42482475220750066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2.6245724111681579E-2</v>
      </c>
      <c r="BQ24" s="31">
        <f>BI49+1</f>
        <v>7</v>
      </c>
      <c r="BR24" s="31">
        <v>0</v>
      </c>
      <c r="BS24" s="107">
        <f t="shared" ref="BS24:BS30" si="16">$H$32*H39</f>
        <v>4.5439560527699949E-5</v>
      </c>
    </row>
    <row r="25" spans="1:71" x14ac:dyDescent="0.25">
      <c r="A25" s="26" t="s">
        <v>114</v>
      </c>
      <c r="B25" s="209">
        <f>1/(1+EXP(-3.1416*4*((B11/(B11+C8))-(3.1416/6))))</f>
        <v>0.10264652763673558</v>
      </c>
      <c r="C25" s="207">
        <f>1/(1+EXP(-3.1416*4*((C11/(C11+B8))-(3.1416/6))))</f>
        <v>0.33935563523733447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0.23642152728184598</v>
      </c>
      <c r="I25" s="97">
        <v>0</v>
      </c>
      <c r="J25" s="98">
        <f t="shared" ref="J25:J35" si="17">Y25+AA25+AC25+AE25+AG25+AI25+AK25+AM25+AO25+AQ25+AS25</f>
        <v>0.32406279639206492</v>
      </c>
      <c r="K25" s="97">
        <v>0</v>
      </c>
      <c r="L25" s="98">
        <f>AB18</f>
        <v>0.72955467247098982</v>
      </c>
      <c r="M25" s="85">
        <v>0</v>
      </c>
      <c r="N25" s="210">
        <f>(1-$B$24)^$B$21</f>
        <v>1.3837226943569748E-2</v>
      </c>
      <c r="O25" s="72">
        <v>0</v>
      </c>
      <c r="P25" s="210">
        <f t="shared" ref="P25:P30" si="18">N25</f>
        <v>1.3837226943569748E-2</v>
      </c>
      <c r="Q25" s="28">
        <v>0</v>
      </c>
      <c r="R25" s="211">
        <f>P25*N25</f>
        <v>1.9146884948785257E-4</v>
      </c>
      <c r="S25" s="72">
        <v>0</v>
      </c>
      <c r="T25" s="212">
        <f>(1-$B$33)^(INT(C23*2*(1-C31)))</f>
        <v>0.99002500000000004</v>
      </c>
      <c r="U25" s="138">
        <v>0</v>
      </c>
      <c r="V25" s="86">
        <f>R25*T25</f>
        <v>1.8955894771421124E-4</v>
      </c>
      <c r="W25" s="134">
        <f>B31</f>
        <v>0.18498708331416641</v>
      </c>
      <c r="X25" s="28">
        <v>0</v>
      </c>
      <c r="Y25" s="213">
        <f>V25</f>
        <v>1.8955894771421124E-4</v>
      </c>
      <c r="Z25" s="28">
        <v>0</v>
      </c>
      <c r="AA25" s="213">
        <f>((1-W25)^Z26)*V26</f>
        <v>2.0932515371604758E-3</v>
      </c>
      <c r="AB25" s="28">
        <v>0</v>
      </c>
      <c r="AC25" s="213">
        <f>(((1-$W$25)^AB27))*V27</f>
        <v>1.0403572172793541E-2</v>
      </c>
      <c r="AD25" s="28">
        <v>0</v>
      </c>
      <c r="AE25" s="213">
        <f>(((1-$W$25)^AB28))*V28</f>
        <v>3.0647699948207732E-2</v>
      </c>
      <c r="AF25" s="28">
        <v>0</v>
      </c>
      <c r="AG25" s="213">
        <f>(((1-$W$25)^AB29))*V29</f>
        <v>5.9268319898344572E-2</v>
      </c>
      <c r="AH25" s="28">
        <v>0</v>
      </c>
      <c r="AI25" s="213">
        <f>(((1-$W$25)^AB30))*V30</f>
        <v>7.8632166040795703E-2</v>
      </c>
      <c r="AJ25" s="28">
        <v>0</v>
      </c>
      <c r="AK25" s="213">
        <f>(((1-$W$25)^AB31))*V31</f>
        <v>7.2502031043311807E-2</v>
      </c>
      <c r="AL25" s="28">
        <v>0</v>
      </c>
      <c r="AM25" s="213">
        <f>(((1-$W$25)^AB32))*V32</f>
        <v>4.5901551372506295E-2</v>
      </c>
      <c r="AN25" s="28">
        <v>0</v>
      </c>
      <c r="AO25" s="213">
        <f>(((1-$W$25)^AB33))*V33</f>
        <v>1.9122117862018076E-2</v>
      </c>
      <c r="AP25" s="28">
        <v>0</v>
      </c>
      <c r="AQ25" s="213">
        <f>(((1-$W$25)^AB34))*V34</f>
        <v>4.7520140615241587E-3</v>
      </c>
      <c r="AR25" s="28">
        <v>0</v>
      </c>
      <c r="AS25" s="213">
        <f>(((1-$W$25)^AB35))*V35</f>
        <v>5.5051350768837927E-4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1.1034123827422904E-2</v>
      </c>
      <c r="BQ25" s="31">
        <f>BQ19+1</f>
        <v>7</v>
      </c>
      <c r="BR25" s="31">
        <v>1</v>
      </c>
      <c r="BS25" s="107">
        <f t="shared" si="16"/>
        <v>1.1411677297576306E-4</v>
      </c>
    </row>
    <row r="26" spans="1:71" x14ac:dyDescent="0.25">
      <c r="A26" s="40" t="s">
        <v>115</v>
      </c>
      <c r="B26" s="206">
        <f>1/(1+EXP(-3.1416*4*((B10/(B10+C9))-(3.1416/6))))</f>
        <v>9.5233909743018694E-2</v>
      </c>
      <c r="C26" s="207">
        <f>1/(1+EXP(-3.1416*4*((C10/(C10+B9))-(3.1416/6))))</f>
        <v>0.37262613520965243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0.35281615079539785</v>
      </c>
      <c r="I26" s="138">
        <v>1</v>
      </c>
      <c r="J26" s="86">
        <f t="shared" si="17"/>
        <v>0.38645818893225758</v>
      </c>
      <c r="K26" s="138">
        <v>1</v>
      </c>
      <c r="L26" s="86">
        <f>AC18</f>
        <v>0.21870382572224276</v>
      </c>
      <c r="M26" s="85">
        <v>1</v>
      </c>
      <c r="N26" s="210">
        <f>(($B$24)^M26)*((1-($B$24))^($B$21-M26))*HLOOKUP($B$21,$AV$24:$BF$34,M26+1)</f>
        <v>9.3671924654491215E-2</v>
      </c>
      <c r="O26" s="72">
        <v>1</v>
      </c>
      <c r="P26" s="210">
        <f t="shared" si="18"/>
        <v>9.3671924654491215E-2</v>
      </c>
      <c r="Q26" s="28">
        <v>1</v>
      </c>
      <c r="R26" s="211">
        <f>N26*P25+P26*N25</f>
        <v>2.5923193593703222E-3</v>
      </c>
      <c r="S26" s="72">
        <v>1</v>
      </c>
      <c r="T26" s="212">
        <f t="shared" ref="T26:T35" si="19">(($B$33)^S26)*((1-($B$33))^(INT($C$23*2*(1-$C$31))-S26))*HLOOKUP(INT($C$23*2*(1-$C$31)),$AV$24:$BF$34,S26+1)</f>
        <v>9.9500000000000005E-3</v>
      </c>
      <c r="U26" s="138">
        <v>1</v>
      </c>
      <c r="V26" s="86">
        <f>R26*T25+T26*R25</f>
        <v>2.5683660888130076E-3</v>
      </c>
      <c r="W26" s="214"/>
      <c r="X26" s="28">
        <v>1</v>
      </c>
      <c r="Y26" s="211"/>
      <c r="Z26" s="28">
        <v>1</v>
      </c>
      <c r="AA26" s="213">
        <f>(1-((1-W25)^Z26))*V26</f>
        <v>4.7511455165253171E-4</v>
      </c>
      <c r="AB26" s="28">
        <v>1</v>
      </c>
      <c r="AC26" s="213">
        <f>((($W$25)^M26)*((1-($W$25))^($U$27-M26))*HLOOKUP($U$27,$AV$24:$BF$34,M26+1))*V27</f>
        <v>4.722689500724458E-3</v>
      </c>
      <c r="AD26" s="28">
        <v>1</v>
      </c>
      <c r="AE26" s="213">
        <f>((($W$25)^M26)*((1-($W$25))^($U$28-M26))*HLOOKUP($U$28,$AV$24:$BF$34,M26+1))*V28</f>
        <v>2.0868731676403955E-2</v>
      </c>
      <c r="AF26" s="28">
        <v>1</v>
      </c>
      <c r="AG26" s="213">
        <f>((($W$25)^M26)*((1-($W$25))^($U$29-M26))*HLOOKUP($U$29,$AV$24:$BF$34,M26+1))*V29</f>
        <v>5.3809569917047211E-2</v>
      </c>
      <c r="AH26" s="28">
        <v>1</v>
      </c>
      <c r="AI26" s="213">
        <f>((($W$25)^M26)*((1-($W$25))^($U$30-M26))*HLOOKUP($U$30,$AV$24:$BF$34,M26+1))*V30</f>
        <v>8.9237451043792021E-2</v>
      </c>
      <c r="AJ26" s="28">
        <v>1</v>
      </c>
      <c r="AK26" s="213">
        <f>((($W$25)^M26)*((1-($W$25))^($U$31-M26))*HLOOKUP($U$31,$AV$24:$BF$34,M26+1))*V31</f>
        <v>9.8736638272632613E-2</v>
      </c>
      <c r="AL26" s="28">
        <v>1</v>
      </c>
      <c r="AM26" s="213">
        <f>((($W$25)^Q26)*((1-($W$25))^($U$32-Q26))*HLOOKUP($U$32,$AV$24:$BF$34,Q26+1))*V32</f>
        <v>7.2929345706160303E-2</v>
      </c>
      <c r="AN26" s="28">
        <v>1</v>
      </c>
      <c r="AO26" s="213">
        <f>((($W$25)^Q26)*((1-($W$25))^($U$33-Q26))*HLOOKUP($U$33,$AV$24:$BF$34,Q26+1))*V33</f>
        <v>3.4721852747744884E-2</v>
      </c>
      <c r="AP26" s="28">
        <v>1</v>
      </c>
      <c r="AQ26" s="213">
        <f>((($W$25)^Q26)*((1-($W$25))^($U$34-Q26))*HLOOKUP($U$34,$AV$24:$BF$34,Q26+1))*V34</f>
        <v>9.7072706800216749E-3</v>
      </c>
      <c r="AR26" s="28">
        <v>1</v>
      </c>
      <c r="AS26" s="213">
        <f>((($W$25)^Q26)*((1-($W$25))^($U$35-Q26))*HLOOKUP($U$35,$AV$24:$BF$34,Q26+1))*V35</f>
        <v>1.2495248360779056E-3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3.8286616072651949E-3</v>
      </c>
      <c r="BQ26" s="31">
        <f>BQ20+1</f>
        <v>7</v>
      </c>
      <c r="BR26" s="31">
        <v>2</v>
      </c>
      <c r="BS26" s="107">
        <f t="shared" si="16"/>
        <v>1.3179476752815864E-4</v>
      </c>
    </row>
    <row r="27" spans="1:71" x14ac:dyDescent="0.25">
      <c r="A27" s="26" t="s">
        <v>116</v>
      </c>
      <c r="B27" s="206">
        <f>1/(1+EXP(-3.1416*4*((B12/(B12+C7))-(3.1416/6))))</f>
        <v>0.17095802136127952</v>
      </c>
      <c r="C27" s="207">
        <f>1/(1+EXP(-3.1416*4*((C12/(C12+B7))-(3.1416/6))))</f>
        <v>0.37262613520965243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0.24406451337572266</v>
      </c>
      <c r="I27" s="138">
        <v>2</v>
      </c>
      <c r="J27" s="86">
        <f t="shared" si="17"/>
        <v>0.20746083707656335</v>
      </c>
      <c r="K27" s="138">
        <v>2</v>
      </c>
      <c r="L27" s="86">
        <f>AD18</f>
        <v>2.5274749282511728E-2</v>
      </c>
      <c r="M27" s="85">
        <v>2</v>
      </c>
      <c r="N27" s="210">
        <f>(($B$24)^M27)*((1-($B$24))^($B$21-M27))*HLOOKUP($B$21,$AV$24:$BF$34,M27+1)</f>
        <v>0.25364704949221678</v>
      </c>
      <c r="O27" s="72">
        <v>2</v>
      </c>
      <c r="P27" s="210">
        <f t="shared" si="18"/>
        <v>0.25364704949221678</v>
      </c>
      <c r="Q27" s="28">
        <v>2</v>
      </c>
      <c r="R27" s="211">
        <f>P25*N27+P26*N26+P27*N25</f>
        <v>1.5793973043258022E-2</v>
      </c>
      <c r="S27" s="72">
        <v>2</v>
      </c>
      <c r="T27" s="212">
        <f t="shared" si="19"/>
        <v>2.5000000000000001E-5</v>
      </c>
      <c r="U27" s="138">
        <v>2</v>
      </c>
      <c r="V27" s="86">
        <f>R27*T25+T26*R26+R25*T27</f>
        <v>1.5662226526498495E-2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5.3596485298049504E-4</v>
      </c>
      <c r="AD27" s="28">
        <v>2</v>
      </c>
      <c r="AE27" s="213">
        <f>((($W$25)^M27)*((1-($W$25))^($U$28-M27))*HLOOKUP($U$28,$AV$24:$BF$34,M27+1))*V28</f>
        <v>4.7366682493598126E-3</v>
      </c>
      <c r="AF27" s="28">
        <v>2</v>
      </c>
      <c r="AG27" s="213">
        <f>((($W$25)^M27)*((1-($W$25))^($U$29-M27))*HLOOKUP($U$29,$AV$24:$BF$34,M27+1))*V29</f>
        <v>1.8320093809963474E-2</v>
      </c>
      <c r="AH27" s="28">
        <v>2</v>
      </c>
      <c r="AI27" s="213">
        <f>((($W$25)^M27)*((1-($W$25))^($U$30-M27))*HLOOKUP($U$30,$AV$24:$BF$34,M27+1))*V30</f>
        <v>4.0509237223157094E-2</v>
      </c>
      <c r="AJ27" s="28">
        <v>2</v>
      </c>
      <c r="AK27" s="213">
        <f>((($W$25)^M27)*((1-($W$25))^($U$31-M27))*HLOOKUP($U$31,$AV$24:$BF$34,M27+1))*V31</f>
        <v>5.6026727786637302E-2</v>
      </c>
      <c r="AL27" s="28">
        <v>2</v>
      </c>
      <c r="AM27" s="213">
        <f>((($W$25)^Q27)*((1-($W$25))^($U$32-Q27))*HLOOKUP($U$32,$AV$24:$BF$34,Q27+1))*V32</f>
        <v>4.9659287628420062E-2</v>
      </c>
      <c r="AN27" s="28">
        <v>2</v>
      </c>
      <c r="AO27" s="213">
        <f>((($W$25)^Q27)*((1-($W$25))^($U$33-Q27))*HLOOKUP($U$33,$AV$24:$BF$34,Q27+1))*V33</f>
        <v>2.7583403249801904E-2</v>
      </c>
      <c r="AP27" s="28">
        <v>2</v>
      </c>
      <c r="AQ27" s="213">
        <f>((($W$25)^Q27)*((1-($W$25))^($U$34-Q27))*HLOOKUP($U$34,$AV$24:$BF$34,Q27+1))*V34</f>
        <v>8.8132084941202858E-3</v>
      </c>
      <c r="AR27" s="28">
        <v>2</v>
      </c>
      <c r="AS27" s="213">
        <f>((($W$25)^Q27)*((1-($W$25))^($U$35-Q27))*HLOOKUP($U$35,$AV$24:$BF$34,Q27+1))*V35</f>
        <v>1.2762457821229112E-3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1.0810309657119281E-3</v>
      </c>
      <c r="BQ27" s="31">
        <f>BQ21+1</f>
        <v>7</v>
      </c>
      <c r="BR27" s="31">
        <v>3</v>
      </c>
      <c r="BS27" s="107">
        <f t="shared" si="16"/>
        <v>9.5459961974103479E-5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0.11188779959035192</v>
      </c>
      <c r="I28" s="138">
        <v>3</v>
      </c>
      <c r="J28" s="86">
        <f t="shared" si="17"/>
        <v>6.6027672748844843E-2</v>
      </c>
      <c r="K28" s="138">
        <v>3</v>
      </c>
      <c r="L28" s="86">
        <f>AE18</f>
        <v>2.6466752524255698E-2</v>
      </c>
      <c r="M28" s="85">
        <v>3</v>
      </c>
      <c r="N28" s="210">
        <f>(($B$24)^M28)*((1-($B$24))^($B$21-M28))*HLOOKUP($B$21,$AV$24:$BF$34,M28+1)</f>
        <v>0.3434157350423479</v>
      </c>
      <c r="O28" s="72">
        <v>3</v>
      </c>
      <c r="P28" s="210">
        <f t="shared" si="18"/>
        <v>0.3434157350423479</v>
      </c>
      <c r="Q28" s="28">
        <v>3</v>
      </c>
      <c r="R28" s="211">
        <f>P25*N28+P26*N27+P27*N26+P28*N25</f>
        <v>5.7023057541285442E-2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5.661146738207553E-2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3.5836750810402663E-4</v>
      </c>
      <c r="AF28" s="28">
        <v>3</v>
      </c>
      <c r="AG28" s="213">
        <f>((($W$25)^M28)*((1-($W$25))^($U$29-M28))*HLOOKUP($U$29,$AV$24:$BF$34,M28+1))*V29</f>
        <v>2.7721284334388217E-3</v>
      </c>
      <c r="AH28" s="28">
        <v>3</v>
      </c>
      <c r="AI28" s="213">
        <f>((($W$25)^M28)*((1-($W$25))^($U$30-M28))*HLOOKUP($U$30,$AV$24:$BF$34,M28+1))*V30</f>
        <v>9.194560586433153E-3</v>
      </c>
      <c r="AJ28" s="28">
        <v>3</v>
      </c>
      <c r="AK28" s="213">
        <f>((($W$25)^M28)*((1-($W$25))^($U$31-M28))*HLOOKUP($U$31,$AV$24:$BF$34,M28+1))*V31</f>
        <v>1.6955511990381433E-2</v>
      </c>
      <c r="AL28" s="28">
        <v>3</v>
      </c>
      <c r="AM28" s="213">
        <f>((($W$25)^Q28)*((1-($W$25))^($U$32-Q28))*HLOOKUP($U$32,$AV$24:$BF$34,Q28+1))*V32</f>
        <v>1.8785646602992812E-2</v>
      </c>
      <c r="AN28" s="28">
        <v>3</v>
      </c>
      <c r="AO28" s="213">
        <f>((($W$25)^Q28)*((1-($W$25))^($U$33-Q28))*HLOOKUP($U$33,$AV$24:$BF$34,Q28+1))*V33</f>
        <v>1.2521453858200051E-2</v>
      </c>
      <c r="AP28" s="28">
        <v>3</v>
      </c>
      <c r="AQ28" s="213">
        <f>((($W$25)^Q28)*((1-($W$25))^($U$34-Q28))*HLOOKUP($U$34,$AV$24:$BF$34,Q28+1))*V34</f>
        <v>4.6675367159314972E-3</v>
      </c>
      <c r="AR28" s="28">
        <v>3</v>
      </c>
      <c r="AS28" s="213">
        <f>((($W$25)^Q28)*((1-($W$25))^($U$35-Q28))*HLOOKUP($U$35,$AV$24:$BF$34,Q28+1))*V35</f>
        <v>7.7246705336305116E-4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2.3917559305622075E-4</v>
      </c>
      <c r="BQ28" s="31">
        <f>BQ22+1</f>
        <v>7</v>
      </c>
      <c r="BR28" s="31">
        <v>4</v>
      </c>
      <c r="BS28" s="107">
        <f t="shared" si="16"/>
        <v>5.0360110858416338E-5</v>
      </c>
    </row>
    <row r="29" spans="1:71" x14ac:dyDescent="0.25">
      <c r="A29" s="26" t="s">
        <v>118</v>
      </c>
      <c r="B29" s="206">
        <f>1/(1+EXP(-3.1416*4*((B14/(B14+C13))-(3.1416/6))))</f>
        <v>7.5565815647523946E-2</v>
      </c>
      <c r="C29" s="207">
        <f>1/(1+EXP(-3.1416*4*((C14/(C14+B13))-(3.1416/6))))</f>
        <v>0.77412977274966732</v>
      </c>
      <c r="D29" s="204">
        <v>0.04</v>
      </c>
      <c r="E29" s="204">
        <v>0.04</v>
      </c>
      <c r="G29" s="87">
        <v>4</v>
      </c>
      <c r="H29" s="126">
        <f>J29*L25+J28*L26+J27*L27+J26*L28</f>
        <v>3.9979797046587051E-2</v>
      </c>
      <c r="I29" s="138">
        <v>4</v>
      </c>
      <c r="J29" s="86">
        <f t="shared" si="17"/>
        <v>1.3799484675065898E-2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0.2324773091403434</v>
      </c>
      <c r="O29" s="72">
        <v>4</v>
      </c>
      <c r="P29" s="210">
        <f t="shared" si="18"/>
        <v>0.2324773091403434</v>
      </c>
      <c r="Q29" s="28">
        <v>4</v>
      </c>
      <c r="R29" s="211">
        <f>P25*N29+P26*N28+P27*N27+P28*N26+P29*N25</f>
        <v>0.13510733400382482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0.13432741261899853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1.5730056020443146E-4</v>
      </c>
      <c r="AH29" s="28">
        <v>4</v>
      </c>
      <c r="AI29" s="213">
        <f>((($W$25)^M29)*((1-($W$25))^($U$30-M29))*HLOOKUP($U$30,$AV$24:$BF$34,M29+1))*V30</f>
        <v>1.0434650239385739E-3</v>
      </c>
      <c r="AJ29" s="28">
        <v>4</v>
      </c>
      <c r="AK29" s="213">
        <f>((($W$25)^M29)*((1-($W$25))^($U$31-M29))*HLOOKUP($U$31,$AV$24:$BF$34,M29+1))*V31</f>
        <v>2.8863506132701857E-3</v>
      </c>
      <c r="AL29" s="28">
        <v>4</v>
      </c>
      <c r="AM29" s="213">
        <f>((($W$25)^Q29)*((1-($W$25))^($U$32-Q29))*HLOOKUP($U$32,$AV$24:$BF$34,Q29+1))*V32</f>
        <v>4.2638612249109673E-3</v>
      </c>
      <c r="AN29" s="28">
        <v>4</v>
      </c>
      <c r="AO29" s="213">
        <f>((($W$25)^Q29)*((1-($W$25))^($U$33-Q29))*HLOOKUP($U$33,$AV$24:$BF$34,Q29+1))*V33</f>
        <v>3.5525621445062021E-3</v>
      </c>
      <c r="AP29" s="28">
        <v>4</v>
      </c>
      <c r="AQ29" s="213">
        <f>((($W$25)^Q29)*((1-($W$25))^($U$34-Q29))*HLOOKUP($U$34,$AV$24:$BF$34,Q29+1))*V34</f>
        <v>1.5891171520072645E-3</v>
      </c>
      <c r="AR29" s="28">
        <v>4</v>
      </c>
      <c r="AS29" s="213">
        <f>((($W$25)^Q29)*((1-($W$25))^($U$35-Q29))*HLOOKUP($U$35,$AV$24:$BF$34,Q29+1))*V35</f>
        <v>3.0682795622827416E-4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3.9792614078901764E-5</v>
      </c>
      <c r="BQ29" s="31">
        <f>BQ23+1</f>
        <v>7</v>
      </c>
      <c r="BR29" s="31">
        <v>5</v>
      </c>
      <c r="BS29" s="107">
        <f t="shared" si="16"/>
        <v>2.1172199205095883E-5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1.1621745314991737E-2</v>
      </c>
      <c r="I30" s="138">
        <v>5</v>
      </c>
      <c r="J30" s="86">
        <f t="shared" si="17"/>
        <v>1.9794235719896255E-3</v>
      </c>
      <c r="K30" s="138">
        <v>5</v>
      </c>
      <c r="L30" s="86"/>
      <c r="M30" s="85">
        <v>5</v>
      </c>
      <c r="N30" s="210">
        <f>(($B$24)^M30)*((1-($B$24))^($B$21-M30))*HLOOKUP($B$21,$AV$24:$BF$34,M30+1)</f>
        <v>6.2950754727031016E-2</v>
      </c>
      <c r="O30" s="72">
        <v>5</v>
      </c>
      <c r="P30" s="210">
        <f t="shared" si="18"/>
        <v>6.2950754727031016E-2</v>
      </c>
      <c r="Q30" s="28">
        <v>5</v>
      </c>
      <c r="R30" s="211">
        <f>P25*N30+P26*N29+P27*N28+P28*N27+P29*N26+P30*N25</f>
        <v>0.2195080976155849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0.21866424789164604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4.736797352946758E-5</v>
      </c>
      <c r="AJ30" s="28">
        <v>5</v>
      </c>
      <c r="AK30" s="213">
        <f>((($W$25)^M30)*((1-($W$25))^($U$31-M30))*HLOOKUP($U$31,$AV$24:$BF$34,M30+1))*V31</f>
        <v>2.6205110149277611E-4</v>
      </c>
      <c r="AL30" s="28">
        <v>5</v>
      </c>
      <c r="AM30" s="213">
        <f>((($W$25)^Q30)*((1-($W$25))^($U$32-Q30))*HLOOKUP($U$32,$AV$24:$BF$34,Q30+1))*V32</f>
        <v>5.8067245475818278E-4</v>
      </c>
      <c r="AN30" s="28">
        <v>5</v>
      </c>
      <c r="AO30" s="213">
        <f>((($W$25)^Q30)*((1-($W$25))^($U$33-Q30))*HLOOKUP($U$33,$AV$24:$BF$34,Q30+1))*V33</f>
        <v>6.4507258321928917E-4</v>
      </c>
      <c r="AP30" s="28">
        <v>5</v>
      </c>
      <c r="AQ30" s="213">
        <f>((($W$25)^Q30)*((1-($W$25))^($U$34-Q30))*HLOOKUP($U$34,$AV$24:$BF$34,Q30+1))*V34</f>
        <v>3.606889424399823E-4</v>
      </c>
      <c r="AR30" s="28">
        <v>5</v>
      </c>
      <c r="AS30" s="213">
        <f>((($W$25)^Q30)*((1-($W$25))^($U$35-Q30))*HLOOKUP($U$35,$AV$24:$BF$34,Q30+1))*V35</f>
        <v>8.3570516549927548E-5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4.7682094177156642E-6</v>
      </c>
      <c r="BQ30" s="31">
        <f>BM10+1</f>
        <v>7</v>
      </c>
      <c r="BR30" s="31">
        <v>6</v>
      </c>
      <c r="BS30" s="107">
        <f t="shared" si="16"/>
        <v>7.3464089678295465E-6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0.18498708331416641</v>
      </c>
      <c r="C31" s="61">
        <f>(C25*E25)+(C26*E26)+(C27*E27)+(C28*E28)+(C29*E29)+(C30*E30)/(C25+C26+C27+C28+C29+C30)</f>
        <v>0.42121462185482461</v>
      </c>
      <c r="G31" s="87">
        <v>6</v>
      </c>
      <c r="H31" s="126">
        <f>J31*L25+J30*L26+J29*L27+J28*L28</f>
        <v>2.6732661450334584E-3</v>
      </c>
      <c r="I31" s="138">
        <v>6</v>
      </c>
      <c r="J31" s="86">
        <f t="shared" si="17"/>
        <v>1.9743831787177797E-4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0.24766217085681985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0.24737922395714826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9.9131494221253616E-6</v>
      </c>
      <c r="AL31" s="28">
        <v>6</v>
      </c>
      <c r="AM31" s="213">
        <f>((($W$25)^Q31)*((1-($W$25))^($U$32-Q31))*HLOOKUP($U$32,$AV$24:$BF$34,Q31+1))*V32</f>
        <v>4.3932597699757254E-5</v>
      </c>
      <c r="AN31" s="28">
        <v>6</v>
      </c>
      <c r="AO31" s="213">
        <f>((($W$25)^Q31)*((1-($W$25))^($U$33-Q31))*HLOOKUP($U$33,$AV$24:$BF$34,Q31+1))*V33</f>
        <v>7.3207487422969193E-5</v>
      </c>
      <c r="AP31" s="28">
        <v>6</v>
      </c>
      <c r="AQ31" s="213">
        <f>((($W$25)^Q31)*((1-($W$25))^($U$34-Q31))*HLOOKUP($U$34,$AV$24:$BF$34,Q31+1))*V34</f>
        <v>5.4578108787907297E-5</v>
      </c>
      <c r="AR31" s="28">
        <v>6</v>
      </c>
      <c r="AS31" s="213">
        <f>((($W$25)^Q31)*((1-($W$25))^($U$35-Q31))*HLOOKUP($U$35,$AV$24:$BF$34,Q31+1))*V35</f>
        <v>1.5806974539018867E-5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1.2031967609280471E-2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5.8977895478092036E-6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4.6830927193722342E-4</v>
      </c>
      <c r="I32" s="138">
        <v>7</v>
      </c>
      <c r="J32" s="86">
        <f t="shared" si="17"/>
        <v>1.3531235538395008E-5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0.19160727839783562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0.19216572209828298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1.4245108345627229E-6</v>
      </c>
      <c r="AN32" s="28">
        <v>7</v>
      </c>
      <c r="AO32" s="213">
        <f>((($W$25)^Q32)*((1-($W$25))^($U$33-Q32))*HLOOKUP($U$33,$AV$24:$BF$34,Q32+1))*V33</f>
        <v>4.7474934087819779E-6</v>
      </c>
      <c r="AP32" s="28">
        <v>7</v>
      </c>
      <c r="AQ32" s="213">
        <f>((($W$25)^Q32)*((1-($W$25))^($U$34-Q32))*HLOOKUP($U$34,$AV$24:$BF$34,Q32+1))*V34</f>
        <v>5.3090719444582164E-6</v>
      </c>
      <c r="AR32" s="28">
        <v>7</v>
      </c>
      <c r="AS32" s="213">
        <f>((($W$25)^Q32)*((1-($W$25))^($U$35-Q32))*HLOOKUP($U$35,$AV$24:$BF$34,Q32+1))*V35</f>
        <v>2.0501593505920913E-6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5.058432372580331E-3</v>
      </c>
      <c r="BQ32" s="31">
        <f t="shared" si="23"/>
        <v>8</v>
      </c>
      <c r="BR32" s="31">
        <v>1</v>
      </c>
      <c r="BS32" s="107">
        <f t="shared" si="24"/>
        <v>1.4811690585693232E-5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6.0783808142021656E-5</v>
      </c>
      <c r="I33" s="138">
        <v>8</v>
      </c>
      <c r="J33" s="86">
        <f t="shared" si="17"/>
        <v>6.1045097281028024E-7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9.728225867724262E-2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9.8224552121267003E-2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1.3469494482293289E-7</v>
      </c>
      <c r="AP33" s="28">
        <v>8</v>
      </c>
      <c r="AQ33" s="213">
        <f>((($W$25)^Q33)*((1-($W$25))^($U$34-Q33))*HLOOKUP($U$34,$AV$24:$BF$34,Q33+1))*V34</f>
        <v>3.0125588012274823E-7</v>
      </c>
      <c r="AR33" s="28">
        <v>8</v>
      </c>
      <c r="AS33" s="213">
        <f>((($W$25)^Q33)*((1-($W$25))^($U$35-Q33))*HLOOKUP($U$35,$AV$24:$BF$34,Q33+1))*V35</f>
        <v>1.7450014786459915E-7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1.7551938079318262E-3</v>
      </c>
      <c r="BQ33" s="31">
        <f t="shared" si="23"/>
        <v>8</v>
      </c>
      <c r="BR33" s="31">
        <v>2</v>
      </c>
      <c r="BS33" s="107">
        <f t="shared" si="24"/>
        <v>1.7106191022901227E-5</v>
      </c>
    </row>
    <row r="34" spans="1:71" x14ac:dyDescent="0.25">
      <c r="A34" s="40" t="s">
        <v>123</v>
      </c>
      <c r="B34" s="56">
        <f>B23*2</f>
        <v>5.7517524779249936</v>
      </c>
      <c r="C34" s="57">
        <f>C23*2</f>
        <v>4.2482475220750064</v>
      </c>
      <c r="G34" s="87">
        <v>9</v>
      </c>
      <c r="H34" s="126">
        <f>J34*L25+J33*L26+J32*L27+J31*L28</f>
        <v>5.7130216558480346E-6</v>
      </c>
      <c r="I34" s="138">
        <v>9</v>
      </c>
      <c r="J34" s="86">
        <f t="shared" si="17"/>
        <v>1.6399057530280641E-8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2.9269244134587848E-2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2.9950032080143844E-2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7.5974864875302784E-9</v>
      </c>
      <c r="AR34" s="28">
        <v>9</v>
      </c>
      <c r="AS34" s="213">
        <f>((($W$25)^Q34)*((1-($W$25))^($U$35-Q34))*HLOOKUP($U$35,$AV$24:$BF$34,Q34+1))*V35</f>
        <v>8.8015710427503622E-9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4.9558280460190913E-4</v>
      </c>
      <c r="BQ34" s="31">
        <f t="shared" si="23"/>
        <v>8</v>
      </c>
      <c r="BR34" s="31">
        <v>3</v>
      </c>
      <c r="BS34" s="107">
        <f t="shared" si="24"/>
        <v>1.2390145490556079E-5</v>
      </c>
    </row>
    <row r="35" spans="1:71" ht="15.75" thickBot="1" x14ac:dyDescent="0.3">
      <c r="G35" s="88">
        <v>10</v>
      </c>
      <c r="H35" s="127">
        <f>J35*L25+J34*L26+J33*L27+J32*L28</f>
        <v>3.7728913968242698E-7</v>
      </c>
      <c r="I35" s="94">
        <v>10</v>
      </c>
      <c r="J35" s="89">
        <f t="shared" si="17"/>
        <v>1.9977314744920003E-10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3.9627975207028182E-3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4.2571902874121159E-3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1.9977314744920003E-10</v>
      </c>
      <c r="BI35" s="31">
        <f t="shared" si="21"/>
        <v>3</v>
      </c>
      <c r="BJ35" s="31">
        <v>8</v>
      </c>
      <c r="BK35" s="107">
        <f t="shared" si="22"/>
        <v>1.0964654571302344E-4</v>
      </c>
      <c r="BQ35" s="31">
        <f t="shared" si="23"/>
        <v>8</v>
      </c>
      <c r="BR35" s="31">
        <v>4</v>
      </c>
      <c r="BS35" s="107">
        <f t="shared" si="24"/>
        <v>6.5364482402117721E-6</v>
      </c>
    </row>
    <row r="36" spans="1:71" ht="15.75" x14ac:dyDescent="0.25">
      <c r="A36" s="109" t="s">
        <v>124</v>
      </c>
      <c r="B36" s="219">
        <f>SUM(BO4:BO14)</f>
        <v>0.20527555421245253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0.99999999999999989</v>
      </c>
      <c r="BI36" s="31">
        <f t="shared" si="21"/>
        <v>3</v>
      </c>
      <c r="BJ36" s="31">
        <v>9</v>
      </c>
      <c r="BK36" s="107">
        <f t="shared" si="22"/>
        <v>1.8242340796108756E-5</v>
      </c>
      <c r="BQ36" s="31">
        <f t="shared" si="23"/>
        <v>8</v>
      </c>
      <c r="BR36" s="31">
        <v>5</v>
      </c>
      <c r="BS36" s="107">
        <f t="shared" si="24"/>
        <v>2.7480277917703141E-6</v>
      </c>
    </row>
    <row r="37" spans="1:71" ht="16.5" thickBot="1" x14ac:dyDescent="0.3">
      <c r="A37" s="110" t="s">
        <v>125</v>
      </c>
      <c r="B37" s="219">
        <f>SUM(BK4:BK59)</f>
        <v>0.56096488918077347</v>
      </c>
      <c r="G37" s="158"/>
      <c r="H37" s="266">
        <f>SUM(H39:H49)</f>
        <v>0.99999832622472029</v>
      </c>
      <c r="I37" s="267"/>
      <c r="J37" s="266">
        <f>SUM(J39:J49)</f>
        <v>0.99999999999999989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1.0000000000000007</v>
      </c>
      <c r="S37" s="267"/>
      <c r="T37" s="266">
        <f>SUM(T39:T49)</f>
        <v>1</v>
      </c>
      <c r="U37" s="267"/>
      <c r="V37" s="208">
        <f>SUM(V39:V48)</f>
        <v>0.99975469049604027</v>
      </c>
      <c r="W37" s="158"/>
      <c r="X37" s="158"/>
      <c r="Y37" s="205">
        <f>SUM(Y39:Y49)</f>
        <v>3.8841340109948557E-3</v>
      </c>
      <c r="Z37" s="81"/>
      <c r="AA37" s="205">
        <f>SUM(AA39:AA49)</f>
        <v>2.8766308067634628E-2</v>
      </c>
      <c r="AB37" s="81"/>
      <c r="AC37" s="205">
        <f>SUM(AC39:AC49)</f>
        <v>9.5928393692608263E-2</v>
      </c>
      <c r="AD37" s="81"/>
      <c r="AE37" s="205">
        <f>SUM(AE39:AE49)</f>
        <v>0.18972473297788353</v>
      </c>
      <c r="AF37" s="81"/>
      <c r="AG37" s="205">
        <f>SUM(AG39:AG49)</f>
        <v>0.24653536474950011</v>
      </c>
      <c r="AH37" s="81"/>
      <c r="AI37" s="205">
        <f>SUM(AI39:AI49)</f>
        <v>0.22005857071662599</v>
      </c>
      <c r="AJ37" s="81"/>
      <c r="AK37" s="205">
        <f>SUM(AK39:AK49)</f>
        <v>0.13678689833755509</v>
      </c>
      <c r="AL37" s="81"/>
      <c r="AM37" s="205">
        <f>SUM(AM39:AM49)</f>
        <v>5.858565928364546E-2</v>
      </c>
      <c r="AN37" s="81"/>
      <c r="AO37" s="205">
        <f>SUM(AO39:AO49)</f>
        <v>1.6624067722645568E-2</v>
      </c>
      <c r="AP37" s="81"/>
      <c r="AQ37" s="205">
        <f>SUM(AQ39:AQ49)</f>
        <v>2.8605609369467349E-3</v>
      </c>
      <c r="AR37" s="81"/>
      <c r="AS37" s="205">
        <f>SUM(AS39:AS49)</f>
        <v>2.4530950395973422E-4</v>
      </c>
      <c r="BI37" s="31">
        <f t="shared" si="21"/>
        <v>3</v>
      </c>
      <c r="BJ37" s="31">
        <v>10</v>
      </c>
      <c r="BK37" s="107">
        <f t="shared" si="22"/>
        <v>2.185915733324577E-6</v>
      </c>
      <c r="BQ37" s="31">
        <f t="shared" si="23"/>
        <v>8</v>
      </c>
      <c r="BR37" s="31">
        <v>6</v>
      </c>
      <c r="BS37" s="107">
        <f t="shared" si="24"/>
        <v>9.5352097426172092E-7</v>
      </c>
    </row>
    <row r="38" spans="1:71" ht="16.5" thickBot="1" x14ac:dyDescent="0.3">
      <c r="A38" s="111" t="s">
        <v>126</v>
      </c>
      <c r="B38" s="219">
        <f>SUM(BS4:BS47)</f>
        <v>0.23375748849119113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1.8074812479115568E-3</v>
      </c>
      <c r="BQ38" s="31">
        <f>BM11+1</f>
        <v>8</v>
      </c>
      <c r="BR38" s="31">
        <v>7</v>
      </c>
      <c r="BS38" s="107">
        <f t="shared" si="24"/>
        <v>2.6922872934937042E-7</v>
      </c>
    </row>
    <row r="39" spans="1:71" x14ac:dyDescent="0.25">
      <c r="G39" s="128">
        <v>0</v>
      </c>
      <c r="H39" s="129">
        <f>L39*J39</f>
        <v>9.7028957679469341E-2</v>
      </c>
      <c r="I39" s="97">
        <v>0</v>
      </c>
      <c r="J39" s="98">
        <f t="shared" ref="J39:J49" si="28">Y39+AA39+AC39+AE39+AG39+AI39+AK39+AM39+AO39+AQ39+AS39</f>
        <v>0.13806188862618834</v>
      </c>
      <c r="K39" s="102">
        <v>0</v>
      </c>
      <c r="L39" s="98">
        <f>AH18</f>
        <v>0.70279320850217852</v>
      </c>
      <c r="M39" s="85">
        <v>0</v>
      </c>
      <c r="N39" s="210">
        <f>(1-$C$24)^$B$21</f>
        <v>6.2950754727031016E-2</v>
      </c>
      <c r="O39" s="72">
        <v>0</v>
      </c>
      <c r="P39" s="210">
        <f t="shared" ref="P39:P44" si="29">N39</f>
        <v>6.2950754727031016E-2</v>
      </c>
      <c r="Q39" s="28">
        <v>0</v>
      </c>
      <c r="R39" s="211">
        <f>P39*N39</f>
        <v>3.9627975207028182E-3</v>
      </c>
      <c r="S39" s="72">
        <v>0</v>
      </c>
      <c r="T39" s="212">
        <f>(1-$C$33)^(INT(B23*2*(1-B31)))</f>
        <v>0.98014950062500006</v>
      </c>
      <c r="U39" s="138">
        <v>0</v>
      </c>
      <c r="V39" s="86">
        <f>R39*T39</f>
        <v>3.8841340109948557E-3</v>
      </c>
      <c r="W39" s="134">
        <f>C31</f>
        <v>0.42121462185482461</v>
      </c>
      <c r="X39" s="28">
        <v>0</v>
      </c>
      <c r="Y39" s="213">
        <f>V39</f>
        <v>3.8841340109948557E-3</v>
      </c>
      <c r="Z39" s="28">
        <v>0</v>
      </c>
      <c r="AA39" s="213">
        <f>((1-W39)^Z40)*V40</f>
        <v>1.6649518492766517E-2</v>
      </c>
      <c r="AB39" s="28">
        <v>0</v>
      </c>
      <c r="AC39" s="213">
        <f>(((1-$W$39)^AB41))*V41</f>
        <v>3.2135293762718585E-2</v>
      </c>
      <c r="AD39" s="28">
        <v>0</v>
      </c>
      <c r="AE39" s="213">
        <f>(((1-$W$39)^AB42))*V42</f>
        <v>3.6785494900331644E-2</v>
      </c>
      <c r="AF39" s="28">
        <v>0</v>
      </c>
      <c r="AG39" s="213">
        <f>(((1-$W$39)^AB43))*V43</f>
        <v>2.7666194787632312E-2</v>
      </c>
      <c r="AH39" s="28">
        <v>0</v>
      </c>
      <c r="AI39" s="213">
        <f>(((1-$W$39)^AB44))*V44</f>
        <v>1.429308718750171E-2</v>
      </c>
      <c r="AJ39" s="28">
        <v>0</v>
      </c>
      <c r="AK39" s="213">
        <f>(((1-$W$39)^AB45))*V45</f>
        <v>5.1422099929735888E-3</v>
      </c>
      <c r="AL39" s="28">
        <v>0</v>
      </c>
      <c r="AM39" s="213">
        <f>(((1-$W$39)^AB46))*V46</f>
        <v>1.2747181765448133E-3</v>
      </c>
      <c r="AN39" s="28">
        <v>0</v>
      </c>
      <c r="AO39" s="213">
        <f>(((1-$W$39)^AB47))*V47</f>
        <v>2.0935228599098358E-4</v>
      </c>
      <c r="AP39" s="28">
        <v>0</v>
      </c>
      <c r="AQ39" s="213">
        <f>(((1-$W$39)^AB48))*V48</f>
        <v>2.0850148994399563E-5</v>
      </c>
      <c r="AR39" s="28">
        <v>0</v>
      </c>
      <c r="AS39" s="213">
        <f>(((1-$W$39)^AB49))*V49</f>
        <v>1.0348797389245985E-6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6.2716661222634023E-4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5.5432853646717086E-7</v>
      </c>
    </row>
    <row r="40" spans="1:71" x14ac:dyDescent="0.25">
      <c r="G40" s="91">
        <v>1</v>
      </c>
      <c r="H40" s="130">
        <f>L39*J40+L40*J39</f>
        <v>0.24367822679167528</v>
      </c>
      <c r="I40" s="138">
        <v>1</v>
      </c>
      <c r="J40" s="86">
        <f t="shared" si="28"/>
        <v>0.30205949455853132</v>
      </c>
      <c r="K40" s="95">
        <v>1</v>
      </c>
      <c r="L40" s="86">
        <f>AI18</f>
        <v>0.22738255839261298</v>
      </c>
      <c r="M40" s="85">
        <v>1</v>
      </c>
      <c r="N40" s="210">
        <f>(($C$24)^M26)*((1-($C$24))^($B$21-M26))*HLOOKUP($B$21,$AV$24:$BF$34,M26+1)</f>
        <v>0.23247730914034342</v>
      </c>
      <c r="O40" s="72">
        <v>1</v>
      </c>
      <c r="P40" s="210">
        <f t="shared" si="29"/>
        <v>0.23247730914034342</v>
      </c>
      <c r="Q40" s="28">
        <v>1</v>
      </c>
      <c r="R40" s="211">
        <f>P40*N39+P39*N40</f>
        <v>2.9269244134587851E-2</v>
      </c>
      <c r="S40" s="72">
        <v>1</v>
      </c>
      <c r="T40" s="212">
        <f t="shared" ref="T40:T49" si="32">(($C$33)^S40)*((1-($C$33))^(INT($B$23*2*(1-$B$31))-S40))*HLOOKUP(INT($B$23*2*(1-$B$31)),$AV$24:$BF$34,S40+1)</f>
        <v>1.9701497500000002E-2</v>
      </c>
      <c r="U40" s="138">
        <v>1</v>
      </c>
      <c r="V40" s="86">
        <f>R40*T39+T40*R39</f>
        <v>2.8766308067634628E-2</v>
      </c>
      <c r="W40" s="214"/>
      <c r="X40" s="28">
        <v>1</v>
      </c>
      <c r="Y40" s="211"/>
      <c r="Z40" s="28">
        <v>1</v>
      </c>
      <c r="AA40" s="213">
        <f>(1-((1-W39)^Z40))*V40</f>
        <v>1.2116789574868111E-2</v>
      </c>
      <c r="AB40" s="28">
        <v>1</v>
      </c>
      <c r="AC40" s="213">
        <f>((($W$39)^M40)*((1-($W$39))^($U$27-M40))*HLOOKUP($U$27,$AV$24:$BF$34,M40+1))*V41</f>
        <v>4.6773315711033894E-2</v>
      </c>
      <c r="AD40" s="28">
        <v>1</v>
      </c>
      <c r="AE40" s="213">
        <f>((($W$39)^M40)*((1-($W$39))^($U$28-M40))*HLOOKUP($U$28,$AV$24:$BF$34,M40+1))*V42</f>
        <v>8.0312611077914806E-2</v>
      </c>
      <c r="AF40" s="28">
        <v>1</v>
      </c>
      <c r="AG40" s="213">
        <f>((($W$39)^M40)*((1-($W$39))^($U$29-M40))*HLOOKUP($U$29,$AV$24:$BF$34,M40+1))*V43</f>
        <v>8.0536974261374419E-2</v>
      </c>
      <c r="AH40" s="28">
        <v>1</v>
      </c>
      <c r="AI40" s="213">
        <f>((($W$39)^M40)*((1-($W$39))^($U$30-M40))*HLOOKUP($U$30,$AV$24:$BF$34,M40+1))*V44</f>
        <v>5.2009410933248165E-2</v>
      </c>
      <c r="AJ40" s="28">
        <v>1</v>
      </c>
      <c r="AK40" s="213">
        <f>((($W$39)^M40)*((1-($W$39))^($U$31-M40))*HLOOKUP($U$31,$AV$24:$BF$34,M40+1))*V45</f>
        <v>2.2453649862023823E-2</v>
      </c>
      <c r="AL40" s="28">
        <v>1</v>
      </c>
      <c r="AM40" s="213">
        <f>((($W$39)^Q40)*((1-($W$39))^($U$32-Q40))*HLOOKUP($U$32,$AV$24:$BF$34,Q40+1))*V46</f>
        <v>6.4937879995835479E-3</v>
      </c>
      <c r="AN40" s="28">
        <v>1</v>
      </c>
      <c r="AO40" s="213">
        <f>((($W$39)^Q40)*((1-($W$39))^($U$33-Q40))*HLOOKUP($U$33,$AV$24:$BF$34,Q40+1))*V47</f>
        <v>1.218859318951443E-3</v>
      </c>
      <c r="AP40" s="28">
        <v>1</v>
      </c>
      <c r="AQ40" s="213">
        <f>((($W$39)^Q40)*((1-($W$39))^($U$34-Q40))*HLOOKUP($U$34,$AV$24:$BF$34,Q40+1))*V48</f>
        <v>1.3656441852753421E-4</v>
      </c>
      <c r="AR40" s="28">
        <v>1</v>
      </c>
      <c r="AS40" s="213">
        <f>((($W$39)^Q40)*((1-($W$39))^($U$35-Q40))*HLOOKUP($U$35,$AV$24:$BF$34,Q40+1))*V49</f>
        <v>7.5314010055555839E-6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1.7708186254715869E-4</v>
      </c>
      <c r="BQ40" s="31">
        <f t="shared" si="30"/>
        <v>9</v>
      </c>
      <c r="BR40" s="31">
        <v>1</v>
      </c>
      <c r="BS40" s="107">
        <f t="shared" si="31"/>
        <v>1.3921389867194896E-6</v>
      </c>
    </row>
    <row r="41" spans="1:71" x14ac:dyDescent="0.25">
      <c r="G41" s="91">
        <v>2</v>
      </c>
      <c r="H41" s="130">
        <f>L39*J41+J40*L40+J39*L41</f>
        <v>0.28142677377061553</v>
      </c>
      <c r="I41" s="138">
        <v>2</v>
      </c>
      <c r="J41" s="86">
        <f t="shared" si="28"/>
        <v>0.29764149508459498</v>
      </c>
      <c r="K41" s="95">
        <v>2</v>
      </c>
      <c r="L41" s="86">
        <f>AJ18</f>
        <v>2.5809380363302808E-2</v>
      </c>
      <c r="M41" s="85">
        <v>2</v>
      </c>
      <c r="N41" s="210">
        <f>(($C$24)^M27)*((1-($C$24))^($B$21-M27))*HLOOKUP($B$21,$AV$24:$BF$34,M27+1)</f>
        <v>0.34341573504234801</v>
      </c>
      <c r="O41" s="72">
        <v>2</v>
      </c>
      <c r="P41" s="210">
        <f t="shared" si="29"/>
        <v>0.34341573504234801</v>
      </c>
      <c r="Q41" s="28">
        <v>2</v>
      </c>
      <c r="R41" s="211">
        <f>P41*N39+P40*N40+P39*N41</f>
        <v>9.7282258677242661E-2</v>
      </c>
      <c r="S41" s="72">
        <v>2</v>
      </c>
      <c r="T41" s="212">
        <f t="shared" si="32"/>
        <v>1.4850375000000001E-4</v>
      </c>
      <c r="U41" s="138">
        <v>2</v>
      </c>
      <c r="V41" s="86">
        <f>R41*T39+T40*R40+R39*T41</f>
        <v>9.5928393692608263E-2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1.7019784218855787E-2</v>
      </c>
      <c r="AD41" s="28">
        <v>2</v>
      </c>
      <c r="AE41" s="213">
        <f>((($W$39)^M41)*((1-($W$39))^($U$28-M41))*HLOOKUP($U$28,$AV$24:$BF$34,M41+1))*V42</f>
        <v>5.8447997103465661E-2</v>
      </c>
      <c r="AF41" s="28">
        <v>2</v>
      </c>
      <c r="AG41" s="213">
        <f>((($W$39)^M41)*((1-($W$39))^($U$29-M41))*HLOOKUP($U$29,$AV$24:$BF$34,M41+1))*V43</f>
        <v>8.7916918187058088E-2</v>
      </c>
      <c r="AH41" s="28">
        <v>2</v>
      </c>
      <c r="AI41" s="213">
        <f>((($W$39)^M41)*((1-($W$39))^($U$30-M41))*HLOOKUP($U$30,$AV$24:$BF$34,M41+1))*V44</f>
        <v>7.5700337936475626E-2</v>
      </c>
      <c r="AJ41" s="28">
        <v>2</v>
      </c>
      <c r="AK41" s="213">
        <f>((($W$39)^M41)*((1-($W$39))^($U$31-M41))*HLOOKUP($U$31,$AV$24:$BF$34,M41+1))*V45</f>
        <v>4.085195477036014E-2</v>
      </c>
      <c r="AL41" s="28">
        <v>2</v>
      </c>
      <c r="AM41" s="213">
        <f>((($W$39)^Q41)*((1-($W$39))^($U$32-Q41))*HLOOKUP($U$32,$AV$24:$BF$34,Q41+1))*V46</f>
        <v>1.4177682574233406E-2</v>
      </c>
      <c r="AN41" s="28">
        <v>2</v>
      </c>
      <c r="AO41" s="213">
        <f>((($W$39)^Q41)*((1-($W$39))^($U$33-Q41))*HLOOKUP($U$33,$AV$24:$BF$34,Q41+1))*V47</f>
        <v>3.1046133036407683E-3</v>
      </c>
      <c r="AP41" s="28">
        <v>2</v>
      </c>
      <c r="AQ41" s="213">
        <f>((($W$39)^Q41)*((1-($W$39))^($U$34-Q41))*HLOOKUP($U$34,$AV$24:$BF$34,Q41+1))*V48</f>
        <v>3.9754238500801231E-4</v>
      </c>
      <c r="AR41" s="28">
        <v>2</v>
      </c>
      <c r="AS41" s="213">
        <f>((($W$39)^Q41)*((1-($W$39))^($U$35-Q41))*HLOOKUP($U$35,$AV$24:$BF$34,Q41+1))*V49</f>
        <v>2.4664605497487093E-5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3.9178951239684654E-5</v>
      </c>
      <c r="BQ41" s="31">
        <f t="shared" si="30"/>
        <v>9</v>
      </c>
      <c r="BR41" s="31">
        <v>2</v>
      </c>
      <c r="BS41" s="107">
        <f t="shared" si="31"/>
        <v>1.6077972530869723E-6</v>
      </c>
    </row>
    <row r="42" spans="1:71" ht="15" customHeight="1" x14ac:dyDescent="0.25">
      <c r="G42" s="91">
        <v>3</v>
      </c>
      <c r="H42" s="130">
        <f>J42*L39+J41*L40+L42*J39+L41*J40</f>
        <v>0.20383957289425572</v>
      </c>
      <c r="I42" s="138">
        <v>3</v>
      </c>
      <c r="J42" s="86">
        <f t="shared" si="28"/>
        <v>0.17400331234586755</v>
      </c>
      <c r="K42" s="95">
        <v>3</v>
      </c>
      <c r="L42" s="86">
        <f>AK18</f>
        <v>4.4014852741905683E-2</v>
      </c>
      <c r="M42" s="85">
        <v>3</v>
      </c>
      <c r="N42" s="210">
        <f>(($C$24)^M28)*((1-($C$24))^($B$21-M28))*HLOOKUP($B$21,$AV$24:$BF$34,M28+1)</f>
        <v>0.25364704949221684</v>
      </c>
      <c r="O42" s="72">
        <v>3</v>
      </c>
      <c r="P42" s="210">
        <f t="shared" si="29"/>
        <v>0.25364704949221684</v>
      </c>
      <c r="Q42" s="28">
        <v>3</v>
      </c>
      <c r="R42" s="211">
        <f>P42*N39+P41*N40+P40*N41+P39*N42</f>
        <v>0.1916072783978357</v>
      </c>
      <c r="S42" s="72">
        <v>3</v>
      </c>
      <c r="T42" s="212">
        <f t="shared" si="32"/>
        <v>4.9750000000000011E-7</v>
      </c>
      <c r="U42" s="138">
        <v>3</v>
      </c>
      <c r="V42" s="86">
        <f>R42*T39+R41*T40+R40*T41+R39*T42</f>
        <v>0.1897247329778835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1.4178629896171406E-2</v>
      </c>
      <c r="AF42" s="28">
        <v>3</v>
      </c>
      <c r="AG42" s="213">
        <f>((($W$39)^M42)*((1-($W$39))^($U$29-M42))*HLOOKUP($U$29,$AV$24:$BF$34,M42+1))*V43</f>
        <v>4.2654718942023905E-2</v>
      </c>
      <c r="AH42" s="28">
        <v>3</v>
      </c>
      <c r="AI42" s="213">
        <f>((($W$39)^M42)*((1-($W$39))^($U$30-M42))*HLOOKUP($U$30,$AV$24:$BF$34,M42+1))*V44</f>
        <v>5.5091386932371852E-2</v>
      </c>
      <c r="AJ42" s="28">
        <v>3</v>
      </c>
      <c r="AK42" s="213">
        <f>((($W$39)^M42)*((1-($W$39))^($U$31-M42))*HLOOKUP($U$31,$AV$24:$BF$34,M42+1))*V45</f>
        <v>3.9640348749587891E-2</v>
      </c>
      <c r="AL42" s="28">
        <v>3</v>
      </c>
      <c r="AM42" s="213">
        <f>((($W$39)^Q42)*((1-($W$39))^($U$32-Q42))*HLOOKUP($U$32,$AV$24:$BF$34,Q42+1))*V46</f>
        <v>1.7196492948218987E-2</v>
      </c>
      <c r="AN42" s="28">
        <v>3</v>
      </c>
      <c r="AO42" s="213">
        <f>((($W$39)^Q42)*((1-($W$39))^($U$33-Q42))*HLOOKUP($U$33,$AV$24:$BF$34,Q42+1))*V47</f>
        <v>4.518802886449195E-3</v>
      </c>
      <c r="AP42" s="28">
        <v>3</v>
      </c>
      <c r="AQ42" s="213">
        <f>((($W$39)^Q42)*((1-($W$39))^($U$34-Q42))*HLOOKUP($U$34,$AV$24:$BF$34,Q42+1))*V48</f>
        <v>6.7506580842527559E-4</v>
      </c>
      <c r="AR42" s="28">
        <v>3</v>
      </c>
      <c r="AS42" s="213">
        <f>((($W$39)^Q42)*((1-($W$39))^($U$35-Q42))*HLOOKUP($U$35,$AV$24:$BF$34,Q42+1))*V49</f>
        <v>4.7866182619039051E-5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6.518361120277076E-6</v>
      </c>
      <c r="BQ42" s="31">
        <f t="shared" si="30"/>
        <v>9</v>
      </c>
      <c r="BR42" s="31">
        <v>3</v>
      </c>
      <c r="BS42" s="107">
        <f t="shared" si="31"/>
        <v>1.1645398942636969E-6</v>
      </c>
    </row>
    <row r="43" spans="1:71" ht="15" customHeight="1" x14ac:dyDescent="0.25">
      <c r="G43" s="91">
        <v>4</v>
      </c>
      <c r="H43" s="130">
        <f>J43*L39+J42*L40+J41*L41+J40*L42</f>
        <v>0.10753601065828797</v>
      </c>
      <c r="I43" s="138">
        <v>4</v>
      </c>
      <c r="J43" s="86">
        <f t="shared" si="28"/>
        <v>6.686696033620157E-2</v>
      </c>
      <c r="K43" s="95">
        <v>4</v>
      </c>
      <c r="L43" s="86"/>
      <c r="M43" s="85">
        <v>4</v>
      </c>
      <c r="N43" s="210">
        <f>(($C$24)^M29)*((1-($C$24))^($B$21-M29))*HLOOKUP($B$21,$AV$24:$BF$34,M29+1)</f>
        <v>9.3671924654491256E-2</v>
      </c>
      <c r="O43" s="72">
        <v>4</v>
      </c>
      <c r="P43" s="210">
        <f t="shared" si="29"/>
        <v>9.3671924654491256E-2</v>
      </c>
      <c r="Q43" s="28">
        <v>4</v>
      </c>
      <c r="R43" s="211">
        <f>P43*N39+P42*N40+P41*N41+P40*N42+P39*N43</f>
        <v>0.24766217085681999</v>
      </c>
      <c r="S43" s="72">
        <v>4</v>
      </c>
      <c r="T43" s="212">
        <f t="shared" si="32"/>
        <v>6.2500000000000001E-10</v>
      </c>
      <c r="U43" s="138">
        <v>4</v>
      </c>
      <c r="V43" s="86">
        <f>T43*R39+T42*R40+T41*R41+T40*R42+T39*R43</f>
        <v>0.24653536474950008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7.7605585714113617E-3</v>
      </c>
      <c r="AH43" s="28">
        <v>4</v>
      </c>
      <c r="AI43" s="213">
        <f>((($W$39)^M43)*((1-($W$39))^($U$30-M43))*HLOOKUP($U$30,$AV$24:$BF$34,M43+1))*V44</f>
        <v>2.0046547986874257E-2</v>
      </c>
      <c r="AJ43" s="28">
        <v>4</v>
      </c>
      <c r="AK43" s="213">
        <f>((($W$39)^M43)*((1-($W$39))^($U$31-M43))*HLOOKUP($U$31,$AV$24:$BF$34,M43+1))*V45</f>
        <v>2.1636380866591642E-2</v>
      </c>
      <c r="AL43" s="28">
        <v>4</v>
      </c>
      <c r="AM43" s="213">
        <f>((($W$39)^Q43)*((1-($W$39))^($U$32-Q43))*HLOOKUP($U$32,$AV$24:$BF$34,Q43+1))*V46</f>
        <v>1.2514853601910399E-2</v>
      </c>
      <c r="AN43" s="28">
        <v>4</v>
      </c>
      <c r="AO43" s="213">
        <f>((($W$39)^Q43)*((1-($W$39))^($U$33-Q43))*HLOOKUP($U$33,$AV$24:$BF$34,Q43+1))*V47</f>
        <v>4.1107332720462372E-3</v>
      </c>
      <c r="AP43" s="28">
        <v>4</v>
      </c>
      <c r="AQ43" s="213">
        <f>((($W$39)^Q43)*((1-($W$39))^($U$34-Q43))*HLOOKUP($U$34,$AV$24:$BF$34,Q43+1))*V48</f>
        <v>7.3692494651701019E-4</v>
      </c>
      <c r="AR43" s="28">
        <v>4</v>
      </c>
      <c r="AS43" s="213">
        <f>((($W$39)^Q43)*((1-($W$39))^($U$35-Q43))*HLOOKUP($U$35,$AV$24:$BF$34,Q43+1))*V49</f>
        <v>6.0961090850669098E-5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7.8107235730100048E-7</v>
      </c>
      <c r="BQ43" s="31">
        <f t="shared" si="30"/>
        <v>9</v>
      </c>
      <c r="BR43" s="31">
        <v>4</v>
      </c>
      <c r="BS43" s="107">
        <f t="shared" si="31"/>
        <v>6.1435555767430422E-7</v>
      </c>
    </row>
    <row r="44" spans="1:71" ht="15" customHeight="1" thickBot="1" x14ac:dyDescent="0.3">
      <c r="G44" s="91">
        <v>5</v>
      </c>
      <c r="H44" s="130">
        <f>J44*L39+J43*L40+J42*L41+J41*L42</f>
        <v>4.5209865517960544E-2</v>
      </c>
      <c r="I44" s="138">
        <v>5</v>
      </c>
      <c r="J44" s="86">
        <f t="shared" si="28"/>
        <v>1.7663689127555088E-2</v>
      </c>
      <c r="K44" s="95">
        <v>5</v>
      </c>
      <c r="L44" s="86"/>
      <c r="M44" s="85">
        <v>5</v>
      </c>
      <c r="N44" s="210">
        <f>(($C$24)^M30)*((1-($C$24))^($B$21-M30))*HLOOKUP($B$21,$AV$24:$BF$34,M30+1)</f>
        <v>1.3837226943569756E-2</v>
      </c>
      <c r="O44" s="72">
        <v>5</v>
      </c>
      <c r="P44" s="210">
        <f t="shared" si="29"/>
        <v>1.3837226943569756E-2</v>
      </c>
      <c r="Q44" s="28">
        <v>5</v>
      </c>
      <c r="R44" s="211">
        <f>P44*N39+P43*N40+P42*N41+P41*N42+P40*N43+P39*N44</f>
        <v>0.21950809761558504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0.22005857071662602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2.9177997401544139E-3</v>
      </c>
      <c r="AJ44" s="28">
        <v>5</v>
      </c>
      <c r="AK44" s="213">
        <f>((($W$39)^M44)*((1-($W$39))^($U$31-M44))*HLOOKUP($U$31,$AV$24:$BF$34,M44+1))*V45</f>
        <v>6.2984037462967329E-3</v>
      </c>
      <c r="AL44" s="28">
        <v>5</v>
      </c>
      <c r="AM44" s="213">
        <f>((($W$39)^Q44)*((1-($W$39))^($U$32-Q44))*HLOOKUP($U$32,$AV$24:$BF$34,Q44+1))*V46</f>
        <v>5.4646570489294104E-3</v>
      </c>
      <c r="AN44" s="28">
        <v>5</v>
      </c>
      <c r="AO44" s="213">
        <f>((($W$39)^Q44)*((1-($W$39))^($U$33-Q44))*HLOOKUP($U$33,$AV$24:$BF$34,Q44+1))*V47</f>
        <v>2.3932891549954716E-3</v>
      </c>
      <c r="AP44" s="28">
        <v>5</v>
      </c>
      <c r="AQ44" s="213">
        <f>((($W$39)^Q44)*((1-($W$39))^($U$34-Q44))*HLOOKUP($U$34,$AV$24:$BF$34,Q44+1))*V48</f>
        <v>5.3630166621916901E-4</v>
      </c>
      <c r="AR44" s="28">
        <v>5</v>
      </c>
      <c r="AS44" s="213">
        <f>((($W$39)^Q44)*((1-($W$39))^($U$35-Q44))*HLOOKUP($U$35,$AV$24:$BF$34,Q44+1))*V49</f>
        <v>5.3237770959890796E-5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1.8231134662508069E-4</v>
      </c>
      <c r="BQ44" s="31">
        <f t="shared" si="30"/>
        <v>9</v>
      </c>
      <c r="BR44" s="31">
        <v>5</v>
      </c>
      <c r="BS44" s="107">
        <f t="shared" si="31"/>
        <v>2.582849407620859E-7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1.5687088443583769E-2</v>
      </c>
      <c r="I45" s="138">
        <v>6</v>
      </c>
      <c r="J45" s="86">
        <f t="shared" si="28"/>
        <v>3.2529463985839554E-3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0.13510733400382491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0.13678689833755509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7.6395034972127115E-4</v>
      </c>
      <c r="AL45" s="28">
        <v>6</v>
      </c>
      <c r="AM45" s="213">
        <f>((($W$39)^Q45)*((1-($W$39))^($U$32-Q45))*HLOOKUP($U$32,$AV$24:$BF$34,Q45+1))*V46</f>
        <v>1.3256459356360071E-3</v>
      </c>
      <c r="AN45" s="28">
        <v>6</v>
      </c>
      <c r="AO45" s="213">
        <f>((($W$39)^Q45)*((1-($W$39))^($U$33-Q45))*HLOOKUP($U$33,$AV$24:$BF$34,Q45+1))*V47</f>
        <v>8.7086545762548088E-4</v>
      </c>
      <c r="AP45" s="28">
        <v>6</v>
      </c>
      <c r="AQ45" s="213">
        <f>((($W$39)^Q45)*((1-($W$39))^($U$34-Q45))*HLOOKUP($U$34,$AV$24:$BF$34,Q45+1))*V48</f>
        <v>2.6019789265185178E-4</v>
      </c>
      <c r="AR45" s="28">
        <v>6</v>
      </c>
      <c r="AS45" s="213">
        <f>((($W$39)^Q45)*((1-($W$39))^($U$35-Q45))*HLOOKUP($U$35,$AV$24:$BF$34,Q45+1))*V49</f>
        <v>3.2286762949344749E-5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5.1476006844890601E-5</v>
      </c>
      <c r="BQ45" s="31">
        <f t="shared" si="30"/>
        <v>9</v>
      </c>
      <c r="BR45" s="31">
        <v>6</v>
      </c>
      <c r="BS45" s="107">
        <f t="shared" si="31"/>
        <v>8.9620675995397509E-8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4.4292836789744435E-3</v>
      </c>
      <c r="I46" s="138">
        <v>7</v>
      </c>
      <c r="J46" s="86">
        <f t="shared" si="28"/>
        <v>4.1348168597238273E-4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5.7023057541285477E-2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5.8585659283645453E-2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1.378209985888878E-4</v>
      </c>
      <c r="AN46" s="28">
        <v>7</v>
      </c>
      <c r="AO46" s="213">
        <f>((($W$39)^Q46)*((1-($W$39))^($U$33-Q46))*HLOOKUP($U$33,$AV$24:$BF$34,Q46+1))*V47</f>
        <v>1.8107934219845613E-4</v>
      </c>
      <c r="AP46" s="28">
        <v>7</v>
      </c>
      <c r="AQ46" s="213">
        <f>((($W$39)^Q46)*((1-($W$39))^($U$34-Q46))*HLOOKUP($U$34,$AV$24:$BF$34,Q46+1))*V48</f>
        <v>8.1154550620179323E-5</v>
      </c>
      <c r="AR46" s="28">
        <v>7</v>
      </c>
      <c r="AS46" s="213">
        <f>((($W$39)^Q46)*((1-($W$39))^($U$35-Q46))*HLOOKUP($U$35,$AV$24:$BF$34,Q46+1))*V49</f>
        <v>1.3426794564859473E-5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1.1388947084586681E-5</v>
      </c>
      <c r="BQ46" s="31">
        <f t="shared" si="30"/>
        <v>9</v>
      </c>
      <c r="BR46" s="31">
        <v>7</v>
      </c>
      <c r="BS46" s="107">
        <f t="shared" si="31"/>
        <v>2.5304593577875251E-8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9.7996873756089355E-4</v>
      </c>
      <c r="I47" s="138">
        <v>8</v>
      </c>
      <c r="J47" s="86">
        <f t="shared" si="28"/>
        <v>3.4902168843737798E-5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1.5793973043258035E-2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1.6624067722645561E-2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1.647270074752814E-5</v>
      </c>
      <c r="AP47" s="28">
        <v>8</v>
      </c>
      <c r="AQ47" s="213">
        <f>((($W$39)^Q47)*((1-($W$39))^($U$34-Q47))*HLOOKUP($U$34,$AV$24:$BF$34,Q47+1))*V48</f>
        <v>1.4765180947048261E-5</v>
      </c>
      <c r="AR47" s="28">
        <v>8</v>
      </c>
      <c r="AS47" s="213">
        <f>((($W$39)^Q47)*((1-($W$39))^($U$35-Q47))*HLOOKUP($U$35,$AV$24:$BF$34,Q47+1))*V49</f>
        <v>3.6642871491613992E-6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1.894825346980378E-6</v>
      </c>
      <c r="BQ47" s="31">
        <f>BM12+1</f>
        <v>9</v>
      </c>
      <c r="BR47" s="31">
        <v>8</v>
      </c>
      <c r="BS47" s="107">
        <f t="shared" si="31"/>
        <v>5.5985826197394439E-9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1.6304137593998937E-4</v>
      </c>
      <c r="I48" s="138">
        <v>9</v>
      </c>
      <c r="J48" s="86">
        <f t="shared" si="28"/>
        <v>1.7865407094912941E-6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2.5923193593703252E-3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2.8605609369467344E-3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1.193939036254763E-6</v>
      </c>
      <c r="AR48" s="28">
        <v>9</v>
      </c>
      <c r="AS48" s="213">
        <f>((($W$39)^Q48)*((1-($W$39))^($U$35-Q48))*HLOOKUP($U$35,$AV$24:$BF$34,Q48+1))*V49</f>
        <v>5.9260167323653107E-7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2.2705027738272039E-7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1.9536676396602124E-5</v>
      </c>
      <c r="I49" s="94">
        <v>10</v>
      </c>
      <c r="J49" s="89">
        <f t="shared" si="28"/>
        <v>4.3126951565844863E-8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1.9146884948785281E-4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2.4530950395973417E-4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4.3126951565844863E-8</v>
      </c>
      <c r="BI49" s="31">
        <f>BQ14+1</f>
        <v>6</v>
      </c>
      <c r="BJ49" s="31">
        <v>0</v>
      </c>
      <c r="BK49" s="107">
        <f>$H$31*H39</f>
        <v>2.593842276524096E-4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5"/>
      <c r="J50" s="295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5"/>
      <c r="X50" s="158"/>
      <c r="Y50" s="158"/>
      <c r="BI50" s="31">
        <f>BI45+1</f>
        <v>6</v>
      </c>
      <c r="BJ50" s="31">
        <v>7</v>
      </c>
      <c r="BK50" s="107">
        <f>$H$31*H46</f>
        <v>1.1840654105751626E-5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2.6197172493127147E-6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4.3585299054004626E-7</v>
      </c>
    </row>
    <row r="53" spans="1:63" x14ac:dyDescent="0.25">
      <c r="BI53" s="31">
        <f>BI48+1</f>
        <v>6</v>
      </c>
      <c r="BJ53" s="31">
        <v>10</v>
      </c>
      <c r="BK53" s="107">
        <f>$H$31*H49</f>
        <v>5.2226735597510719E-8</v>
      </c>
    </row>
    <row r="54" spans="1:63" x14ac:dyDescent="0.25">
      <c r="BI54" s="31">
        <f>BI51+1</f>
        <v>7</v>
      </c>
      <c r="BJ54" s="31">
        <v>8</v>
      </c>
      <c r="BK54" s="107">
        <f>$H$32*H47</f>
        <v>4.5892844600838205E-7</v>
      </c>
    </row>
    <row r="55" spans="1:63" x14ac:dyDescent="0.25">
      <c r="BI55" s="31">
        <f>BI52+1</f>
        <v>7</v>
      </c>
      <c r="BJ55" s="31">
        <v>9</v>
      </c>
      <c r="BK55" s="107">
        <f>$H$32*H48</f>
        <v>7.6353788062099554E-8</v>
      </c>
    </row>
    <row r="56" spans="1:63" x14ac:dyDescent="0.25">
      <c r="BI56" s="31">
        <f>BI53+1</f>
        <v>7</v>
      </c>
      <c r="BJ56" s="31">
        <v>10</v>
      </c>
      <c r="BK56" s="107">
        <f>$H$32*H49</f>
        <v>9.1492066993658778E-9</v>
      </c>
    </row>
    <row r="57" spans="1:63" x14ac:dyDescent="0.25">
      <c r="BI57" s="31">
        <f>BI55+1</f>
        <v>8</v>
      </c>
      <c r="BJ57" s="31">
        <v>9</v>
      </c>
      <c r="BK57" s="107">
        <f>$H$33*H48</f>
        <v>9.9102757143475396E-9</v>
      </c>
    </row>
    <row r="58" spans="1:63" x14ac:dyDescent="0.25">
      <c r="BI58" s="31">
        <f>BI56+1</f>
        <v>8</v>
      </c>
      <c r="BJ58" s="31">
        <v>10</v>
      </c>
      <c r="BK58" s="107">
        <f>$H$33*H49</f>
        <v>1.1875135898238265E-9</v>
      </c>
    </row>
    <row r="59" spans="1:63" x14ac:dyDescent="0.25">
      <c r="BI59" s="31">
        <f>BI58+1</f>
        <v>9</v>
      </c>
      <c r="BJ59" s="31">
        <v>10</v>
      </c>
      <c r="BK59" s="107">
        <f>$H$34*H49</f>
        <v>1.1161345533708308E-10</v>
      </c>
    </row>
  </sheetData>
  <mergeCells count="2">
    <mergeCell ref="Q1:R1"/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60D9-C363-4817-97F5-BF44DF229C9B}">
  <sheetPr>
    <tabColor theme="9" tint="-0.249977111117893"/>
  </sheetPr>
  <dimension ref="A1:BS59"/>
  <sheetViews>
    <sheetView tabSelected="1" zoomScale="90" zoomScaleNormal="90" workbookViewId="0">
      <selection activeCell="B13" sqref="B1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9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0"/>
      <c r="R1" s="300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9" t="s">
        <v>145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0.59256993006993008</v>
      </c>
      <c r="U2" s="256">
        <f t="shared" si="0"/>
        <v>0.79229720279720284</v>
      </c>
      <c r="V2" s="158"/>
      <c r="W2" s="158"/>
      <c r="X2" s="290">
        <f t="shared" ref="X2:Y2" si="1">SUM(X4:X15)</f>
        <v>0.32935646853146849</v>
      </c>
      <c r="Y2" s="291">
        <f t="shared" si="1"/>
        <v>0.46352465034965035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1" t="s">
        <v>5</v>
      </c>
      <c r="C3" s="301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2</v>
      </c>
      <c r="Q4" s="251">
        <f>COUNTIF(E8:I9,"IMP")</f>
        <v>0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0.15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8.5499999999999993E-2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3.3583181422440372E-3</v>
      </c>
      <c r="BM4" s="31">
        <v>0</v>
      </c>
      <c r="BN4" s="31">
        <v>0</v>
      </c>
      <c r="BO4" s="107">
        <f>H25*H39</f>
        <v>9.0675697875553538E-4</v>
      </c>
      <c r="BQ4" s="31">
        <v>1</v>
      </c>
      <c r="BR4" s="31">
        <v>0</v>
      </c>
      <c r="BS4" s="107">
        <f>$H$26*H39</f>
        <v>4.2086750410683946E-3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2</v>
      </c>
      <c r="R5" s="258">
        <f t="shared" si="2"/>
        <v>0.35</v>
      </c>
      <c r="S5" s="258">
        <f t="shared" si="3"/>
        <v>0.35</v>
      </c>
      <c r="T5" s="263">
        <f t="shared" si="4"/>
        <v>0</v>
      </c>
      <c r="U5" s="265">
        <f t="shared" si="5"/>
        <v>8.7499999999999994E-2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4.9874999999999996E-2</v>
      </c>
      <c r="Z5" s="236"/>
      <c r="AA5" s="281">
        <f t="shared" si="6"/>
        <v>1.5576923076923078E-2</v>
      </c>
      <c r="AB5" s="282">
        <f t="shared" si="7"/>
        <v>0.98442307692307696</v>
      </c>
      <c r="AC5" s="282">
        <f>AA5*PRODUCT(AB3:AB4)*PRODUCT(AB6:AB17)</f>
        <v>1.2284605021606399E-2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3.03631932598614E-3</v>
      </c>
      <c r="AE5" s="220"/>
      <c r="AF5" s="234"/>
      <c r="AG5" s="283">
        <f t="shared" ref="AG5:AG15" si="12">Y5</f>
        <v>4.9874999999999996E-2</v>
      </c>
      <c r="AH5" s="284">
        <f t="shared" si="8"/>
        <v>0.950125</v>
      </c>
      <c r="AI5" s="284">
        <f>AG5*PRODUCT(AH3:AH4)*PRODUCT(AH6:AH17)</f>
        <v>3.2371701763407167E-2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1.4641101080261594E-2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5.7342054039606401E-3</v>
      </c>
      <c r="BM5" s="31">
        <v>1</v>
      </c>
      <c r="BN5" s="31">
        <v>1</v>
      </c>
      <c r="BO5" s="107">
        <f>$H$26*H40</f>
        <v>1.5587494859568373E-2</v>
      </c>
      <c r="BQ5" s="31">
        <f>BQ4+1</f>
        <v>2</v>
      </c>
      <c r="BR5" s="31">
        <v>0</v>
      </c>
      <c r="BS5" s="107">
        <f>$H$27*H39</f>
        <v>8.6532210423930118E-3</v>
      </c>
    </row>
    <row r="6" spans="1:71" ht="15.75" x14ac:dyDescent="0.25">
      <c r="A6" s="2" t="s">
        <v>35</v>
      </c>
      <c r="B6" s="269">
        <v>3.25</v>
      </c>
      <c r="C6" s="270">
        <v>10.5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2</v>
      </c>
      <c r="R6" s="258">
        <f t="shared" si="2"/>
        <v>0.45</v>
      </c>
      <c r="S6" s="258">
        <f t="shared" si="3"/>
        <v>0.45</v>
      </c>
      <c r="T6" s="263">
        <f t="shared" si="4"/>
        <v>3.4615384615384617E-2</v>
      </c>
      <c r="U6" s="265">
        <f t="shared" si="5"/>
        <v>3.4615384615384617E-2</v>
      </c>
      <c r="V6" s="255">
        <f>$G$18</f>
        <v>0.45</v>
      </c>
      <c r="W6" s="253">
        <f>$H$18</f>
        <v>0.45</v>
      </c>
      <c r="X6" s="288">
        <f t="shared" si="11"/>
        <v>1.5576923076923078E-2</v>
      </c>
      <c r="Y6" s="289">
        <f t="shared" si="11"/>
        <v>1.5576923076923078E-2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1.5576923076923078E-2</v>
      </c>
      <c r="AH6" s="284">
        <f t="shared" si="8"/>
        <v>0.98442307692307696</v>
      </c>
      <c r="AI6" s="284">
        <f>AG6*PRODUCT(AH3:AH5)*PRODUCT(AH7:AH17)</f>
        <v>9.7580548917695163E-3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4.2589758133120643E-3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5.9834095775792547E-3</v>
      </c>
      <c r="BM6" s="31">
        <f>BI14+1</f>
        <v>2</v>
      </c>
      <c r="BN6" s="31">
        <v>2</v>
      </c>
      <c r="BO6" s="107">
        <f>$H$27*H41</f>
        <v>5.4721770028233183E-2</v>
      </c>
      <c r="BQ6" s="31">
        <f>BM5+1</f>
        <v>2</v>
      </c>
      <c r="BR6" s="31">
        <v>1</v>
      </c>
      <c r="BS6" s="107">
        <f>$H$27*H40</f>
        <v>3.2048575193101489E-2</v>
      </c>
    </row>
    <row r="7" spans="1:71" ht="15.75" x14ac:dyDescent="0.25">
      <c r="A7" s="5" t="s">
        <v>40</v>
      </c>
      <c r="B7" s="269">
        <v>23.5</v>
      </c>
      <c r="C7" s="270">
        <v>4.25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0.02</v>
      </c>
      <c r="T7" s="263">
        <f t="shared" si="4"/>
        <v>0</v>
      </c>
      <c r="U7" s="265">
        <f t="shared" si="5"/>
        <v>5.0000000000000001E-3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2.2500000000000003E-3</v>
      </c>
      <c r="Z7" s="236"/>
      <c r="AA7" s="281">
        <f t="shared" si="6"/>
        <v>8.9062499999999989E-2</v>
      </c>
      <c r="AB7" s="282">
        <f t="shared" si="7"/>
        <v>0.91093749999999996</v>
      </c>
      <c r="AC7" s="282">
        <f>AA7*PRODUCT(AB3:AB6)*PRODUCT(AB8:AB17)</f>
        <v>7.5904514897812053E-2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1.1339711932977906E-2</v>
      </c>
      <c r="AE7" s="220"/>
      <c r="AF7" s="234"/>
      <c r="AG7" s="283">
        <f t="shared" si="12"/>
        <v>2.2500000000000003E-3</v>
      </c>
      <c r="AH7" s="284">
        <f t="shared" si="8"/>
        <v>0.99775000000000003</v>
      </c>
      <c r="AI7" s="284">
        <f>AG7*PRODUCT(AH3:AH6)*PRODUCT(AH8:AH17)</f>
        <v>1.3906702021483934E-3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6.0383231442886608E-4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4.2636026590753533E-3</v>
      </c>
      <c r="BM7" s="31">
        <f>BI23+1</f>
        <v>3</v>
      </c>
      <c r="BN7" s="31">
        <v>3</v>
      </c>
      <c r="BO7" s="107">
        <f>$H$28*H42</f>
        <v>6.8456040887709443E-2</v>
      </c>
      <c r="BQ7" s="31">
        <f>BQ5+1</f>
        <v>3</v>
      </c>
      <c r="BR7" s="31">
        <v>0</v>
      </c>
      <c r="BS7" s="107">
        <f>$H$28*H39</f>
        <v>1.0374184151708711E-2</v>
      </c>
    </row>
    <row r="8" spans="1:71" ht="15.75" x14ac:dyDescent="0.25">
      <c r="A8" s="5" t="s">
        <v>44</v>
      </c>
      <c r="B8" s="269">
        <v>21.5</v>
      </c>
      <c r="C8" s="270">
        <v>7.5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5</v>
      </c>
      <c r="Q8" s="251">
        <f>COUNTIF(E10:I11,"RAP")</f>
        <v>2</v>
      </c>
      <c r="R8" s="258">
        <f t="shared" si="2"/>
        <v>0.5</v>
      </c>
      <c r="S8" s="258">
        <f t="shared" si="3"/>
        <v>0.5</v>
      </c>
      <c r="T8" s="263">
        <f t="shared" si="4"/>
        <v>0.15625</v>
      </c>
      <c r="U8" s="265">
        <f t="shared" si="5"/>
        <v>6.25E-2</v>
      </c>
      <c r="V8" s="255">
        <f>$G$17</f>
        <v>0.56999999999999995</v>
      </c>
      <c r="W8" s="253">
        <f>$H$17</f>
        <v>0.56999999999999995</v>
      </c>
      <c r="X8" s="288">
        <f t="shared" si="11"/>
        <v>8.9062499999999989E-2</v>
      </c>
      <c r="Y8" s="289">
        <f t="shared" si="11"/>
        <v>3.5624999999999997E-2</v>
      </c>
      <c r="Z8" s="236"/>
      <c r="AA8" s="281">
        <f t="shared" si="6"/>
        <v>8.9062499999999989E-2</v>
      </c>
      <c r="AB8" s="282">
        <f t="shared" si="7"/>
        <v>0.91093749999999996</v>
      </c>
      <c r="AC8" s="282">
        <f>AA8*PRODUCT(AB3:AB7)*PRODUCT(AB9:AB17)</f>
        <v>7.5904514897812081E-2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3.9185157937407025E-3</v>
      </c>
      <c r="AE8" s="220"/>
      <c r="AF8" s="234"/>
      <c r="AG8" s="283">
        <f t="shared" si="12"/>
        <v>3.5624999999999997E-2</v>
      </c>
      <c r="AH8" s="284">
        <f t="shared" si="8"/>
        <v>0.96437499999999998</v>
      </c>
      <c r="AI8" s="284">
        <f>AG8*PRODUCT(AH3:AH7)*PRODUCT(AH9:AH17)</f>
        <v>2.278097445640755E-2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9.0500008508923747E-3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2.1954704889543602E-3</v>
      </c>
      <c r="BM8" s="31">
        <f>BI31+1</f>
        <v>4</v>
      </c>
      <c r="BN8" s="31">
        <v>4</v>
      </c>
      <c r="BO8" s="107">
        <f>$H$29*H43</f>
        <v>3.7802599215109027E-2</v>
      </c>
      <c r="BQ8" s="31">
        <f>BQ6+1</f>
        <v>3</v>
      </c>
      <c r="BR8" s="31">
        <v>1</v>
      </c>
      <c r="BS8" s="107">
        <f>$H$28*H40</f>
        <v>3.8422434747046881E-2</v>
      </c>
    </row>
    <row r="9" spans="1:71" ht="15.75" x14ac:dyDescent="0.25">
      <c r="A9" s="5" t="s">
        <v>47</v>
      </c>
      <c r="B9" s="269">
        <v>24</v>
      </c>
      <c r="C9" s="270">
        <v>9.75</v>
      </c>
      <c r="E9" s="280" t="s">
        <v>162</v>
      </c>
      <c r="F9" s="280" t="s">
        <v>162</v>
      </c>
      <c r="G9" s="280" t="s">
        <v>162</v>
      </c>
      <c r="H9" s="280" t="s">
        <v>144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5</v>
      </c>
      <c r="Q9" s="251">
        <f>COUNTIF(E10:I11,"RAP")</f>
        <v>2</v>
      </c>
      <c r="R9" s="258">
        <f t="shared" si="2"/>
        <v>0.5</v>
      </c>
      <c r="S9" s="258">
        <f t="shared" si="3"/>
        <v>0.5</v>
      </c>
      <c r="T9" s="263">
        <f t="shared" si="4"/>
        <v>0.15625</v>
      </c>
      <c r="U9" s="265">
        <f t="shared" si="5"/>
        <v>6.25E-2</v>
      </c>
      <c r="V9" s="255">
        <f>$G$17</f>
        <v>0.56999999999999995</v>
      </c>
      <c r="W9" s="253">
        <f>$H$17</f>
        <v>0.56999999999999995</v>
      </c>
      <c r="X9" s="288">
        <f t="shared" si="11"/>
        <v>8.9062499999999989E-2</v>
      </c>
      <c r="Y9" s="289">
        <f t="shared" si="11"/>
        <v>3.5624999999999997E-2</v>
      </c>
      <c r="Z9" s="236"/>
      <c r="AA9" s="281">
        <f t="shared" si="6"/>
        <v>1.5954545454545454E-2</v>
      </c>
      <c r="AB9" s="282">
        <f t="shared" si="7"/>
        <v>0.98404545454545456</v>
      </c>
      <c r="AC9" s="282">
        <f>AA9*PRODUCT(AB3:AB8)*PRODUCT(AB10:AB17)</f>
        <v>1.2587242064650268E-2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4.4572756120422354E-4</v>
      </c>
      <c r="AE9" s="220"/>
      <c r="AF9" s="234"/>
      <c r="AG9" s="283">
        <f t="shared" si="12"/>
        <v>3.5624999999999997E-2</v>
      </c>
      <c r="AH9" s="284">
        <f t="shared" si="8"/>
        <v>0.96437499999999998</v>
      </c>
      <c r="AI9" s="284">
        <f>AG9*PRODUCT(AH3:AH8)*PRODUCT(AH10:AH17)</f>
        <v>2.2780974456407546E-2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8.2084483272272853E-3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8.4273843673964813E-4</v>
      </c>
      <c r="BM9" s="31">
        <f>BI38+1</f>
        <v>5</v>
      </c>
      <c r="BN9" s="31">
        <v>5</v>
      </c>
      <c r="BO9" s="107">
        <f>$H$30*H44</f>
        <v>1.0232598396062628E-2</v>
      </c>
      <c r="BQ9" s="31">
        <f>BM6+1</f>
        <v>3</v>
      </c>
      <c r="BR9" s="31">
        <v>2</v>
      </c>
      <c r="BS9" s="107">
        <f>$H$28*H41</f>
        <v>6.5604902105141666E-2</v>
      </c>
    </row>
    <row r="10" spans="1:71" ht="15.75" x14ac:dyDescent="0.25">
      <c r="A10" s="6" t="s">
        <v>50</v>
      </c>
      <c r="B10" s="269">
        <v>11.5</v>
      </c>
      <c r="C10" s="270">
        <v>8</v>
      </c>
      <c r="E10" s="280" t="s">
        <v>37</v>
      </c>
      <c r="F10" s="280" t="s">
        <v>162</v>
      </c>
      <c r="G10" s="280" t="s">
        <v>2</v>
      </c>
      <c r="H10" s="280" t="s">
        <v>2</v>
      </c>
      <c r="I10" s="280" t="s">
        <v>1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3.5454545454545454E-2</v>
      </c>
      <c r="U10" s="265">
        <f>S10*G14</f>
        <v>0.11454545454545455</v>
      </c>
      <c r="V10" s="255">
        <f>$G$18</f>
        <v>0.45</v>
      </c>
      <c r="W10" s="253">
        <f>$H$18</f>
        <v>0.45</v>
      </c>
      <c r="X10" s="288">
        <f t="shared" si="11"/>
        <v>1.5954545454545454E-2</v>
      </c>
      <c r="Y10" s="289">
        <f t="shared" si="11"/>
        <v>5.1545454545454547E-2</v>
      </c>
      <c r="Z10" s="236"/>
      <c r="AA10" s="281">
        <f t="shared" si="6"/>
        <v>0</v>
      </c>
      <c r="AB10" s="282">
        <f t="shared" si="7"/>
        <v>1</v>
      </c>
      <c r="AC10" s="282">
        <f>AA10*PRODUCT(AB3:AB9)*PRODUCT(AB11:AB17)</f>
        <v>0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220"/>
      <c r="AF10" s="234"/>
      <c r="AG10" s="283">
        <f t="shared" si="12"/>
        <v>5.1545454545454547E-2</v>
      </c>
      <c r="AH10" s="284">
        <f t="shared" si="8"/>
        <v>0.94845454545454544</v>
      </c>
      <c r="AI10" s="284">
        <f>AG10*PRODUCT(AH3:AH9)*PRODUCT(AH11:AH17)</f>
        <v>3.3514845292511933E-2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1.02546561870385E-2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2.4494572927498892E-4</v>
      </c>
      <c r="BM10" s="31">
        <f>BI44+1</f>
        <v>6</v>
      </c>
      <c r="BN10" s="31">
        <v>6</v>
      </c>
      <c r="BO10" s="107">
        <f>$H$31*H45</f>
        <v>1.4344001961559432E-3</v>
      </c>
      <c r="BQ10" s="31">
        <f>BQ7+1</f>
        <v>4</v>
      </c>
      <c r="BR10" s="31">
        <v>0</v>
      </c>
      <c r="BS10" s="107">
        <f>$H$29*H39</f>
        <v>8.0396259675924991E-3</v>
      </c>
    </row>
    <row r="11" spans="1:71" ht="15.75" x14ac:dyDescent="0.25">
      <c r="A11" s="6" t="s">
        <v>53</v>
      </c>
      <c r="B11" s="269">
        <v>9</v>
      </c>
      <c r="C11" s="270">
        <v>17.25</v>
      </c>
      <c r="E11" s="250"/>
      <c r="F11" s="280" t="s">
        <v>1</v>
      </c>
      <c r="G11" s="280" t="s">
        <v>144</v>
      </c>
      <c r="H11" s="280" t="s">
        <v>37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0</v>
      </c>
      <c r="Q11" s="251">
        <f>COUNTIF(E9:I11,"CAB")</f>
        <v>2</v>
      </c>
      <c r="R11" s="258">
        <f t="shared" si="2"/>
        <v>0.23</v>
      </c>
      <c r="S11" s="258">
        <f t="shared" si="3"/>
        <v>0.23</v>
      </c>
      <c r="T11" s="263">
        <f>IF(P11&gt;0,S11*G13,0)</f>
        <v>0</v>
      </c>
      <c r="U11" s="265">
        <f>IF(Q11&gt;0,S11*G14,0)</f>
        <v>0.17563636363636365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0.75</v>
      </c>
      <c r="X11" s="288">
        <f t="shared" si="11"/>
        <v>0</v>
      </c>
      <c r="Y11" s="289">
        <f t="shared" si="11"/>
        <v>0.13172727272727275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0.13172727272727275</v>
      </c>
      <c r="AH11" s="284">
        <f t="shared" si="8"/>
        <v>0.86827272727272731</v>
      </c>
      <c r="AI11" s="284">
        <f>AG11*PRODUCT(AH3:AH10)*PRODUCT(AH12:AH17)</f>
        <v>9.3558426244440621E-2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1.4432480686511255E-2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5.4105956425256577E-5</v>
      </c>
      <c r="BM11" s="31">
        <f>BI50+1</f>
        <v>7</v>
      </c>
      <c r="BN11" s="31">
        <v>7</v>
      </c>
      <c r="BO11" s="107">
        <f>$H$32*H46</f>
        <v>1.0718181181712356E-4</v>
      </c>
      <c r="BQ11" s="31">
        <f>BQ8+1</f>
        <v>4</v>
      </c>
      <c r="BR11" s="31">
        <v>1</v>
      </c>
      <c r="BS11" s="107">
        <f>$H$29*H40</f>
        <v>2.9776028612294083E-2</v>
      </c>
    </row>
    <row r="12" spans="1:71" ht="15.75" x14ac:dyDescent="0.25">
      <c r="A12" s="6" t="s">
        <v>57</v>
      </c>
      <c r="B12" s="269">
        <v>11.5</v>
      </c>
      <c r="C12" s="270">
        <v>17.75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2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0</v>
      </c>
      <c r="U12" s="265">
        <f>IF(S12=0,0,IF(P12=0,S12*Q12/L12,S12*Q12/(L12*2)))</f>
        <v>0.01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4.5000000000000005E-3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4.5000000000000005E-3</v>
      </c>
      <c r="AH12" s="284">
        <f t="shared" si="8"/>
        <v>0.99550000000000005</v>
      </c>
      <c r="AI12" s="284">
        <f>AG12*PRODUCT(AH3:AH11)*PRODUCT(AH13:AH17)</f>
        <v>2.7876267085757103E-3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4.174229746160293E-4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9.0044571387521543E-6</v>
      </c>
      <c r="BM12" s="31">
        <f>BI54+1</f>
        <v>8</v>
      </c>
      <c r="BN12" s="31">
        <v>8</v>
      </c>
      <c r="BO12" s="107">
        <f>$H$33*H47</f>
        <v>4.3357662732307614E-6</v>
      </c>
      <c r="BQ12" s="31">
        <f>BQ9+1</f>
        <v>4</v>
      </c>
      <c r="BR12" s="31">
        <v>2</v>
      </c>
      <c r="BS12" s="107">
        <f>$H$29*H41</f>
        <v>5.0841479855453245E-2</v>
      </c>
    </row>
    <row r="13" spans="1:71" ht="15.75" x14ac:dyDescent="0.25">
      <c r="A13" s="7" t="s">
        <v>60</v>
      </c>
      <c r="B13" s="269">
        <v>14</v>
      </c>
      <c r="C13" s="270">
        <v>9.5</v>
      </c>
      <c r="E13" s="247"/>
      <c r="F13" s="247" t="s">
        <v>163</v>
      </c>
      <c r="G13" s="254">
        <f>B22</f>
        <v>0.23636363636363636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</v>
      </c>
      <c r="U13" s="265">
        <f>IF(P13+Q13=0,0,S13*Q13/(Q13+P13))</f>
        <v>0.18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0.10259999999999998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2.7491612457294121E-2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0.10259999999999998</v>
      </c>
      <c r="AH13" s="284">
        <f t="shared" si="8"/>
        <v>0.89739999999999998</v>
      </c>
      <c r="AI13" s="284">
        <f>AG13*PRODUCT(AH3:AH12)*PRODUCT(AH14:AH17)</f>
        <v>7.0505770509501117E-2</v>
      </c>
      <c r="AJ13" s="284">
        <f>AG13*AG14*PRODUCT(AH3:AH12)*PRODUCT(AH15:AH17)+AG13*AG15*PRODUCT(AH3:AH12)*AH14*PRODUCT(AH16:AH17)+AG13*AG16*PRODUCT(AH3:AH12)*AH14*AH15*AH17+AG13*AG17*PRODUCT(AH3:AH12)*AH14*AH15*AH16</f>
        <v>2.496683942249884E-3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1.1011449684063615E-6</v>
      </c>
      <c r="BM13" s="31">
        <f>BI57+1</f>
        <v>9</v>
      </c>
      <c r="BN13" s="31">
        <v>9</v>
      </c>
      <c r="BO13" s="107">
        <f>$H$34*H48</f>
        <v>9.5547397673107198E-8</v>
      </c>
      <c r="BQ13" s="31">
        <f>BM7+1</f>
        <v>4</v>
      </c>
      <c r="BR13" s="31">
        <v>3</v>
      </c>
      <c r="BS13" s="107">
        <f>$H$29*H42</f>
        <v>5.305101161798384E-2</v>
      </c>
    </row>
    <row r="14" spans="1:71" ht="15.75" x14ac:dyDescent="0.25">
      <c r="A14" s="7" t="s">
        <v>63</v>
      </c>
      <c r="B14" s="269">
        <v>11.75</v>
      </c>
      <c r="C14" s="270">
        <v>10</v>
      </c>
      <c r="E14" s="247"/>
      <c r="F14" s="247" t="s">
        <v>164</v>
      </c>
      <c r="G14" s="252">
        <f>C22</f>
        <v>0.76363636363636367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2.183746754166712E-2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2.6615077390559686E-2</v>
      </c>
      <c r="BM14" s="31">
        <f>BQ39+1</f>
        <v>10</v>
      </c>
      <c r="BN14" s="31">
        <v>10</v>
      </c>
      <c r="BO14" s="107">
        <f>$H$35*H49</f>
        <v>1.1269520122093245E-9</v>
      </c>
      <c r="BQ14" s="31">
        <f>BQ10+1</f>
        <v>5</v>
      </c>
      <c r="BR14" s="31">
        <v>0</v>
      </c>
      <c r="BS14" s="107">
        <f>$H$30*H39</f>
        <v>4.2261920864404608E-3</v>
      </c>
    </row>
    <row r="15" spans="1:71" ht="15.75" x14ac:dyDescent="0.25">
      <c r="A15" s="184" t="s">
        <v>67</v>
      </c>
      <c r="B15" s="271">
        <v>5</v>
      </c>
      <c r="C15" s="272">
        <v>8.75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2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2.777174826292305E-2</v>
      </c>
      <c r="BQ15" s="31">
        <f>BQ11+1</f>
        <v>5</v>
      </c>
      <c r="BR15" s="31">
        <v>1</v>
      </c>
      <c r="BS15" s="107">
        <f>$H$30*H40</f>
        <v>1.5652372012598132E-2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1.9789335529471642E-2</v>
      </c>
      <c r="BQ16" s="31">
        <f>BQ12+1</f>
        <v>5</v>
      </c>
      <c r="BR16" s="31">
        <v>2</v>
      </c>
      <c r="BS16" s="107">
        <f>$H$30*H41</f>
        <v>2.6725852756602945E-2</v>
      </c>
    </row>
    <row r="17" spans="1:71" x14ac:dyDescent="0.25">
      <c r="A17" s="183" t="s">
        <v>74</v>
      </c>
      <c r="B17" s="273" t="s">
        <v>193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1.0190185536752929E-2</v>
      </c>
      <c r="BQ17" s="31">
        <f>BQ13+1</f>
        <v>5</v>
      </c>
      <c r="BR17" s="31">
        <v>3</v>
      </c>
      <c r="BS17" s="107">
        <f>$H$30*H42</f>
        <v>2.7887337841504468E-2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0.77635670500744636</v>
      </c>
      <c r="AC18" s="176">
        <f>SUM(AC3:AC17)</f>
        <v>0.20417248933917492</v>
      </c>
      <c r="AD18" s="176">
        <f>SUM(AD3:AD17)</f>
        <v>1.874027461390897E-2</v>
      </c>
      <c r="AE18" s="176">
        <f>1-AB18-AC18-AD18</f>
        <v>7.3053103946974993E-4</v>
      </c>
      <c r="AF18" s="234"/>
      <c r="AG18" s="158"/>
      <c r="AH18" s="179">
        <f>PRODUCT(AH3:AH17)</f>
        <v>0.61668497519713761</v>
      </c>
      <c r="AI18" s="176">
        <f>SUM(AI3:AI17)</f>
        <v>0.31128651206683666</v>
      </c>
      <c r="AJ18" s="176">
        <f>SUM(AJ3:AJ17)</f>
        <v>6.4363602176537846E-2</v>
      </c>
      <c r="AK18" s="176">
        <f>1-AH18-AI18-AJ18</f>
        <v>7.6649105594878836E-3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3.9115356241568944E-3</v>
      </c>
      <c r="BQ18" s="31">
        <f>BM8+1</f>
        <v>5</v>
      </c>
      <c r="BR18" s="31">
        <v>4</v>
      </c>
      <c r="BS18" s="107">
        <f>$H$30*H43</f>
        <v>1.9871701282344022E-2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1.1369054789418665E-3</v>
      </c>
      <c r="BQ19" s="31">
        <f>BQ15+1</f>
        <v>6</v>
      </c>
      <c r="BR19" s="31">
        <v>1</v>
      </c>
      <c r="BS19" s="107">
        <f>$H$31*H40</f>
        <v>5.7160940951327529E-3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2.5113056057493442E-4</v>
      </c>
      <c r="BQ20" s="31">
        <f>BQ16+1</f>
        <v>6</v>
      </c>
      <c r="BR20" s="31">
        <v>2</v>
      </c>
      <c r="BS20" s="107">
        <f>$H$31*H41</f>
        <v>9.7600216124717372E-3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4.1793815659679004E-5</v>
      </c>
      <c r="BQ21" s="31">
        <f>BQ17+1</f>
        <v>6</v>
      </c>
      <c r="BR21" s="31">
        <v>3</v>
      </c>
      <c r="BS21" s="107">
        <f>$H$31*H42</f>
        <v>1.0184184674149974E-2</v>
      </c>
    </row>
    <row r="22" spans="1:71" x14ac:dyDescent="0.25">
      <c r="A22" s="26" t="s">
        <v>87</v>
      </c>
      <c r="B22" s="206">
        <f>(B6)/((B6)+(C6))</f>
        <v>0.23636363636363636</v>
      </c>
      <c r="C22" s="207">
        <f>1-B22</f>
        <v>0.76363636363636367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5.110918861071527E-6</v>
      </c>
      <c r="BQ22" s="31">
        <f>BQ18+1</f>
        <v>6</v>
      </c>
      <c r="BR22" s="31">
        <v>4</v>
      </c>
      <c r="BS22" s="107">
        <f>$H$31*H43</f>
        <v>7.2569521264141046E-3</v>
      </c>
    </row>
    <row r="23" spans="1:71" ht="15.75" thickBot="1" x14ac:dyDescent="0.3">
      <c r="A23" s="40" t="s">
        <v>88</v>
      </c>
      <c r="B23" s="56">
        <f>((B22^2.8)/((B22^2.8)+(C22^2.8)))*B21</f>
        <v>0.18068764140562499</v>
      </c>
      <c r="C23" s="57">
        <f>B21-B23</f>
        <v>4.8193123585943747</v>
      </c>
      <c r="D23" s="149">
        <f>SUM(D25:D30)</f>
        <v>1</v>
      </c>
      <c r="E23" s="149">
        <f>SUM(E25:E30)</f>
        <v>1</v>
      </c>
      <c r="H23" s="266">
        <f>SUM(H25:H35)</f>
        <v>0.99999828868679497</v>
      </c>
      <c r="I23" s="81"/>
      <c r="J23" s="266">
        <f>SUM(J25:J35)</f>
        <v>1</v>
      </c>
      <c r="K23" s="266"/>
      <c r="L23" s="266">
        <f>SUM(L25:L35)</f>
        <v>0.99999999999999989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0.99999999999999978</v>
      </c>
      <c r="S23" s="81"/>
      <c r="T23" s="266">
        <f>SUM(T25:T35)</f>
        <v>0.99999999999999989</v>
      </c>
      <c r="V23" s="208">
        <f>SUM(V25:V34)</f>
        <v>0.9999105394350174</v>
      </c>
      <c r="Y23" s="205">
        <f>SUM(Y25:Y35)</f>
        <v>3.0161680409164109E-3</v>
      </c>
      <c r="Z23" s="81"/>
      <c r="AA23" s="205">
        <f>SUM(AA25:AA35)</f>
        <v>2.5915867160992895E-2</v>
      </c>
      <c r="AB23" s="81"/>
      <c r="AC23" s="205">
        <f>SUM(AC25:AC35)</f>
        <v>9.6769716859283456E-2</v>
      </c>
      <c r="AD23" s="81"/>
      <c r="AE23" s="205">
        <f>SUM(AE25:AE35)</f>
        <v>0.20509043173850477</v>
      </c>
      <c r="AF23" s="81"/>
      <c r="AG23" s="205">
        <f>SUM(AG25:AG35)</f>
        <v>0.27018632824383687</v>
      </c>
      <c r="AH23" s="81"/>
      <c r="AI23" s="205">
        <f>SUM(AI25:AI35)</f>
        <v>0.22773558656497944</v>
      </c>
      <c r="AJ23" s="81"/>
      <c r="AK23" s="205">
        <f>SUM(AK25:AK35)</f>
        <v>0.12199449653327564</v>
      </c>
      <c r="AL23" s="81"/>
      <c r="AM23" s="205">
        <f>SUM(AM25:AM35)</f>
        <v>4.0255122279423447E-2</v>
      </c>
      <c r="AN23" s="81"/>
      <c r="AO23" s="205">
        <f>SUM(AO25:AO35)</f>
        <v>7.9487923983938471E-3</v>
      </c>
      <c r="AP23" s="81"/>
      <c r="AQ23" s="205">
        <f>SUM(AQ25:AQ35)</f>
        <v>9.9802961541056311E-4</v>
      </c>
      <c r="AR23" s="81"/>
      <c r="AS23" s="205">
        <f>SUM(AS25:AS35)</f>
        <v>8.9460564982601922E-5</v>
      </c>
      <c r="BI23" s="31">
        <f t="shared" ref="BI23:BI30" si="14">BI15+1</f>
        <v>2</v>
      </c>
      <c r="BJ23" s="31">
        <v>3</v>
      </c>
      <c r="BK23" s="107">
        <f t="shared" ref="BK23:BK30" si="15">$H$27*H42</f>
        <v>5.7099936228804694E-2</v>
      </c>
      <c r="BQ23" s="31">
        <f>BM9+1</f>
        <v>6</v>
      </c>
      <c r="BR23" s="31">
        <v>5</v>
      </c>
      <c r="BS23" s="107">
        <f>$H$31*H44</f>
        <v>3.7368454584724409E-3</v>
      </c>
    </row>
    <row r="24" spans="1:71" ht="15.75" thickBot="1" x14ac:dyDescent="0.3">
      <c r="A24" s="26" t="s">
        <v>89</v>
      </c>
      <c r="B24" s="64">
        <f>B23/B21</f>
        <v>3.6137528281125E-2</v>
      </c>
      <c r="C24" s="65">
        <f>C23/B21</f>
        <v>0.96386247171887496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4.0687744467705234E-2</v>
      </c>
      <c r="BQ24" s="31">
        <f>BI49+1</f>
        <v>7</v>
      </c>
      <c r="BR24" s="31">
        <v>0</v>
      </c>
      <c r="BS24" s="107">
        <f t="shared" ref="BS24:BS30" si="16">$H$32*H39</f>
        <v>3.9677301640859037E-4</v>
      </c>
    </row>
    <row r="25" spans="1:71" x14ac:dyDescent="0.25">
      <c r="A25" s="26" t="s">
        <v>114</v>
      </c>
      <c r="B25" s="209">
        <f>1/(1+EXP(-3.1416*4*((B11/(B11+C8))-(3.1416/6))))</f>
        <v>0.56822993442447101</v>
      </c>
      <c r="C25" s="207">
        <f>1/(1+EXP(-3.1416*4*((C11/(C11+B8))-(3.1416/6))))</f>
        <v>0.27176378775985816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2.3593758044979742E-2</v>
      </c>
      <c r="I25" s="97">
        <v>0</v>
      </c>
      <c r="J25" s="98">
        <f t="shared" ref="J25:J35" si="17">Y25+AA25+AC25+AE25+AG25+AI25+AK25+AM25+AO25+AQ25+AS25</f>
        <v>3.0390357799194179E-2</v>
      </c>
      <c r="K25" s="97">
        <v>0</v>
      </c>
      <c r="L25" s="98">
        <f>AB18</f>
        <v>0.77635670500744636</v>
      </c>
      <c r="M25" s="85">
        <v>0</v>
      </c>
      <c r="N25" s="210">
        <f>(1-$B$24)^$B$21</f>
        <v>0.8319081060619673</v>
      </c>
      <c r="O25" s="72">
        <v>0</v>
      </c>
      <c r="P25" s="210">
        <f t="shared" ref="P25:P30" si="18">N25</f>
        <v>0.8319081060619673</v>
      </c>
      <c r="Q25" s="28">
        <v>0</v>
      </c>
      <c r="R25" s="211">
        <f>P25*N25</f>
        <v>0.6920710969316094</v>
      </c>
      <c r="S25" s="72">
        <v>0</v>
      </c>
      <c r="T25" s="212">
        <f>(1-$B$33)^(INT(C23*2*(1-C31)))</f>
        <v>4.3581765721599974E-3</v>
      </c>
      <c r="U25" s="138">
        <v>0</v>
      </c>
      <c r="V25" s="86">
        <f>R25*T25</f>
        <v>3.0161680409164109E-3</v>
      </c>
      <c r="W25" s="134">
        <f>B31</f>
        <v>0.68654313090878738</v>
      </c>
      <c r="X25" s="28">
        <v>0</v>
      </c>
      <c r="Y25" s="213">
        <f>V25</f>
        <v>3.0161680409164109E-3</v>
      </c>
      <c r="Z25" s="28">
        <v>0</v>
      </c>
      <c r="AA25" s="213">
        <f>((1-W25)^Z26)*V26</f>
        <v>8.1235065800686051E-3</v>
      </c>
      <c r="AB25" s="28">
        <v>0</v>
      </c>
      <c r="AC25" s="213">
        <f>(((1-$W$25)^AB27))*V27</f>
        <v>9.5081287336354382E-3</v>
      </c>
      <c r="AD25" s="28">
        <v>0</v>
      </c>
      <c r="AE25" s="213">
        <f>(((1-$W$25)^AB28))*V28</f>
        <v>6.3165330601521949E-3</v>
      </c>
      <c r="AF25" s="28">
        <v>0</v>
      </c>
      <c r="AG25" s="213">
        <f>(((1-$W$25)^AB29))*V29</f>
        <v>2.6084020630730903E-3</v>
      </c>
      <c r="AH25" s="28">
        <v>0</v>
      </c>
      <c r="AI25" s="213">
        <f>(((1-$W$25)^AB30))*V30</f>
        <v>6.8915967408965471E-4</v>
      </c>
      <c r="AJ25" s="28">
        <v>0</v>
      </c>
      <c r="AK25" s="213">
        <f>(((1-$W$25)^AB31))*V31</f>
        <v>1.1571961697028243E-4</v>
      </c>
      <c r="AL25" s="28">
        <v>0</v>
      </c>
      <c r="AM25" s="213">
        <f>(((1-$W$25)^AB32))*V32</f>
        <v>1.1969215602486123E-5</v>
      </c>
      <c r="AN25" s="28">
        <v>0</v>
      </c>
      <c r="AO25" s="213">
        <f>(((1-$W$25)^AB33))*V33</f>
        <v>7.408384010628791E-7</v>
      </c>
      <c r="AP25" s="28">
        <v>0</v>
      </c>
      <c r="AQ25" s="213">
        <f>(((1-$W$25)^AB34))*V34</f>
        <v>2.9157047967690381E-8</v>
      </c>
      <c r="AR25" s="28">
        <v>0</v>
      </c>
      <c r="AS25" s="213">
        <f>(((1-$W$25)^AB35))*V35</f>
        <v>8.1923698512390707E-10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2.0951469774234444E-2</v>
      </c>
      <c r="BQ25" s="31">
        <f>BQ19+1</f>
        <v>7</v>
      </c>
      <c r="BR25" s="31">
        <v>1</v>
      </c>
      <c r="BS25" s="107">
        <f t="shared" si="16"/>
        <v>1.4695117331069406E-3</v>
      </c>
    </row>
    <row r="26" spans="1:71" x14ac:dyDescent="0.25">
      <c r="A26" s="40" t="s">
        <v>115</v>
      </c>
      <c r="B26" s="206">
        <f>1/(1+EXP(-3.1416*4*((B10/(B10+C9))-(3.1416/6))))</f>
        <v>0.55499484523556442</v>
      </c>
      <c r="C26" s="207">
        <f>1/(1+EXP(-3.1416*4*((C10/(C10+B9))-(3.1416/6))))</f>
        <v>3.1123709635095708E-2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0.10950945284721549</v>
      </c>
      <c r="I26" s="138">
        <v>1</v>
      </c>
      <c r="J26" s="86">
        <f t="shared" si="17"/>
        <v>0.13306329059456626</v>
      </c>
      <c r="K26" s="138">
        <v>1</v>
      </c>
      <c r="L26" s="86">
        <f>AC18</f>
        <v>0.20417248933917492</v>
      </c>
      <c r="M26" s="85">
        <v>1</v>
      </c>
      <c r="N26" s="210">
        <f>(($B$24)^M26)*((1-($B$24))^($B$21-M26))*HLOOKUP($B$21,$AV$24:$BF$34,M26+1)</f>
        <v>0.15595120461791273</v>
      </c>
      <c r="O26" s="72">
        <v>1</v>
      </c>
      <c r="P26" s="210">
        <f t="shared" si="18"/>
        <v>0.15595120461791273</v>
      </c>
      <c r="Q26" s="28">
        <v>1</v>
      </c>
      <c r="R26" s="211">
        <f>N26*P25+P26*N25</f>
        <v>0.25947414254354023</v>
      </c>
      <c r="S26" s="72">
        <v>1</v>
      </c>
      <c r="T26" s="212">
        <f t="shared" ref="T26:T35" si="19">(($B$33)^S26)*((1-($B$33))^(INT($C$23*2*(1-$C$31))-S26))*HLOOKUP(INT($C$23*2*(1-$C$31)),$AV$24:$BF$34,S26+1)</f>
        <v>3.5812842266879981E-2</v>
      </c>
      <c r="U26" s="138">
        <v>1</v>
      </c>
      <c r="V26" s="86">
        <f>R26*T25+T26*R25</f>
        <v>2.5915867160992895E-2</v>
      </c>
      <c r="W26" s="214"/>
      <c r="X26" s="28">
        <v>1</v>
      </c>
      <c r="Y26" s="211"/>
      <c r="Z26" s="28">
        <v>1</v>
      </c>
      <c r="AA26" s="213">
        <f>(1-((1-W25)^Z26))*V26</f>
        <v>1.7792360580924288E-2</v>
      </c>
      <c r="AB26" s="28">
        <v>1</v>
      </c>
      <c r="AC26" s="213">
        <f>((($W$25)^M26)*((1-($W$25))^($U$27-M26))*HLOOKUP($U$27,$AV$24:$BF$34,M26+1))*V27</f>
        <v>4.1650007471837371E-2</v>
      </c>
      <c r="AD26" s="28">
        <v>1</v>
      </c>
      <c r="AE26" s="213">
        <f>((($W$25)^M26)*((1-($W$25))^($U$28-M26))*HLOOKUP($U$28,$AV$24:$BF$34,M26+1))*V28</f>
        <v>4.1504010387571261E-2</v>
      </c>
      <c r="AF26" s="28">
        <v>1</v>
      </c>
      <c r="AG26" s="213">
        <f>((($W$25)^M26)*((1-($W$25))^($U$29-M26))*HLOOKUP($U$29,$AV$24:$BF$34,M26+1))*V29</f>
        <v>2.2852018196226436E-2</v>
      </c>
      <c r="AH26" s="28">
        <v>1</v>
      </c>
      <c r="AI26" s="213">
        <f>((($W$25)^M26)*((1-($W$25))^($U$30-M26))*HLOOKUP($U$30,$AV$24:$BF$34,M26+1))*V30</f>
        <v>7.5470963791179979E-3</v>
      </c>
      <c r="AJ26" s="28">
        <v>1</v>
      </c>
      <c r="AK26" s="213">
        <f>((($W$25)^M26)*((1-($W$25))^($U$31-M26))*HLOOKUP($U$31,$AV$24:$BF$34,M26+1))*V31</f>
        <v>1.520716551007697E-3</v>
      </c>
      <c r="AL26" s="28">
        <v>1</v>
      </c>
      <c r="AM26" s="213">
        <f>((($W$25)^Q26)*((1-($W$25))^($U$32-Q26))*HLOOKUP($U$32,$AV$24:$BF$34,Q26+1))*V32</f>
        <v>1.8350747726965177E-4</v>
      </c>
      <c r="AN26" s="28">
        <v>1</v>
      </c>
      <c r="AO26" s="213">
        <f>((($W$25)^Q26)*((1-($W$25))^($U$33-Q26))*HLOOKUP($U$33,$AV$24:$BF$34,Q26+1))*V33</f>
        <v>1.2980861241618962E-5</v>
      </c>
      <c r="AP26" s="28">
        <v>1</v>
      </c>
      <c r="AQ26" s="213">
        <f>((($W$25)^Q26)*((1-($W$25))^($U$34-Q26))*HLOOKUP($U$34,$AV$24:$BF$34,Q26+1))*V34</f>
        <v>5.7474618284960454E-7</v>
      </c>
      <c r="AR26" s="28">
        <v>1</v>
      </c>
      <c r="AS26" s="213">
        <f>((($W$25)^Q26)*((1-($W$25))^($U$35-Q26))*HLOOKUP($U$35,$AV$24:$BF$34,Q26+1))*V35</f>
        <v>1.7943187091541396E-8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8.0422893287650891E-3</v>
      </c>
      <c r="BQ26" s="31">
        <f>BQ20+1</f>
        <v>7</v>
      </c>
      <c r="BR26" s="31">
        <v>2</v>
      </c>
      <c r="BS26" s="107">
        <f t="shared" si="16"/>
        <v>2.5091375397611336E-3</v>
      </c>
    </row>
    <row r="27" spans="1:71" x14ac:dyDescent="0.25">
      <c r="A27" s="26" t="s">
        <v>116</v>
      </c>
      <c r="B27" s="206">
        <f>1/(1+EXP(-3.1416*4*((B12/(B12+C7))-(3.1416/6))))</f>
        <v>0.93058430161144756</v>
      </c>
      <c r="C27" s="207">
        <f>1/(1+EXP(-3.1416*4*((C12/(C12+B7))-(3.1416/6))))</f>
        <v>0.23642017609606139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0.22515625285194615</v>
      </c>
      <c r="I27" s="138">
        <v>2</v>
      </c>
      <c r="J27" s="86">
        <f t="shared" si="17"/>
        <v>0.25428886573334375</v>
      </c>
      <c r="K27" s="138">
        <v>2</v>
      </c>
      <c r="L27" s="86">
        <f>AD18</f>
        <v>1.874027461390897E-2</v>
      </c>
      <c r="M27" s="85">
        <v>2</v>
      </c>
      <c r="N27" s="210">
        <f>(($B$24)^M27)*((1-($B$24))^($B$21-M27))*HLOOKUP($B$21,$AV$24:$BF$34,M27+1)</f>
        <v>1.1693973430265615E-2</v>
      </c>
      <c r="O27" s="72">
        <v>2</v>
      </c>
      <c r="P27" s="210">
        <f t="shared" si="18"/>
        <v>1.1693973430265615E-2</v>
      </c>
      <c r="Q27" s="28">
        <v>2</v>
      </c>
      <c r="R27" s="211">
        <f>P25*N27+P26*N26+P27*N25</f>
        <v>4.3777400799200561E-2</v>
      </c>
      <c r="S27" s="72">
        <v>2</v>
      </c>
      <c r="T27" s="212">
        <f t="shared" si="19"/>
        <v>0.12612348798335996</v>
      </c>
      <c r="U27" s="138">
        <v>2</v>
      </c>
      <c r="V27" s="86">
        <f>R27*T25+T26*R26+R25*T27</f>
        <v>9.6769716859283456E-2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4.5611580653810643E-2</v>
      </c>
      <c r="AD27" s="28">
        <v>2</v>
      </c>
      <c r="AE27" s="213">
        <f>((($W$25)^M27)*((1-($W$25))^($U$28-M27))*HLOOKUP($U$28,$AV$24:$BF$34,M27+1))*V28</f>
        <v>9.0903393884351189E-2</v>
      </c>
      <c r="AF27" s="28">
        <v>2</v>
      </c>
      <c r="AG27" s="213">
        <f>((($W$25)^M27)*((1-($W$25))^($U$29-M27))*HLOOKUP($U$29,$AV$24:$BF$34,M27+1))*V29</f>
        <v>7.507681758023578E-2</v>
      </c>
      <c r="AH27" s="28">
        <v>2</v>
      </c>
      <c r="AI27" s="213">
        <f>((($W$25)^M27)*((1-($W$25))^($U$30-M27))*HLOOKUP($U$30,$AV$24:$BF$34,M27+1))*V30</f>
        <v>3.3059777521623292E-2</v>
      </c>
      <c r="AJ27" s="28">
        <v>2</v>
      </c>
      <c r="AK27" s="213">
        <f>((($W$25)^M27)*((1-($W$25))^($U$31-M27))*HLOOKUP($U$31,$AV$24:$BF$34,M27+1))*V31</f>
        <v>8.3268035023491005E-3</v>
      </c>
      <c r="AL27" s="28">
        <v>2</v>
      </c>
      <c r="AM27" s="213">
        <f>((($W$25)^Q27)*((1-($W$25))^($U$32-Q27))*HLOOKUP($U$32,$AV$24:$BF$34,Q27+1))*V32</f>
        <v>1.2057716108293611E-3</v>
      </c>
      <c r="AN27" s="28">
        <v>2</v>
      </c>
      <c r="AO27" s="213">
        <f>((($W$25)^Q27)*((1-($W$25))^($U$33-Q27))*HLOOKUP($U$33,$AV$24:$BF$34,Q27+1))*V33</f>
        <v>9.9508822396937764E-5</v>
      </c>
      <c r="AP27" s="28">
        <v>2</v>
      </c>
      <c r="AQ27" s="213">
        <f>((($W$25)^Q27)*((1-($W$25))^($U$34-Q27))*HLOOKUP($U$34,$AV$24:$BF$34,Q27+1))*V34</f>
        <v>5.0353089405307743E-6</v>
      </c>
      <c r="AR27" s="28">
        <v>2</v>
      </c>
      <c r="AS27" s="213">
        <f>((($W$25)^Q27)*((1-($W$25))^($U$35-Q27))*HLOOKUP($U$35,$AV$24:$BF$34,Q27+1))*V35</f>
        <v>1.7684880685533653E-7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2.3375276821311114E-3</v>
      </c>
      <c r="BQ27" s="31">
        <f>BQ21+1</f>
        <v>7</v>
      </c>
      <c r="BR27" s="31">
        <v>3</v>
      </c>
      <c r="BS27" s="107">
        <f t="shared" si="16"/>
        <v>2.6181827348739084E-3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0.26993560184714988</v>
      </c>
      <c r="I28" s="138">
        <v>3</v>
      </c>
      <c r="J28" s="86">
        <f t="shared" si="17"/>
        <v>0.27757983672031977</v>
      </c>
      <c r="K28" s="138">
        <v>3</v>
      </c>
      <c r="L28" s="86">
        <f>AE18</f>
        <v>7.3053103946974993E-4</v>
      </c>
      <c r="M28" s="85">
        <v>3</v>
      </c>
      <c r="N28" s="210">
        <f>(($B$24)^M28)*((1-($B$24))^($B$21-M28))*HLOOKUP($B$21,$AV$24:$BF$34,M28+1)</f>
        <v>4.3843526224372298E-4</v>
      </c>
      <c r="O28" s="72">
        <v>3</v>
      </c>
      <c r="P28" s="210">
        <f t="shared" si="18"/>
        <v>4.3843526224372298E-4</v>
      </c>
      <c r="Q28" s="28">
        <v>3</v>
      </c>
      <c r="R28" s="211">
        <f>P25*N28+P26*N27+P27*N26+P28*N25</f>
        <v>4.3768541837274902E-3</v>
      </c>
      <c r="S28" s="72">
        <v>3</v>
      </c>
      <c r="T28" s="212">
        <f t="shared" si="19"/>
        <v>0.24676334605439995</v>
      </c>
      <c r="U28" s="138">
        <v>3</v>
      </c>
      <c r="V28" s="86">
        <f>R28*T25+R27*T26+R26*T27+R25*T28</f>
        <v>0.20509043173850477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6.6366494406430124E-2</v>
      </c>
      <c r="AF28" s="28">
        <v>3</v>
      </c>
      <c r="AG28" s="213">
        <f>((($W$25)^M28)*((1-($W$25))^($U$29-M28))*HLOOKUP($U$29,$AV$24:$BF$34,M28+1))*V29</f>
        <v>0.1096237440888119</v>
      </c>
      <c r="AH28" s="28">
        <v>3</v>
      </c>
      <c r="AI28" s="213">
        <f>((($W$25)^M28)*((1-($W$25))^($U$30-M28))*HLOOKUP($U$30,$AV$24:$BF$34,M28+1))*V30</f>
        <v>7.240856846636412E-2</v>
      </c>
      <c r="AJ28" s="28">
        <v>3</v>
      </c>
      <c r="AK28" s="213">
        <f>((($W$25)^M28)*((1-($W$25))^($U$31-M28))*HLOOKUP($U$31,$AV$24:$BF$34,M28+1))*V31</f>
        <v>2.4316837224588005E-2</v>
      </c>
      <c r="AL28" s="28">
        <v>3</v>
      </c>
      <c r="AM28" s="213">
        <f>((($W$25)^Q28)*((1-($W$25))^($U$32-Q28))*HLOOKUP($U$32,$AV$24:$BF$34,Q28+1))*V32</f>
        <v>4.4015317495926173E-3</v>
      </c>
      <c r="AN28" s="28">
        <v>3</v>
      </c>
      <c r="AO28" s="213">
        <f>((($W$25)^Q28)*((1-($W$25))^($U$33-Q28))*HLOOKUP($U$33,$AV$24:$BF$34,Q28+1))*V33</f>
        <v>4.3589472886338662E-4</v>
      </c>
      <c r="AP28" s="28">
        <v>3</v>
      </c>
      <c r="AQ28" s="213">
        <f>((($W$25)^Q28)*((1-($W$25))^($U$34-Q28))*HLOOKUP($U$34,$AV$24:$BF$34,Q28+1))*V34</f>
        <v>2.573314942927973E-5</v>
      </c>
      <c r="AR28" s="28">
        <v>3</v>
      </c>
      <c r="AS28" s="213">
        <f>((($W$25)^Q28)*((1-($W$25))^($U$35-Q28))*HLOOKUP($U$35,$AV$24:$BF$34,Q28+1))*V35</f>
        <v>1.0329062402999232E-6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5.1633548086984767E-4</v>
      </c>
      <c r="BQ28" s="31">
        <f>BQ22+1</f>
        <v>7</v>
      </c>
      <c r="BR28" s="31">
        <v>4</v>
      </c>
      <c r="BS28" s="107">
        <f t="shared" si="16"/>
        <v>1.8656404388866553E-3</v>
      </c>
    </row>
    <row r="29" spans="1:71" x14ac:dyDescent="0.25">
      <c r="A29" s="26" t="s">
        <v>118</v>
      </c>
      <c r="B29" s="206">
        <f>1/(1+EXP(-3.1416*4*((B14/(B14+C13))-(3.1416/6))))</f>
        <v>0.59114794762491929</v>
      </c>
      <c r="C29" s="207">
        <f>1/(1+EXP(-3.1416*4*((C14/(C14+B13))-(3.1416/6))))</f>
        <v>0.20689125275497378</v>
      </c>
      <c r="D29" s="204">
        <v>0.04</v>
      </c>
      <c r="E29" s="204">
        <v>0.04</v>
      </c>
      <c r="G29" s="87">
        <v>4</v>
      </c>
      <c r="H29" s="126">
        <f>J29*L25+J28*L26+J27*L27+J26*L28</f>
        <v>0.20919054862069414</v>
      </c>
      <c r="I29" s="138">
        <v>4</v>
      </c>
      <c r="J29" s="86">
        <f t="shared" si="17"/>
        <v>0.19018800427135221</v>
      </c>
      <c r="K29" s="138">
        <v>4</v>
      </c>
      <c r="L29" s="86"/>
      <c r="M29" s="85">
        <v>4</v>
      </c>
      <c r="N29" s="210">
        <f>(($B$24)^M29)*((1-($B$24))^($B$21-M29))*HLOOKUP($B$21,$AV$24:$BF$34,M29+1)</f>
        <v>8.2189976026974766E-6</v>
      </c>
      <c r="O29" s="72">
        <v>4</v>
      </c>
      <c r="P29" s="210">
        <f t="shared" si="18"/>
        <v>8.2189976026974766E-6</v>
      </c>
      <c r="Q29" s="28">
        <v>4</v>
      </c>
      <c r="R29" s="211">
        <f>P25*N29+P26*N28+P27*N27+P28*N26+P29*N25</f>
        <v>2.8717293063429205E-4</v>
      </c>
      <c r="S29" s="72">
        <v>4</v>
      </c>
      <c r="T29" s="212">
        <f t="shared" si="19"/>
        <v>0.28967871058560002</v>
      </c>
      <c r="U29" s="138">
        <v>4</v>
      </c>
      <c r="V29" s="86">
        <f>T29*R25+T28*R26+T27*R27+T26*R28+T25*R29</f>
        <v>0.27018632824383687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6.0025346315489676E-2</v>
      </c>
      <c r="AH29" s="28">
        <v>4</v>
      </c>
      <c r="AI29" s="213">
        <f>((($W$25)^M29)*((1-($W$25))^($U$30-M29))*HLOOKUP($U$30,$AV$24:$BF$34,M29+1))*V30</f>
        <v>7.9295766342028021E-2</v>
      </c>
      <c r="AJ29" s="28">
        <v>4</v>
      </c>
      <c r="AK29" s="213">
        <f>((($W$25)^M29)*((1-($W$25))^($U$31-M29))*HLOOKUP($U$31,$AV$24:$BF$34,M29+1))*V31</f>
        <v>3.9944628451681959E-2</v>
      </c>
      <c r="AL29" s="28">
        <v>4</v>
      </c>
      <c r="AM29" s="213">
        <f>((($W$25)^Q29)*((1-($W$25))^($U$32-Q29))*HLOOKUP($U$32,$AV$24:$BF$34,Q29+1))*V32</f>
        <v>9.6403737998174942E-3</v>
      </c>
      <c r="AN29" s="28">
        <v>4</v>
      </c>
      <c r="AO29" s="213">
        <f>((($W$25)^Q29)*((1-($W$25))^($U$33-Q29))*HLOOKUP($U$33,$AV$24:$BF$34,Q29+1))*V33</f>
        <v>1.1933879961226212E-3</v>
      </c>
      <c r="AP29" s="28">
        <v>4</v>
      </c>
      <c r="AQ29" s="213">
        <f>((($W$25)^Q29)*((1-($W$25))^($U$34-Q29))*HLOOKUP($U$34,$AV$24:$BF$34,Q29+1))*V34</f>
        <v>8.4542334461557928E-5</v>
      </c>
      <c r="AR29" s="28">
        <v>4</v>
      </c>
      <c r="AS29" s="213">
        <f>((($W$25)^Q29)*((1-($W$25))^($U$35-Q29))*HLOOKUP($U$35,$AV$24:$BF$34,Q29+1))*V35</f>
        <v>3.9590317508807583E-6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8.5929923688387656E-5</v>
      </c>
      <c r="BQ29" s="31">
        <f>BQ23+1</f>
        <v>7</v>
      </c>
      <c r="BR29" s="31">
        <v>5</v>
      </c>
      <c r="BS29" s="107">
        <f t="shared" si="16"/>
        <v>9.6068016982234499E-4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0.1099652452368574</v>
      </c>
      <c r="I30" s="138">
        <v>5</v>
      </c>
      <c r="J30" s="86">
        <f t="shared" si="17"/>
        <v>8.4685812927786347E-2</v>
      </c>
      <c r="K30" s="138">
        <v>5</v>
      </c>
      <c r="L30" s="86"/>
      <c r="M30" s="85">
        <v>5</v>
      </c>
      <c r="N30" s="210">
        <f>(($B$24)^M30)*((1-($B$24))^($B$21-M30))*HLOOKUP($B$21,$AV$24:$BF$34,M30+1)</f>
        <v>6.1630007812277877E-8</v>
      </c>
      <c r="O30" s="72">
        <v>5</v>
      </c>
      <c r="P30" s="210">
        <f t="shared" si="18"/>
        <v>6.1630007812277877E-8</v>
      </c>
      <c r="Q30" s="28">
        <v>5</v>
      </c>
      <c r="R30" s="211">
        <f>P25*N30+P26*N29+P27*N28+P28*N27+P29*N26+P30*N25</f>
        <v>1.2920166775075478E-5</v>
      </c>
      <c r="S30" s="72">
        <v>5</v>
      </c>
      <c r="T30" s="212">
        <f t="shared" si="19"/>
        <v>0.20403457006463999</v>
      </c>
      <c r="U30" s="138">
        <v>5</v>
      </c>
      <c r="V30" s="86">
        <f>T30*R25+T29*R26+T28*R27+T27*R28+T26*R29+T25*R30</f>
        <v>0.22773558656497944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3.4735218181756358E-2</v>
      </c>
      <c r="AJ30" s="28">
        <v>5</v>
      </c>
      <c r="AK30" s="213">
        <f>((($W$25)^M30)*((1-($W$25))^($U$31-M30))*HLOOKUP($U$31,$AV$24:$BF$34,M30+1))*V31</f>
        <v>3.4995194534691729E-2</v>
      </c>
      <c r="AL30" s="28">
        <v>5</v>
      </c>
      <c r="AM30" s="213">
        <f>((($W$25)^Q30)*((1-($W$25))^($U$32-Q30))*HLOOKUP($U$32,$AV$24:$BF$34,Q30+1))*V32</f>
        <v>1.2668790633007611E-2</v>
      </c>
      <c r="AN30" s="28">
        <v>5</v>
      </c>
      <c r="AO30" s="213">
        <f>((($W$25)^Q30)*((1-($W$25))^($U$33-Q30))*HLOOKUP($U$33,$AV$24:$BF$34,Q30+1))*V33</f>
        <v>2.0910368526869372E-3</v>
      </c>
      <c r="AP30" s="28">
        <v>5</v>
      </c>
      <c r="AQ30" s="213">
        <f>((($W$25)^Q30)*((1-($W$25))^($U$34-Q30))*HLOOKUP($U$34,$AV$24:$BF$34,Q30+1))*V34</f>
        <v>1.851672900448905E-4</v>
      </c>
      <c r="AR30" s="28">
        <v>5</v>
      </c>
      <c r="AS30" s="213">
        <f>((($W$25)^Q30)*((1-($W$25))^($U$35-Q30))*HLOOKUP($U$35,$AV$24:$BF$34,Q30+1))*V35</f>
        <v>1.0405435598832774E-5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1.0508274029957056E-5</v>
      </c>
      <c r="BQ30" s="31">
        <f>BM10+1</f>
        <v>7</v>
      </c>
      <c r="BR30" s="31">
        <v>6</v>
      </c>
      <c r="BS30" s="107">
        <f t="shared" si="16"/>
        <v>3.6876018538898833E-4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0.68654313090878738</v>
      </c>
      <c r="C31" s="61">
        <f>(C25*E25)+(C26*E26)+(C27*E27)+(C28*E28)+(C29*E29)+(C30*E30)/(C25+C26+C27+C28+C29+C30)</f>
        <v>0.25145290201802084</v>
      </c>
      <c r="G31" s="87">
        <v>6</v>
      </c>
      <c r="H31" s="126">
        <f>J31*L25+J30*L26+J29*L27+J28*L28</f>
        <v>4.0158238538050776E-2</v>
      </c>
      <c r="I31" s="138">
        <v>6</v>
      </c>
      <c r="J31" s="86">
        <f t="shared" si="17"/>
        <v>2.4603083946725463E-2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4.0367350627531649E-7</v>
      </c>
      <c r="S31" s="72">
        <v>6</v>
      </c>
      <c r="T31" s="212">
        <f t="shared" si="19"/>
        <v>7.9839614373120024E-2</v>
      </c>
      <c r="U31" s="138">
        <v>6</v>
      </c>
      <c r="V31" s="86">
        <f>T31*R25+T30*R26+T29*R27+T28*R28+T27*R29+T26*R30+T25*R31</f>
        <v>0.12199449653327564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1.2774596651986868E-2</v>
      </c>
      <c r="AL31" s="28">
        <v>6</v>
      </c>
      <c r="AM31" s="213">
        <f>((($W$25)^Q31)*((1-($W$25))^($U$32-Q31))*HLOOKUP($U$32,$AV$24:$BF$34,Q31+1))*V32</f>
        <v>9.249195071323657E-3</v>
      </c>
      <c r="AN31" s="28">
        <v>6</v>
      </c>
      <c r="AO31" s="213">
        <f>((($W$25)^Q31)*((1-($W$25))^($U$33-Q31))*HLOOKUP($U$33,$AV$24:$BF$34,Q31+1))*V33</f>
        <v>2.2899274657012005E-3</v>
      </c>
      <c r="AP31" s="28">
        <v>6</v>
      </c>
      <c r="AQ31" s="213">
        <f>((($W$25)^Q31)*((1-($W$25))^($U$34-Q31))*HLOOKUP($U$34,$AV$24:$BF$34,Q31+1))*V34</f>
        <v>2.7037282974609719E-4</v>
      </c>
      <c r="AR31" s="28">
        <v>6</v>
      </c>
      <c r="AS31" s="213">
        <f>((($W$25)^Q31)*((1-($W$25))^($U$35-Q31))*HLOOKUP($U$35,$AV$24:$BF$34,Q31+1))*V35</f>
        <v>1.899192796764447E-5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4.8779772498324027E-2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7.2662726735751049E-5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1.0324008270406609E-2</v>
      </c>
      <c r="I32" s="138">
        <v>7</v>
      </c>
      <c r="J32" s="86">
        <f t="shared" si="17"/>
        <v>4.6045351600651476E-3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8.6483960863660762E-9</v>
      </c>
      <c r="S32" s="72">
        <v>7</v>
      </c>
      <c r="T32" s="212">
        <f t="shared" si="19"/>
        <v>1.3389252099840005E-2</v>
      </c>
      <c r="U32" s="138">
        <v>7</v>
      </c>
      <c r="V32" s="86">
        <f>T32*R25+T31*R26+T30*R27+T29*R28+T28*R29+T27*R30+T26*R31+T25*R32</f>
        <v>4.0255122279423447E-2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2.8939827219805719E-3</v>
      </c>
      <c r="AN32" s="28">
        <v>7</v>
      </c>
      <c r="AO32" s="213">
        <f>((($W$25)^Q32)*((1-($W$25))^($U$33-Q32))*HLOOKUP($U$33,$AV$24:$BF$34,Q32+1))*V33</f>
        <v>1.4329918375004364E-3</v>
      </c>
      <c r="AP32" s="28">
        <v>7</v>
      </c>
      <c r="AQ32" s="213">
        <f>((($W$25)^Q32)*((1-($W$25))^($U$34-Q32))*HLOOKUP($U$34,$AV$24:$BF$34,Q32+1))*V34</f>
        <v>2.5379104616491435E-4</v>
      </c>
      <c r="AR32" s="28">
        <v>7</v>
      </c>
      <c r="AS32" s="213">
        <f>((($W$25)^Q32)*((1-($W$25))^($U$35-Q32))*HLOOKUP($U$35,$AV$24:$BF$34,Q32+1))*V35</f>
        <v>2.3769554419224508E-5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2.5118323526236726E-2</v>
      </c>
      <c r="BQ32" s="31">
        <f t="shared" si="23"/>
        <v>8</v>
      </c>
      <c r="BR32" s="31">
        <v>1</v>
      </c>
      <c r="BS32" s="107">
        <f t="shared" si="24"/>
        <v>2.6911792153670695E-4</v>
      </c>
    </row>
    <row r="33" spans="1:71" x14ac:dyDescent="0.25">
      <c r="A33" s="26" t="s">
        <v>122</v>
      </c>
      <c r="B33" s="292">
        <f>IF(B17&lt;&gt;"CA",0.005,IF((B18-B16)&lt;0,0.1,0.1+0.055*(B18-B16)))</f>
        <v>0.54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1.8906794583976344E-3</v>
      </c>
      <c r="I33" s="138">
        <v>8</v>
      </c>
      <c r="J33" s="86">
        <f t="shared" si="17"/>
        <v>5.5081109662871838E-4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1.2159345886766437E-10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7.9487923983938471E-3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3.9232299547964583E-4</v>
      </c>
      <c r="AP33" s="28">
        <v>8</v>
      </c>
      <c r="AQ33" s="213">
        <f>((($W$25)^Q33)*((1-($W$25))^($U$34-Q33))*HLOOKUP($U$34,$AV$24:$BF$34,Q33+1))*V34</f>
        <v>1.3896529045274758E-4</v>
      </c>
      <c r="AR33" s="28">
        <v>8</v>
      </c>
      <c r="AS33" s="213">
        <f>((($W$25)^Q33)*((1-($W$25))^($U$35-Q33))*HLOOKUP($U$35,$AV$24:$BF$34,Q33+1))*V35</f>
        <v>1.9522810696324932E-5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9.6417495969637283E-3</v>
      </c>
      <c r="BQ33" s="31">
        <f t="shared" si="23"/>
        <v>8</v>
      </c>
      <c r="BR33" s="31">
        <v>2</v>
      </c>
      <c r="BS33" s="107">
        <f t="shared" si="24"/>
        <v>4.5950900856203138E-4</v>
      </c>
    </row>
    <row r="34" spans="1:71" x14ac:dyDescent="0.25">
      <c r="A34" s="40" t="s">
        <v>123</v>
      </c>
      <c r="B34" s="56">
        <f>B23*2</f>
        <v>0.36137528281124998</v>
      </c>
      <c r="C34" s="57">
        <f>C23*2</f>
        <v>9.6386247171887494</v>
      </c>
      <c r="G34" s="87">
        <v>9</v>
      </c>
      <c r="H34" s="126">
        <f>J34*L25+J33*L26+J32*L27+J31*L28</f>
        <v>2.503562566614824E-4</v>
      </c>
      <c r="I34" s="138">
        <v>9</v>
      </c>
      <c r="J34" s="86">
        <f t="shared" si="17"/>
        <v>4.3320568794534454E-5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1.0130737729266772E-12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9.9802961541056311E-4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3.3818462939727731E-5</v>
      </c>
      <c r="AR34" s="28">
        <v>9</v>
      </c>
      <c r="AS34" s="213">
        <f>((($W$25)^Q34)*((1-($W$25))^($U$35-Q34))*HLOOKUP($U$35,$AV$24:$BF$34,Q34+1))*V35</f>
        <v>9.502105854806723E-6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2.8024180262288499E-3</v>
      </c>
      <c r="BQ34" s="31">
        <f t="shared" si="23"/>
        <v>8</v>
      </c>
      <c r="BR34" s="31">
        <v>3</v>
      </c>
      <c r="BS34" s="107">
        <f t="shared" si="24"/>
        <v>4.7947891802322995E-4</v>
      </c>
    </row>
    <row r="35" spans="1:71" ht="15.75" thickBot="1" x14ac:dyDescent="0.3">
      <c r="G35" s="88">
        <v>10</v>
      </c>
      <c r="H35" s="127">
        <f>J35*L25+J34*L26+J33*L27+J32*L28</f>
        <v>2.4146714435657815E-5</v>
      </c>
      <c r="I35" s="94">
        <v>10</v>
      </c>
      <c r="J35" s="89">
        <f t="shared" si="17"/>
        <v>2.0811812236558223E-6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3.7982578629414319E-15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8.9460564982601909E-5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2.0811812236558223E-6</v>
      </c>
      <c r="BI35" s="31">
        <f t="shared" si="21"/>
        <v>3</v>
      </c>
      <c r="BJ35" s="31">
        <v>8</v>
      </c>
      <c r="BK35" s="107">
        <f t="shared" si="22"/>
        <v>6.1902490833904962E-4</v>
      </c>
      <c r="BQ35" s="31">
        <f t="shared" si="23"/>
        <v>8</v>
      </c>
      <c r="BR35" s="31">
        <v>4</v>
      </c>
      <c r="BS35" s="107">
        <f t="shared" si="24"/>
        <v>3.4166265293199179E-4</v>
      </c>
    </row>
    <row r="36" spans="1:71" ht="15.75" x14ac:dyDescent="0.25">
      <c r="A36" s="109" t="s">
        <v>124</v>
      </c>
      <c r="B36" s="219">
        <f>SUM(BO4:BO14)</f>
        <v>0.18925327481403417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1.0301977126416763E-4</v>
      </c>
      <c r="BQ36" s="31">
        <f t="shared" si="23"/>
        <v>8</v>
      </c>
      <c r="BR36" s="31">
        <v>5</v>
      </c>
      <c r="BS36" s="107">
        <f t="shared" si="24"/>
        <v>1.7593343744013899E-4</v>
      </c>
    </row>
    <row r="37" spans="1:71" ht="16.5" thickBot="1" x14ac:dyDescent="0.3">
      <c r="A37" s="110" t="s">
        <v>125</v>
      </c>
      <c r="B37" s="219">
        <f>SUM(BK4:BK59)</f>
        <v>0.36635451739241398</v>
      </c>
      <c r="G37" s="158"/>
      <c r="H37" s="266">
        <f>SUM(H39:H49)</f>
        <v>0.99999580101383934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1.0000000000000002</v>
      </c>
      <c r="S37" s="267"/>
      <c r="T37" s="266">
        <f>SUM(T39:T49)</f>
        <v>1.0050760126517704</v>
      </c>
      <c r="U37" s="267"/>
      <c r="V37" s="208">
        <f>SUM(V39:V48)</f>
        <v>0.30817263066606454</v>
      </c>
      <c r="W37" s="158"/>
      <c r="X37" s="158"/>
      <c r="Y37" s="205">
        <f>SUM(Y39:Y49)</f>
        <v>3.7982578629414761E-15</v>
      </c>
      <c r="Z37" s="81"/>
      <c r="AA37" s="205">
        <f>SUM(AA39:AA49)</f>
        <v>1.0130928596496171E-12</v>
      </c>
      <c r="AB37" s="81"/>
      <c r="AC37" s="205">
        <f>SUM(AC39:AC49)</f>
        <v>1.2159854988247136E-10</v>
      </c>
      <c r="AD37" s="81"/>
      <c r="AE37" s="205">
        <f>SUM(AE39:AE49)</f>
        <v>8.6490071599380143E-9</v>
      </c>
      <c r="AF37" s="81"/>
      <c r="AG37" s="205">
        <f>SUM(AG39:AG49)</f>
        <v>4.0371697169344961E-7</v>
      </c>
      <c r="AH37" s="81"/>
      <c r="AI37" s="205">
        <f>SUM(AI39:AI49)</f>
        <v>1.2922195721980279E-5</v>
      </c>
      <c r="AJ37" s="81"/>
      <c r="AK37" s="205">
        <f>SUM(AK39:AK49)</f>
        <v>2.872378764858034E-4</v>
      </c>
      <c r="AL37" s="81"/>
      <c r="AM37" s="205">
        <f>SUM(AM39:AM49)</f>
        <v>4.378297916451836E-3</v>
      </c>
      <c r="AN37" s="81"/>
      <c r="AO37" s="205">
        <f>SUM(AO39:AO49)</f>
        <v>4.379940954956657E-2</v>
      </c>
      <c r="AP37" s="81"/>
      <c r="AQ37" s="205">
        <f>SUM(AQ39:AQ49)</f>
        <v>0.25969435063924406</v>
      </c>
      <c r="AR37" s="81"/>
      <c r="AS37" s="205">
        <f>SUM(AS39:AS49)</f>
        <v>0.6918273693339354</v>
      </c>
      <c r="BI37" s="31">
        <f t="shared" si="21"/>
        <v>3</v>
      </c>
      <c r="BJ37" s="31">
        <v>10</v>
      </c>
      <c r="BK37" s="107">
        <f t="shared" si="22"/>
        <v>1.2598172330201467E-5</v>
      </c>
      <c r="BQ37" s="31">
        <f t="shared" si="23"/>
        <v>8</v>
      </c>
      <c r="BR37" s="31">
        <v>6</v>
      </c>
      <c r="BS37" s="107">
        <f t="shared" si="24"/>
        <v>6.753261808094274E-5</v>
      </c>
    </row>
    <row r="38" spans="1:71" ht="16.5" thickBot="1" x14ac:dyDescent="0.3">
      <c r="A38" s="111" t="s">
        <v>126</v>
      </c>
      <c r="B38" s="219">
        <f>SUM(BS4:BS47)</f>
        <v>0.4443621520152799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1.9465812745444747E-2</v>
      </c>
      <c r="BQ38" s="31">
        <f>BM11+1</f>
        <v>8</v>
      </c>
      <c r="BR38" s="31">
        <v>7</v>
      </c>
      <c r="BS38" s="107">
        <f t="shared" si="24"/>
        <v>1.9628660168488529E-5</v>
      </c>
    </row>
    <row r="39" spans="1:71" x14ac:dyDescent="0.25">
      <c r="G39" s="128">
        <v>0</v>
      </c>
      <c r="H39" s="129">
        <f>L39*J39</f>
        <v>3.8432070763244702E-2</v>
      </c>
      <c r="I39" s="97">
        <v>0</v>
      </c>
      <c r="J39" s="98">
        <f t="shared" ref="J39:J49" si="28">Y39+AA39+AC39+AE39+AG39+AI39+AK39+AM39+AO39+AQ39+AS39</f>
        <v>6.2320426650509853E-2</v>
      </c>
      <c r="K39" s="102">
        <v>0</v>
      </c>
      <c r="L39" s="98">
        <f>AH18</f>
        <v>0.61668497519713761</v>
      </c>
      <c r="M39" s="85">
        <v>0</v>
      </c>
      <c r="N39" s="210">
        <f>(1-$C$24)^$B$21</f>
        <v>6.1630007812278235E-8</v>
      </c>
      <c r="O39" s="72">
        <v>0</v>
      </c>
      <c r="P39" s="210">
        <f t="shared" ref="P39:P44" si="29">N39</f>
        <v>6.1630007812278235E-8</v>
      </c>
      <c r="Q39" s="28">
        <v>0</v>
      </c>
      <c r="R39" s="211">
        <f>P39*N39</f>
        <v>3.7982578629414761E-15</v>
      </c>
      <c r="S39" s="72">
        <v>0</v>
      </c>
      <c r="T39" s="212">
        <f>(1-$C$33)^(INT(B23*2*(1-B31)))</f>
        <v>1</v>
      </c>
      <c r="U39" s="138">
        <v>0</v>
      </c>
      <c r="V39" s="86">
        <f>R39*T39</f>
        <v>3.7982578629414761E-15</v>
      </c>
      <c r="W39" s="134">
        <f>C31</f>
        <v>0.25145290201802084</v>
      </c>
      <c r="X39" s="28">
        <v>0</v>
      </c>
      <c r="Y39" s="213">
        <f>V39</f>
        <v>3.7982578629414761E-15</v>
      </c>
      <c r="Z39" s="28">
        <v>0</v>
      </c>
      <c r="AA39" s="213">
        <f>((1-W39)^Z40)*V40</f>
        <v>7.583477200769854E-13</v>
      </c>
      <c r="AB39" s="28">
        <v>0</v>
      </c>
      <c r="AC39" s="213">
        <f>(((1-$W$39)^AB41))*V41</f>
        <v>6.8134434826451791E-11</v>
      </c>
      <c r="AD39" s="28">
        <v>0</v>
      </c>
      <c r="AE39" s="213">
        <f>(((1-$W$39)^AB42))*V42</f>
        <v>3.627635553294068E-9</v>
      </c>
      <c r="AF39" s="28">
        <v>0</v>
      </c>
      <c r="AG39" s="213">
        <f>(((1-$W$39)^AB43))*V43</f>
        <v>1.2675162356110549E-7</v>
      </c>
      <c r="AH39" s="28">
        <v>0</v>
      </c>
      <c r="AI39" s="213">
        <f>(((1-$W$39)^AB44))*V44</f>
        <v>3.0369103358454037E-6</v>
      </c>
      <c r="AJ39" s="28">
        <v>0</v>
      </c>
      <c r="AK39" s="213">
        <f>(((1-$W$39)^AB45))*V45</f>
        <v>5.0530837158185214E-5</v>
      </c>
      <c r="AL39" s="28">
        <v>0</v>
      </c>
      <c r="AM39" s="213">
        <f>(((1-$W$39)^AB46))*V46</f>
        <v>5.7655298679775183E-4</v>
      </c>
      <c r="AN39" s="28">
        <v>0</v>
      </c>
      <c r="AO39" s="213">
        <f>(((1-$W$39)^AB47))*V47</f>
        <v>4.3173902249773769E-3</v>
      </c>
      <c r="AP39" s="28">
        <v>0</v>
      </c>
      <c r="AQ39" s="213">
        <f>(((1-$W$39)^AB48))*V48</f>
        <v>1.9161728443329383E-2</v>
      </c>
      <c r="AR39" s="28">
        <v>0</v>
      </c>
      <c r="AS39" s="213">
        <f>(((1-$W$39)^AB49))*V49</f>
        <v>3.8211056799755616E-2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7.4720150808202674E-3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9.6217093720351453E-6</v>
      </c>
    </row>
    <row r="40" spans="1:71" x14ac:dyDescent="0.25">
      <c r="G40" s="91">
        <v>1</v>
      </c>
      <c r="H40" s="130">
        <f>L39*J40+L40*J39</f>
        <v>0.14233926345441256</v>
      </c>
      <c r="I40" s="138">
        <v>1</v>
      </c>
      <c r="J40" s="86">
        <f t="shared" si="28"/>
        <v>0.19935584643124746</v>
      </c>
      <c r="K40" s="95">
        <v>1</v>
      </c>
      <c r="L40" s="86">
        <f>AI18</f>
        <v>0.31128651206683666</v>
      </c>
      <c r="M40" s="85">
        <v>1</v>
      </c>
      <c r="N40" s="210">
        <f>(($C$24)^M26)*((1-($C$24))^($B$21-M26))*HLOOKUP($B$21,$AV$24:$BF$34,M26+1)</f>
        <v>8.2189976026975138E-6</v>
      </c>
      <c r="O40" s="72">
        <v>1</v>
      </c>
      <c r="P40" s="210">
        <f t="shared" si="29"/>
        <v>8.2189976026975138E-6</v>
      </c>
      <c r="Q40" s="28">
        <v>1</v>
      </c>
      <c r="R40" s="211">
        <f>P40*N39+P39*N40</f>
        <v>1.0130737729266878E-12</v>
      </c>
      <c r="S40" s="72">
        <v>1</v>
      </c>
      <c r="T40" s="212">
        <f t="shared" ref="T40:T49" si="32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1.0130928596496171E-12</v>
      </c>
      <c r="W40" s="214"/>
      <c r="X40" s="28">
        <v>1</v>
      </c>
      <c r="Y40" s="211"/>
      <c r="Z40" s="28">
        <v>1</v>
      </c>
      <c r="AA40" s="213">
        <f>(1-((1-W39)^Z40))*V40</f>
        <v>2.5474513957263171E-13</v>
      </c>
      <c r="AB40" s="28">
        <v>1</v>
      </c>
      <c r="AC40" s="213">
        <f>((($W$39)^M40)*((1-($W$39))^($U$27-M40))*HLOOKUP($U$27,$AV$24:$BF$34,M40+1))*V41</f>
        <v>4.5775613613778164E-11</v>
      </c>
      <c r="AD40" s="28">
        <v>1</v>
      </c>
      <c r="AE40" s="213">
        <f>((($W$39)^M40)*((1-($W$39))^($U$28-M40))*HLOOKUP($U$28,$AV$24:$BF$34,M40+1))*V42</f>
        <v>3.655799974906197E-9</v>
      </c>
      <c r="AF40" s="28">
        <v>1</v>
      </c>
      <c r="AG40" s="213">
        <f>((($W$39)^M40)*((1-($W$39))^($U$29-M40))*HLOOKUP($U$29,$AV$24:$BF$34,M40+1))*V43</f>
        <v>1.7031427235966933E-7</v>
      </c>
      <c r="AH40" s="28">
        <v>1</v>
      </c>
      <c r="AI40" s="213">
        <f>((($W$39)^M40)*((1-($W$39))^($U$30-M40))*HLOOKUP($U$30,$AV$24:$BF$34,M40+1))*V44</f>
        <v>5.1008140915618995E-6</v>
      </c>
      <c r="AJ40" s="28">
        <v>1</v>
      </c>
      <c r="AK40" s="213">
        <f>((($W$39)^M40)*((1-($W$39))^($U$31-M40))*HLOOKUP($U$31,$AV$24:$BF$34,M40+1))*V45</f>
        <v>1.0184630208904987E-4</v>
      </c>
      <c r="AL40" s="28">
        <v>1</v>
      </c>
      <c r="AM40" s="213">
        <f>((($W$39)^Q40)*((1-($W$39))^($U$32-Q40))*HLOOKUP($U$32,$AV$24:$BF$34,Q40+1))*V46</f>
        <v>1.3557349358752013E-3</v>
      </c>
      <c r="AN40" s="28">
        <v>1</v>
      </c>
      <c r="AO40" s="213">
        <f>((($W$39)^Q40)*((1-($W$39))^($U$33-Q40))*HLOOKUP($U$33,$AV$24:$BF$34,Q40+1))*V47</f>
        <v>1.1602426130743566E-2</v>
      </c>
      <c r="AP40" s="28">
        <v>1</v>
      </c>
      <c r="AQ40" s="213">
        <f>((($W$39)^Q40)*((1-($W$39))^($U$34-Q40))*HLOOKUP($U$34,$AV$24:$BF$34,Q40+1))*V48</f>
        <v>5.7931491738749376E-2</v>
      </c>
      <c r="AR40" s="28">
        <v>1</v>
      </c>
      <c r="AS40" s="213">
        <f>((($W$39)^Q40)*((1-($W$39))^($U$35-Q40))*HLOOKUP($U$35,$AV$24:$BF$34,Q40+1))*V49</f>
        <v>0.12835907249359602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2.1717748987526734E-3</v>
      </c>
      <c r="BQ40" s="31">
        <f t="shared" si="30"/>
        <v>9</v>
      </c>
      <c r="BR40" s="31">
        <v>1</v>
      </c>
      <c r="BS40" s="107">
        <f t="shared" si="31"/>
        <v>3.5635525174399276E-5</v>
      </c>
    </row>
    <row r="41" spans="1:71" x14ac:dyDescent="0.25">
      <c r="G41" s="91">
        <v>2</v>
      </c>
      <c r="H41" s="130">
        <f>L39*J41+J40*L40+J39*L41</f>
        <v>0.24303908656810014</v>
      </c>
      <c r="I41" s="138">
        <v>2</v>
      </c>
      <c r="J41" s="86">
        <f t="shared" si="28"/>
        <v>0.28697169615232926</v>
      </c>
      <c r="K41" s="95">
        <v>2</v>
      </c>
      <c r="L41" s="86">
        <f>AJ18</f>
        <v>6.4363602176537846E-2</v>
      </c>
      <c r="M41" s="85">
        <v>2</v>
      </c>
      <c r="N41" s="210">
        <f>(($C$24)^M27)*((1-($C$24))^($B$21-M27))*HLOOKUP($B$21,$AV$24:$BF$34,M27+1)</f>
        <v>4.3843526224372455E-4</v>
      </c>
      <c r="O41" s="72">
        <v>2</v>
      </c>
      <c r="P41" s="210">
        <f t="shared" si="29"/>
        <v>4.3843526224372455E-4</v>
      </c>
      <c r="Q41" s="28">
        <v>2</v>
      </c>
      <c r="R41" s="211">
        <f>P41*N39+P40*N40+P39*N41</f>
        <v>1.2159345886766548E-10</v>
      </c>
      <c r="S41" s="72">
        <v>2</v>
      </c>
      <c r="T41" s="212">
        <f t="shared" si="32"/>
        <v>5.0503775157192999E-5</v>
      </c>
      <c r="U41" s="138">
        <v>2</v>
      </c>
      <c r="V41" s="86">
        <f>R41*T39+T40*R40+R39*T41</f>
        <v>1.2159854988247136E-10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7.6885014422414116E-12</v>
      </c>
      <c r="AD41" s="28">
        <v>2</v>
      </c>
      <c r="AE41" s="213">
        <f>((($W$39)^M41)*((1-($W$39))^($U$28-M41))*HLOOKUP($U$28,$AV$24:$BF$34,M41+1))*V42</f>
        <v>1.2280610202962829E-9</v>
      </c>
      <c r="AF41" s="28">
        <v>2</v>
      </c>
      <c r="AG41" s="213">
        <f>((($W$39)^M41)*((1-($W$39))^($U$29-M41))*HLOOKUP($U$29,$AV$24:$BF$34,M41+1))*V43</f>
        <v>8.581828348953961E-8</v>
      </c>
      <c r="AH41" s="28">
        <v>2</v>
      </c>
      <c r="AI41" s="213">
        <f>((($W$39)^M41)*((1-($W$39))^($U$30-M41))*HLOOKUP($U$30,$AV$24:$BF$34,M41+1))*V44</f>
        <v>3.4269440344781954E-6</v>
      </c>
      <c r="AJ41" s="28">
        <v>2</v>
      </c>
      <c r="AK41" s="213">
        <f>((($W$39)^M41)*((1-($W$39))^($U$31-M41))*HLOOKUP($U$31,$AV$24:$BF$34,M41+1))*V45</f>
        <v>8.5530851328983914E-5</v>
      </c>
      <c r="AL41" s="28">
        <v>2</v>
      </c>
      <c r="AM41" s="213">
        <f>((($W$39)^Q41)*((1-($W$39))^($U$32-Q41))*HLOOKUP($U$32,$AV$24:$BF$34,Q41+1))*V46</f>
        <v>1.3662606597984901E-3</v>
      </c>
      <c r="AN41" s="28">
        <v>2</v>
      </c>
      <c r="AO41" s="213">
        <f>((($W$39)^Q41)*((1-($W$39))^($U$33-Q41))*HLOOKUP($U$33,$AV$24:$BF$34,Q41+1))*V47</f>
        <v>1.3641256577063075E-2</v>
      </c>
      <c r="AP41" s="28">
        <v>2</v>
      </c>
      <c r="AQ41" s="213">
        <f>((($W$39)^Q41)*((1-($W$39))^($U$34-Q41))*HLOOKUP($U$34,$AV$24:$BF$34,Q41+1))*V48</f>
        <v>7.7841684271907866E-2</v>
      </c>
      <c r="AR41" s="28">
        <v>2</v>
      </c>
      <c r="AS41" s="213">
        <f>((($W$39)^Q41)*((1-($W$39))^($U$35-Q41))*HLOOKUP($U$35,$AV$24:$BF$34,Q41+1))*V49</f>
        <v>0.19403344979416337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4.7972242008538886E-4</v>
      </c>
      <c r="BQ41" s="31">
        <f t="shared" si="30"/>
        <v>9</v>
      </c>
      <c r="BR41" s="31">
        <v>2</v>
      </c>
      <c r="BS41" s="107">
        <f t="shared" si="31"/>
        <v>6.0846355935615522E-5</v>
      </c>
    </row>
    <row r="42" spans="1:71" ht="15" customHeight="1" x14ac:dyDescent="0.25">
      <c r="G42" s="91">
        <v>3</v>
      </c>
      <c r="H42" s="130">
        <f>J42*L39+J41*L40+L42*J39+L41*J40</f>
        <v>0.25360137906696889</v>
      </c>
      <c r="I42" s="138">
        <v>3</v>
      </c>
      <c r="J42" s="86">
        <f t="shared" si="28"/>
        <v>0.2447960075141683</v>
      </c>
      <c r="K42" s="95">
        <v>3</v>
      </c>
      <c r="L42" s="86">
        <f>AK18</f>
        <v>7.6649105594878836E-3</v>
      </c>
      <c r="M42" s="85">
        <v>3</v>
      </c>
      <c r="N42" s="210">
        <f>(($C$24)^M28)*((1-($C$24))^($B$21-M28))*HLOOKUP($B$21,$AV$24:$BF$34,M28+1)</f>
        <v>1.1693973430265642E-2</v>
      </c>
      <c r="O42" s="72">
        <v>3</v>
      </c>
      <c r="P42" s="210">
        <f t="shared" si="29"/>
        <v>1.1693973430265642E-2</v>
      </c>
      <c r="Q42" s="28">
        <v>3</v>
      </c>
      <c r="R42" s="211">
        <f>P42*N39+P41*N40+P40*N41+P39*N42</f>
        <v>8.6483960863661474E-9</v>
      </c>
      <c r="S42" s="72">
        <v>3</v>
      </c>
      <c r="T42" s="212">
        <f t="shared" si="32"/>
        <v>3.8068172229039952E-7</v>
      </c>
      <c r="U42" s="138">
        <v>3</v>
      </c>
      <c r="V42" s="86">
        <f>R42*T39+R41*T40+R40*T41+R39*T42</f>
        <v>8.6490071599380143E-9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1.375106114414665E-10</v>
      </c>
      <c r="AF42" s="28">
        <v>3</v>
      </c>
      <c r="AG42" s="213">
        <f>((($W$39)^M42)*((1-($W$39))^($U$29-M42))*HLOOKUP($U$29,$AV$24:$BF$34,M42+1))*V43</f>
        <v>1.9218791966308971E-8</v>
      </c>
      <c r="AH42" s="28">
        <v>3</v>
      </c>
      <c r="AI42" s="213">
        <f>((($W$39)^M42)*((1-($W$39))^($U$30-M42))*HLOOKUP($U$30,$AV$24:$BF$34,M42+1))*V44</f>
        <v>1.1511834390194001E-6</v>
      </c>
      <c r="AJ42" s="28">
        <v>3</v>
      </c>
      <c r="AK42" s="213">
        <f>((($W$39)^M42)*((1-($W$39))^($U$31-M42))*HLOOKUP($U$31,$AV$24:$BF$34,M42+1))*V45</f>
        <v>3.8308844492174127E-5</v>
      </c>
      <c r="AL42" s="28">
        <v>3</v>
      </c>
      <c r="AM42" s="213">
        <f>((($W$39)^Q42)*((1-($W$39))^($U$32-Q42))*HLOOKUP($U$32,$AV$24:$BF$34,Q42+1))*V46</f>
        <v>7.6492672437394405E-4</v>
      </c>
      <c r="AN42" s="28">
        <v>3</v>
      </c>
      <c r="AO42" s="213">
        <f>((($W$39)^Q42)*((1-($W$39))^($U$33-Q42))*HLOOKUP($U$33,$AV$24:$BF$34,Q42+1))*V47</f>
        <v>9.1647768396197864E-3</v>
      </c>
      <c r="AP42" s="28">
        <v>3</v>
      </c>
      <c r="AQ42" s="213">
        <f>((($W$39)^Q42)*((1-($W$39))^($U$34-Q42))*HLOOKUP($U$34,$AV$24:$BF$34,Q42+1))*V48</f>
        <v>6.1013583169481425E-2</v>
      </c>
      <c r="AR42" s="28">
        <v>3</v>
      </c>
      <c r="AS42" s="213">
        <f>((($W$39)^Q42)*((1-($W$39))^($U$35-Q42))*HLOOKUP($U$35,$AV$24:$BF$34,Q42+1))*V49</f>
        <v>0.17381324139645937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7.9836680756666898E-5</v>
      </c>
      <c r="BQ42" s="31">
        <f t="shared" si="30"/>
        <v>9</v>
      </c>
      <c r="BR42" s="31">
        <v>3</v>
      </c>
      <c r="BS42" s="107">
        <f t="shared" si="31"/>
        <v>6.349069194739595E-5</v>
      </c>
    </row>
    <row r="43" spans="1:71" ht="15" customHeight="1" x14ac:dyDescent="0.25">
      <c r="G43" s="91">
        <v>4</v>
      </c>
      <c r="H43" s="130">
        <f>J43*L39+J42*L40+J41*L41+J40*L42</f>
        <v>0.18070892525671886</v>
      </c>
      <c r="I43" s="138">
        <v>4</v>
      </c>
      <c r="J43" s="86">
        <f t="shared" si="28"/>
        <v>0.13703699050434914</v>
      </c>
      <c r="K43" s="95">
        <v>4</v>
      </c>
      <c r="L43" s="86"/>
      <c r="M43" s="85">
        <v>4</v>
      </c>
      <c r="N43" s="210">
        <f>(($C$24)^M29)*((1-($C$24))^($B$21-M29))*HLOOKUP($B$21,$AV$24:$BF$34,M29+1)</f>
        <v>0.15595120461791293</v>
      </c>
      <c r="O43" s="72">
        <v>4</v>
      </c>
      <c r="P43" s="210">
        <f t="shared" si="29"/>
        <v>0.15595120461791293</v>
      </c>
      <c r="Q43" s="28">
        <v>4</v>
      </c>
      <c r="R43" s="211">
        <f>P43*N39+P42*N40+P41*N41+P40*N42+P39*N43</f>
        <v>4.036735062753193E-7</v>
      </c>
      <c r="S43" s="72">
        <v>4</v>
      </c>
      <c r="T43" s="212">
        <f t="shared" si="32"/>
        <v>2.5506313051283046E-9</v>
      </c>
      <c r="U43" s="138">
        <v>4</v>
      </c>
      <c r="V43" s="86">
        <f>T43*R39+T42*R40+T41*R41+T40*R42+T39*R43</f>
        <v>4.0371697169344961E-7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1.6140003168262093E-9</v>
      </c>
      <c r="AH43" s="28">
        <v>4</v>
      </c>
      <c r="AI43" s="213">
        <f>((($W$39)^M43)*((1-($W$39))^($U$30-M43))*HLOOKUP($U$30,$AV$24:$BF$34,M43+1))*V44</f>
        <v>1.9335350926942087E-7</v>
      </c>
      <c r="AJ43" s="28">
        <v>4</v>
      </c>
      <c r="AK43" s="213">
        <f>((($W$39)^M43)*((1-($W$39))^($U$31-M43))*HLOOKUP($U$31,$AV$24:$BF$34,M43+1))*V45</f>
        <v>9.6515671623906585E-6</v>
      </c>
      <c r="AL43" s="28">
        <v>4</v>
      </c>
      <c r="AM43" s="213">
        <f>((($W$39)^Q43)*((1-($W$39))^($U$32-Q43))*HLOOKUP($U$32,$AV$24:$BF$34,Q43+1))*V46</f>
        <v>2.5695516714112956E-4</v>
      </c>
      <c r="AN43" s="28">
        <v>4</v>
      </c>
      <c r="AO43" s="213">
        <f>((($W$39)^Q43)*((1-($W$39))^($U$33-Q43))*HLOOKUP($U$33,$AV$24:$BF$34,Q43+1))*V47</f>
        <v>3.8483045002824603E-3</v>
      </c>
      <c r="AP43" s="28">
        <v>4</v>
      </c>
      <c r="AQ43" s="213">
        <f>((($W$39)^Q43)*((1-($W$39))^($U$34-Q43))*HLOOKUP($U$34,$AV$24:$BF$34,Q43+1))*V48</f>
        <v>3.0743641766519798E-2</v>
      </c>
      <c r="AR43" s="28">
        <v>4</v>
      </c>
      <c r="AS43" s="213">
        <f>((($W$39)^Q43)*((1-($W$39))^($U$35-Q43))*HLOOKUP($U$35,$AV$24:$BF$34,Q43+1))*V49</f>
        <v>0.10217824253573379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9.7631381831033548E-6</v>
      </c>
      <c r="BQ43" s="31">
        <f t="shared" si="30"/>
        <v>9</v>
      </c>
      <c r="BR43" s="31">
        <v>4</v>
      </c>
      <c r="BS43" s="107">
        <f t="shared" si="31"/>
        <v>4.5241610072591745E-5</v>
      </c>
    </row>
    <row r="44" spans="1:71" ht="15" customHeight="1" thickBot="1" x14ac:dyDescent="0.3">
      <c r="G44" s="91">
        <v>5</v>
      </c>
      <c r="H44" s="130">
        <f>J44*L39+J43*L40+J42*L41+J41*L42</f>
        <v>9.3053022107324287E-2</v>
      </c>
      <c r="I44" s="138">
        <v>5</v>
      </c>
      <c r="J44" s="86">
        <f t="shared" si="28"/>
        <v>5.2603341069823034E-2</v>
      </c>
      <c r="K44" s="95">
        <v>5</v>
      </c>
      <c r="L44" s="86"/>
      <c r="M44" s="85">
        <v>5</v>
      </c>
      <c r="N44" s="210">
        <f>(($C$24)^M30)*((1-($C$24))^($B$21-M30))*HLOOKUP($B$21,$AV$24:$BF$34,M30+1)</f>
        <v>0.8319081060619673</v>
      </c>
      <c r="O44" s="72">
        <v>5</v>
      </c>
      <c r="P44" s="210">
        <f t="shared" si="29"/>
        <v>0.8319081060619673</v>
      </c>
      <c r="Q44" s="28">
        <v>5</v>
      </c>
      <c r="R44" s="211">
        <f>P44*N39+P43*N40+P42*N41+P41*N42+P40*N43+P39*N44</f>
        <v>1.2920166775075553E-5</v>
      </c>
      <c r="S44" s="72">
        <v>5</v>
      </c>
      <c r="T44" s="212">
        <f t="shared" si="32"/>
        <v>1.6021553424172769E-11</v>
      </c>
      <c r="U44" s="138">
        <v>5</v>
      </c>
      <c r="V44" s="86">
        <f>T44*R39+T43*R40+T42*R41+T41*R42+T40*R43+T39*R44</f>
        <v>1.292219572198028E-5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1.2990311805960578E-8</v>
      </c>
      <c r="AJ44" s="28">
        <v>5</v>
      </c>
      <c r="AK44" s="213">
        <f>((($W$39)^M44)*((1-($W$39))^($U$31-M44))*HLOOKUP($U$31,$AV$24:$BF$34,M44+1))*V45</f>
        <v>1.2968667321255939E-6</v>
      </c>
      <c r="AL44" s="28">
        <v>5</v>
      </c>
      <c r="AM44" s="213">
        <f>((($W$39)^Q44)*((1-($W$39))^($U$32-Q44))*HLOOKUP($U$32,$AV$24:$BF$34,Q44+1))*V46</f>
        <v>5.1790025750164449E-5</v>
      </c>
      <c r="AN44" s="28">
        <v>5</v>
      </c>
      <c r="AO44" s="213">
        <f>((($W$39)^Q44)*((1-($W$39))^($U$33-Q44))*HLOOKUP($U$33,$AV$24:$BF$34,Q44+1))*V47</f>
        <v>1.0341819100535264E-3</v>
      </c>
      <c r="AP44" s="28">
        <v>5</v>
      </c>
      <c r="AQ44" s="213">
        <f>((($W$39)^Q44)*((1-($W$39))^($U$34-Q44))*HLOOKUP($U$34,$AV$24:$BF$34,Q44+1))*V48</f>
        <v>1.0327443605933189E-2</v>
      </c>
      <c r="AR44" s="28">
        <v>5</v>
      </c>
      <c r="AS44" s="213">
        <f>((($W$39)^Q44)*((1-($W$39))^($U$35-Q44))*HLOOKUP($U$35,$AV$24:$BF$34,Q44+1))*V49</f>
        <v>4.118861567104222E-2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3.9278159371613922E-3</v>
      </c>
      <c r="BQ44" s="31">
        <f t="shared" si="30"/>
        <v>9</v>
      </c>
      <c r="BR44" s="31">
        <v>5</v>
      </c>
      <c r="BS44" s="107">
        <f t="shared" si="31"/>
        <v>2.3296406285827876E-5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3.5718703020223827E-2</v>
      </c>
      <c r="I45" s="138">
        <v>6</v>
      </c>
      <c r="J45" s="86">
        <f t="shared" si="28"/>
        <v>1.4022489537002795E-2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2.8717293063429346E-4</v>
      </c>
      <c r="S45" s="72">
        <v>6</v>
      </c>
      <c r="T45" s="212">
        <f t="shared" si="32"/>
        <v>9.6612382457323207E-14</v>
      </c>
      <c r="U45" s="138">
        <v>6</v>
      </c>
      <c r="V45" s="86">
        <f>T45*R39+T44*R40+T43*R41+T42*R42+T41*R43+T40*R44+T39*R45</f>
        <v>2.8723787648580334E-4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7.2607522893961031E-8</v>
      </c>
      <c r="AL45" s="28">
        <v>6</v>
      </c>
      <c r="AM45" s="213">
        <f>((($W$39)^Q45)*((1-($W$39))^($U$32-Q45))*HLOOKUP($U$32,$AV$24:$BF$34,Q45+1))*V46</f>
        <v>5.7991239765563344E-6</v>
      </c>
      <c r="AN45" s="28">
        <v>6</v>
      </c>
      <c r="AO45" s="213">
        <f>((($W$39)^Q45)*((1-($W$39))^($U$33-Q45))*HLOOKUP($U$33,$AV$24:$BF$34,Q45+1))*V47</f>
        <v>1.73701857370476E-4</v>
      </c>
      <c r="AP45" s="28">
        <v>6</v>
      </c>
      <c r="AQ45" s="213">
        <f>((($W$39)^Q45)*((1-($W$39))^($U$34-Q45))*HLOOKUP($U$34,$AV$24:$BF$34,Q45+1))*V48</f>
        <v>2.3128054085399022E-3</v>
      </c>
      <c r="AR45" s="28">
        <v>6</v>
      </c>
      <c r="AS45" s="213">
        <f>((($W$39)^Q45)*((1-($W$39))^($U$35-Q45))*HLOOKUP($U$35,$AV$24:$BF$34,Q45+1))*V49</f>
        <v>1.1530110539592967E-2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1.1416374253772749E-3</v>
      </c>
      <c r="BQ45" s="31">
        <f t="shared" si="30"/>
        <v>9</v>
      </c>
      <c r="BR45" s="31">
        <v>6</v>
      </c>
      <c r="BS45" s="107">
        <f t="shared" si="31"/>
        <v>8.9424007809464229E-6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1.0381802204126114E-2</v>
      </c>
      <c r="I46" s="138">
        <v>7</v>
      </c>
      <c r="J46" s="86">
        <f t="shared" si="28"/>
        <v>2.5631783096733514E-3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4.3768541837275058E-3</v>
      </c>
      <c r="S46" s="72">
        <v>7</v>
      </c>
      <c r="T46" s="212">
        <f t="shared" si="32"/>
        <v>5.6640425226236405E-16</v>
      </c>
      <c r="U46" s="138">
        <v>7</v>
      </c>
      <c r="V46" s="86">
        <f>T46*R39+T45*R40+T44*R41+T43*R42+T42*R43+T41*R44+T40*R45+T39*R46</f>
        <v>4.3782979164518352E-3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2.7829273859770268E-7</v>
      </c>
      <c r="AN46" s="28">
        <v>7</v>
      </c>
      <c r="AO46" s="213">
        <f>((($W$39)^Q46)*((1-($W$39))^($U$33-Q46))*HLOOKUP($U$33,$AV$24:$BF$34,Q46+1))*V47</f>
        <v>1.6671471685226085E-5</v>
      </c>
      <c r="AP46" s="28">
        <v>7</v>
      </c>
      <c r="AQ46" s="213">
        <f>((($W$39)^Q46)*((1-($W$39))^($U$34-Q46))*HLOOKUP($U$34,$AV$24:$BF$34,Q46+1))*V48</f>
        <v>3.3296595498982025E-4</v>
      </c>
      <c r="AR46" s="28">
        <v>7</v>
      </c>
      <c r="AS46" s="213">
        <f>((($W$39)^Q46)*((1-($W$39))^($U$35-Q46))*HLOOKUP($U$35,$AV$24:$BF$34,Q46+1))*V49</f>
        <v>2.2132625902597076E-3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2.5217579818082638E-4</v>
      </c>
      <c r="BQ46" s="31">
        <f t="shared" si="30"/>
        <v>9</v>
      </c>
      <c r="BR46" s="31">
        <v>7</v>
      </c>
      <c r="BS46" s="107">
        <f t="shared" si="31"/>
        <v>2.5991491372249411E-6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2.2932318082650336E-3</v>
      </c>
      <c r="I47" s="138">
        <v>8</v>
      </c>
      <c r="J47" s="86">
        <f t="shared" si="28"/>
        <v>3.0746837940407188E-4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4.3777400799200665E-2</v>
      </c>
      <c r="S47" s="72">
        <v>8</v>
      </c>
      <c r="T47" s="212">
        <f t="shared" si="32"/>
        <v>3.2528600273502595E-18</v>
      </c>
      <c r="U47" s="138">
        <v>8</v>
      </c>
      <c r="V47" s="86">
        <f>T47*R39+T46*R40+T45*R41+T44*R42+T43*R43+T42*R44+T41*R45+T40*R46+T39*R47</f>
        <v>4.379940954956657E-2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7.0003777108061898E-7</v>
      </c>
      <c r="AP47" s="28">
        <v>8</v>
      </c>
      <c r="AQ47" s="213">
        <f>((($W$39)^Q47)*((1-($W$39))^($U$34-Q47))*HLOOKUP($U$34,$AV$24:$BF$34,Q47+1))*V48</f>
        <v>2.7962587752029346E-5</v>
      </c>
      <c r="AR47" s="28">
        <v>8</v>
      </c>
      <c r="AS47" s="213">
        <f>((($W$39)^Q47)*((1-($W$39))^($U$35-Q47))*HLOOKUP($U$35,$AV$24:$BF$34,Q47+1))*V49</f>
        <v>2.7880575388096191E-4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4.1967766881390937E-5</v>
      </c>
      <c r="BQ47" s="31">
        <f>BM12+1</f>
        <v>9</v>
      </c>
      <c r="BR47" s="31">
        <v>8</v>
      </c>
      <c r="BS47" s="107">
        <f t="shared" si="31"/>
        <v>5.7412493117427613E-7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3.8164573535024929E-4</v>
      </c>
      <c r="I48" s="138">
        <v>9</v>
      </c>
      <c r="J48" s="86">
        <f t="shared" si="28"/>
        <v>2.185631131450359E-5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0.25947414254354056</v>
      </c>
      <c r="S48" s="72">
        <v>9</v>
      </c>
      <c r="T48" s="212">
        <f t="shared" si="32"/>
        <v>1.8389284074216291E-20</v>
      </c>
      <c r="U48" s="138">
        <v>9</v>
      </c>
      <c r="V48" s="86">
        <f>T48*R39+T47*R40+T46*R41+T45*R42+T44*R43+T43*R44+T42*R45+T41*R46+T40*R47+T39*R48</f>
        <v>0.25969435063924406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1.0436920412797116E-6</v>
      </c>
      <c r="AR48" s="28">
        <v>9</v>
      </c>
      <c r="AS48" s="213">
        <f>((($W$39)^Q48)*((1-($W$39))^($U$35-Q48))*HLOOKUP($U$35,$AV$24:$BF$34,Q48+1))*V49</f>
        <v>2.081261927322388E-5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5.1321911609542028E-6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4.667102910469416E-5</v>
      </c>
      <c r="I49" s="94">
        <v>10</v>
      </c>
      <c r="J49" s="89">
        <f t="shared" si="28"/>
        <v>6.9914017821418717E-7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0.6920710969316094</v>
      </c>
      <c r="S49" s="72">
        <v>10</v>
      </c>
      <c r="T49" s="212">
        <f t="shared" si="32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0.6918273693339354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6.9914017821418717E-7</v>
      </c>
      <c r="BI49" s="31">
        <f>BQ14+1</f>
        <v>6</v>
      </c>
      <c r="BJ49" s="31">
        <v>0</v>
      </c>
      <c r="BK49" s="107">
        <f>$H$31*H39</f>
        <v>1.5433642652216278E-3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9"/>
      <c r="J50" s="299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9"/>
      <c r="X50" s="158"/>
      <c r="Y50" s="158"/>
      <c r="BI50" s="31">
        <f>BI45+1</f>
        <v>6</v>
      </c>
      <c r="BJ50" s="31">
        <v>7</v>
      </c>
      <c r="BK50" s="107">
        <f>$H$31*H46</f>
        <v>4.1691488936815784E-4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9.2092149979352747E-5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1.5326220477225109E-5</v>
      </c>
    </row>
    <row r="53" spans="1:63" x14ac:dyDescent="0.25">
      <c r="BI53" s="31">
        <f>BI48+1</f>
        <v>6</v>
      </c>
      <c r="BJ53" s="31">
        <v>10</v>
      </c>
      <c r="BK53" s="107">
        <f>$H$31*H49</f>
        <v>1.8742263196026185E-6</v>
      </c>
    </row>
    <row r="54" spans="1:63" x14ac:dyDescent="0.25">
      <c r="BI54" s="31">
        <f>BI51+1</f>
        <v>7</v>
      </c>
      <c r="BJ54" s="31">
        <v>8</v>
      </c>
      <c r="BK54" s="107">
        <f>$H$32*H47</f>
        <v>2.3675344154487711E-5</v>
      </c>
    </row>
    <row r="55" spans="1:63" x14ac:dyDescent="0.25">
      <c r="BI55" s="31">
        <f>BI52+1</f>
        <v>7</v>
      </c>
      <c r="BJ55" s="31">
        <v>9</v>
      </c>
      <c r="BK55" s="107">
        <f>$H$32*H48</f>
        <v>3.9401137281213853E-6</v>
      </c>
    </row>
    <row r="56" spans="1:63" x14ac:dyDescent="0.25">
      <c r="BI56" s="31">
        <f>BI53+1</f>
        <v>7</v>
      </c>
      <c r="BJ56" s="31">
        <v>10</v>
      </c>
      <c r="BK56" s="107">
        <f>$H$32*H49</f>
        <v>4.8183209046525014E-7</v>
      </c>
    </row>
    <row r="57" spans="1:63" x14ac:dyDescent="0.25">
      <c r="BI57" s="31">
        <f>BI55+1</f>
        <v>8</v>
      </c>
      <c r="BJ57" s="31">
        <v>9</v>
      </c>
      <c r="BK57" s="107">
        <f>$H$33*H48</f>
        <v>7.2156975221177621E-7</v>
      </c>
    </row>
    <row r="58" spans="1:63" x14ac:dyDescent="0.25">
      <c r="BI58" s="31">
        <f>BI56+1</f>
        <v>8</v>
      </c>
      <c r="BJ58" s="31">
        <v>10</v>
      </c>
      <c r="BK58" s="107">
        <f>$H$33*H49</f>
        <v>8.8239956030523389E-8</v>
      </c>
    </row>
    <row r="59" spans="1:63" x14ac:dyDescent="0.25">
      <c r="BI59" s="31">
        <f>BI58+1</f>
        <v>9</v>
      </c>
      <c r="BJ59" s="31">
        <v>10</v>
      </c>
      <c r="BK59" s="107">
        <f>$H$34*H49</f>
        <v>1.1684384141190326E-8</v>
      </c>
    </row>
  </sheetData>
  <mergeCells count="2">
    <mergeCell ref="Q1:R1"/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1E2C-380C-4BC4-8C7D-84C24FA72C3F}">
  <sheetPr>
    <tabColor rgb="FF00B050"/>
  </sheetPr>
  <dimension ref="A1:BS59"/>
  <sheetViews>
    <sheetView zoomScale="90" zoomScaleNormal="90" workbookViewId="0">
      <selection activeCell="P4" sqref="P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7" t="s">
        <v>190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0"/>
      <c r="R1" s="300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7" t="s">
        <v>191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3.2</v>
      </c>
      <c r="S2" s="198">
        <f>SUM(S4:S15)</f>
        <v>3.5750000000000002</v>
      </c>
      <c r="T2" s="256">
        <f t="shared" ref="T2:U2" si="0">SUM(T4:T15)</f>
        <v>0.33966568317819146</v>
      </c>
      <c r="U2" s="256">
        <f t="shared" si="0"/>
        <v>1.0061155668218085</v>
      </c>
      <c r="V2" s="158"/>
      <c r="W2" s="158"/>
      <c r="X2" s="290">
        <f t="shared" ref="X2:Y2" si="1">SUM(X4:X15)</f>
        <v>0.12778771401263297</v>
      </c>
      <c r="Y2" s="291">
        <f t="shared" si="1"/>
        <v>0.50630212973736688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6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1" t="s">
        <v>5</v>
      </c>
      <c r="C3" s="301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144</v>
      </c>
      <c r="F4" s="279" t="s">
        <v>162</v>
      </c>
      <c r="G4" s="279" t="s">
        <v>162</v>
      </c>
      <c r="H4" s="279" t="s">
        <v>162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1</v>
      </c>
      <c r="Q4" s="251">
        <f>COUNTIF(E8:I9,"IMP")</f>
        <v>1</v>
      </c>
      <c r="R4" s="258">
        <f t="shared" ref="R4:R15" si="2">IF(P4+Q4=0,0,N4)</f>
        <v>0.45</v>
      </c>
      <c r="S4" s="258">
        <f t="shared" ref="S4:S15" si="3">R4*$N$2/$R$2</f>
        <v>0.50273437499999996</v>
      </c>
      <c r="T4" s="263">
        <f t="shared" ref="T4:T9" si="4">IF(S4=0,0,IF(Q4=0,S4*P4/L4,S4*P4/(L4*2)))</f>
        <v>4.1894531249999999E-2</v>
      </c>
      <c r="U4" s="265">
        <f t="shared" ref="U4:U9" si="5">IF(S4=0,0,IF(P4=0,S4*Q4/L4,S4*Q4/(L4*2)))</f>
        <v>4.1894531249999999E-2</v>
      </c>
      <c r="V4" s="255">
        <f>$G$17</f>
        <v>0.56999999999999995</v>
      </c>
      <c r="W4" s="253">
        <f>$H$17</f>
        <v>0.56999999999999995</v>
      </c>
      <c r="X4" s="288">
        <f>V4*T4</f>
        <v>2.3879882812499996E-2</v>
      </c>
      <c r="Y4" s="289">
        <f>W4*U4</f>
        <v>2.3879882812499996E-2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2.3879882812499996E-2</v>
      </c>
      <c r="AH4" s="284">
        <f t="shared" ref="AH4:AH15" si="8">(1-AG4)</f>
        <v>0.97612011718750002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3.6917072349976397E-2</v>
      </c>
      <c r="BM4" s="31">
        <v>0</v>
      </c>
      <c r="BN4" s="31">
        <v>0</v>
      </c>
      <c r="BO4" s="107">
        <f>H25*H39</f>
        <v>1.667334178617293E-2</v>
      </c>
      <c r="BQ4" s="31">
        <v>1</v>
      </c>
      <c r="BR4" s="31">
        <v>0</v>
      </c>
      <c r="BS4" s="107">
        <f>$H$26*H39</f>
        <v>3.6303502856993533E-2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32</v>
      </c>
      <c r="F5" s="279" t="s">
        <v>2</v>
      </c>
      <c r="G5" s="279" t="s">
        <v>2</v>
      </c>
      <c r="H5" s="279" t="s">
        <v>162</v>
      </c>
      <c r="I5" s="279" t="s">
        <v>162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8.7011718749999984E-3</v>
      </c>
      <c r="AB5" s="282">
        <f t="shared" si="7"/>
        <v>0.99129882812500003</v>
      </c>
      <c r="AC5" s="282">
        <f>AA5*PRODUCT(AB3:AB4)*PRODUCT(AB6:AB17)</f>
        <v>7.8979567976853442E-3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7.7827247560331042E-4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3.7982126258730535E-2</v>
      </c>
      <c r="BM5" s="31">
        <v>1</v>
      </c>
      <c r="BN5" s="31">
        <v>1</v>
      </c>
      <c r="BO5" s="107">
        <f>$H$26*H40</f>
        <v>8.0380949345177949E-2</v>
      </c>
      <c r="BQ5" s="31">
        <f>BQ4+1</f>
        <v>2</v>
      </c>
      <c r="BR5" s="31">
        <v>0</v>
      </c>
      <c r="BS5" s="107">
        <f>$H$27*H39</f>
        <v>3.5938987007521926E-2</v>
      </c>
    </row>
    <row r="6" spans="1:71" ht="15.75" x14ac:dyDescent="0.25">
      <c r="A6" s="2" t="s">
        <v>35</v>
      </c>
      <c r="B6" s="269">
        <f>7.75*1.2</f>
        <v>9.2999999999999989</v>
      </c>
      <c r="C6" s="270">
        <v>9.5</v>
      </c>
      <c r="E6" s="248"/>
      <c r="F6" s="279" t="s">
        <v>6</v>
      </c>
      <c r="G6" s="279" t="s">
        <v>162</v>
      </c>
      <c r="H6" s="279" t="s">
        <v>162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1</v>
      </c>
      <c r="Q6" s="251">
        <f>COUNTIF(E9:I11,"IMP")</f>
        <v>1</v>
      </c>
      <c r="R6" s="258">
        <f t="shared" si="2"/>
        <v>0.45</v>
      </c>
      <c r="S6" s="258">
        <f t="shared" si="3"/>
        <v>0.50273437499999996</v>
      </c>
      <c r="T6" s="263">
        <f t="shared" si="4"/>
        <v>1.9335937499999997E-2</v>
      </c>
      <c r="U6" s="265">
        <f t="shared" si="5"/>
        <v>1.9335937499999997E-2</v>
      </c>
      <c r="V6" s="255">
        <f>$G$18</f>
        <v>0.45</v>
      </c>
      <c r="W6" s="253">
        <f>$H$18</f>
        <v>0.45</v>
      </c>
      <c r="X6" s="288">
        <f t="shared" si="11"/>
        <v>8.7011718749999984E-3</v>
      </c>
      <c r="Y6" s="289">
        <f t="shared" si="11"/>
        <v>8.7011718749999984E-3</v>
      </c>
      <c r="Z6" s="236"/>
      <c r="AA6" s="281">
        <f t="shared" si="6"/>
        <v>6.2841796875000007E-4</v>
      </c>
      <c r="AB6" s="282">
        <f t="shared" si="7"/>
        <v>0.99937158203124998</v>
      </c>
      <c r="AC6" s="282">
        <f>AA6*PRODUCT(AB3:AB5)*PRODUCT(AB7:AB17)</f>
        <v>5.6580033207126337E-4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5.5398741743568151E-5</v>
      </c>
      <c r="AE6" s="220"/>
      <c r="AF6" s="234"/>
      <c r="AG6" s="283">
        <f t="shared" si="12"/>
        <v>8.7011718749999984E-3</v>
      </c>
      <c r="AH6" s="284">
        <f t="shared" si="8"/>
        <v>0.99129882812500003</v>
      </c>
      <c r="AI6" s="284">
        <f>AG6*PRODUCT(AH3:AH5)*PRODUCT(AH7:AH17)</f>
        <v>5.1601652570474332E-3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2.5825274190729576E-3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2.543099190554763E-2</v>
      </c>
      <c r="BM6" s="31">
        <f>BI14+1</f>
        <v>2</v>
      </c>
      <c r="BN6" s="31">
        <v>2</v>
      </c>
      <c r="BO6" s="107">
        <f>$H$27*H41</f>
        <v>8.186955918234641E-2</v>
      </c>
      <c r="BQ6" s="31">
        <f>BM5+1</f>
        <v>2</v>
      </c>
      <c r="BR6" s="31">
        <v>1</v>
      </c>
      <c r="BS6" s="107">
        <f>$H$27*H40</f>
        <v>7.9573861110543667E-2</v>
      </c>
    </row>
    <row r="7" spans="1:71" ht="15.75" x14ac:dyDescent="0.25">
      <c r="A7" s="5" t="s">
        <v>40</v>
      </c>
      <c r="B7" s="269">
        <v>9.5</v>
      </c>
      <c r="C7" s="270">
        <v>8.75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1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2.2343750000000002E-2</v>
      </c>
      <c r="T7" s="263">
        <f t="shared" si="4"/>
        <v>1.3964843750000002E-3</v>
      </c>
      <c r="U7" s="265">
        <f t="shared" si="5"/>
        <v>1.3964843750000002E-3</v>
      </c>
      <c r="V7" s="255">
        <f>$G$18</f>
        <v>0.45</v>
      </c>
      <c r="W7" s="253">
        <f>$H$18</f>
        <v>0.45</v>
      </c>
      <c r="X7" s="288">
        <f t="shared" si="11"/>
        <v>6.2841796875000007E-4</v>
      </c>
      <c r="Y7" s="289">
        <f t="shared" si="11"/>
        <v>6.2841796875000007E-4</v>
      </c>
      <c r="Z7" s="236"/>
      <c r="AA7" s="281">
        <f t="shared" si="6"/>
        <v>0</v>
      </c>
      <c r="AB7" s="282">
        <f t="shared" si="7"/>
        <v>1</v>
      </c>
      <c r="AC7" s="282">
        <f>AA7*PRODUCT(AB3:AB6)*PRODUCT(AB8:AB17)</f>
        <v>0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220"/>
      <c r="AF7" s="234"/>
      <c r="AG7" s="283">
        <f t="shared" si="12"/>
        <v>6.2841796875000007E-4</v>
      </c>
      <c r="AH7" s="284">
        <f t="shared" si="8"/>
        <v>0.99937158203124998</v>
      </c>
      <c r="AI7" s="284">
        <f>AG7*PRODUCT(AH3:AH6)*PRODUCT(AH8:AH17)</f>
        <v>3.6966816744752126E-4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1.8477677344607647E-4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1.2812676464677016E-2</v>
      </c>
      <c r="BM7" s="31">
        <f>BI23+1</f>
        <v>3</v>
      </c>
      <c r="BN7" s="31">
        <v>3</v>
      </c>
      <c r="BO7" s="107">
        <f>$H$28*H42</f>
        <v>3.2597618661392873E-2</v>
      </c>
      <c r="BQ7" s="31">
        <f>BQ5+1</f>
        <v>3</v>
      </c>
      <c r="BR7" s="31">
        <v>0</v>
      </c>
      <c r="BS7" s="107">
        <f>$H$28*H39</f>
        <v>2.1372003080940321E-2</v>
      </c>
    </row>
    <row r="8" spans="1:71" ht="15.75" x14ac:dyDescent="0.25">
      <c r="A8" s="5" t="s">
        <v>44</v>
      </c>
      <c r="B8" s="269">
        <v>8.75</v>
      </c>
      <c r="C8" s="270">
        <v>8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0</v>
      </c>
      <c r="Q8" s="251">
        <f>COUNTIF(E10:I11,"RAP")</f>
        <v>3</v>
      </c>
      <c r="R8" s="258">
        <f t="shared" si="2"/>
        <v>0.5</v>
      </c>
      <c r="S8" s="258">
        <f t="shared" si="3"/>
        <v>0.55859375</v>
      </c>
      <c r="T8" s="263">
        <f t="shared" si="4"/>
        <v>0</v>
      </c>
      <c r="U8" s="265">
        <f t="shared" si="5"/>
        <v>0.20947265625</v>
      </c>
      <c r="V8" s="255">
        <f>$G$17</f>
        <v>0.56999999999999995</v>
      </c>
      <c r="W8" s="253">
        <f>$H$17</f>
        <v>0.56999999999999995</v>
      </c>
      <c r="X8" s="288">
        <f t="shared" si="11"/>
        <v>0</v>
      </c>
      <c r="Y8" s="289">
        <f t="shared" si="11"/>
        <v>0.11939941406249999</v>
      </c>
      <c r="Z8" s="236"/>
      <c r="AA8" s="281">
        <f t="shared" si="6"/>
        <v>0</v>
      </c>
      <c r="AB8" s="282">
        <f t="shared" si="7"/>
        <v>1</v>
      </c>
      <c r="AC8" s="282">
        <f>AA8*PRODUCT(AB3:AB7)*PRODUCT(AB9:AB17)</f>
        <v>0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220"/>
      <c r="AF8" s="234"/>
      <c r="AG8" s="283">
        <f t="shared" si="12"/>
        <v>0.11939941406249999</v>
      </c>
      <c r="AH8" s="284">
        <f t="shared" si="8"/>
        <v>0.88060058593750001</v>
      </c>
      <c r="AI8" s="284">
        <f>AG8*PRODUCT(AH3:AH7)*PRODUCT(AH9:AH17)</f>
        <v>7.9710160058217461E-2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2.9034932202859257E-2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5.1057301606978857E-3</v>
      </c>
      <c r="BM8" s="31">
        <f>BI31+1</f>
        <v>4</v>
      </c>
      <c r="BN8" s="31">
        <v>4</v>
      </c>
      <c r="BO8" s="107">
        <f>$H$29*H43</f>
        <v>6.5285138338767503E-3</v>
      </c>
      <c r="BQ8" s="31">
        <f>BQ6+1</f>
        <v>3</v>
      </c>
      <c r="BR8" s="31">
        <v>1</v>
      </c>
      <c r="BS8" s="107">
        <f>$H$28*H40</f>
        <v>4.7320554818668495E-2</v>
      </c>
    </row>
    <row r="9" spans="1:71" ht="15.75" x14ac:dyDescent="0.25">
      <c r="A9" s="5" t="s">
        <v>47</v>
      </c>
      <c r="B9" s="269">
        <v>10</v>
      </c>
      <c r="C9" s="270">
        <v>8.5</v>
      </c>
      <c r="E9" s="280" t="s">
        <v>162</v>
      </c>
      <c r="F9" s="280" t="s">
        <v>162</v>
      </c>
      <c r="G9" s="280" t="s">
        <v>37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0</v>
      </c>
      <c r="Q9" s="251">
        <f>COUNTIF(E10:I11,"RAP")</f>
        <v>3</v>
      </c>
      <c r="R9" s="258">
        <f t="shared" si="2"/>
        <v>0.5</v>
      </c>
      <c r="S9" s="258">
        <f t="shared" si="3"/>
        <v>0.55859375</v>
      </c>
      <c r="T9" s="263">
        <f t="shared" si="4"/>
        <v>0</v>
      </c>
      <c r="U9" s="265">
        <f t="shared" si="5"/>
        <v>0.20947265625</v>
      </c>
      <c r="V9" s="255">
        <f>$G$17</f>
        <v>0.56999999999999995</v>
      </c>
      <c r="W9" s="253">
        <f>$H$17</f>
        <v>0.56999999999999995</v>
      </c>
      <c r="X9" s="288">
        <f t="shared" si="11"/>
        <v>0</v>
      </c>
      <c r="Y9" s="289">
        <f t="shared" si="11"/>
        <v>0.11939941406249999</v>
      </c>
      <c r="Z9" s="236"/>
      <c r="AA9" s="281">
        <f t="shared" si="6"/>
        <v>3.7303960272606386E-2</v>
      </c>
      <c r="AB9" s="282">
        <f t="shared" si="7"/>
        <v>0.96269603972739359</v>
      </c>
      <c r="AC9" s="282">
        <f>AA9*PRODUCT(AB3:AB8)*PRODUCT(AB10:AB17)</f>
        <v>3.4866419719084135E-2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2.0627917797202892E-3</v>
      </c>
      <c r="AE9" s="220"/>
      <c r="AF9" s="234"/>
      <c r="AG9" s="283">
        <f t="shared" si="12"/>
        <v>0.11939941406249999</v>
      </c>
      <c r="AH9" s="284">
        <f t="shared" si="8"/>
        <v>0.88060058593750001</v>
      </c>
      <c r="AI9" s="284">
        <f>AG9*PRODUCT(AH3:AH8)*PRODUCT(AH10:AH17)</f>
        <v>7.9710160058217461E-2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1.8227141976775146E-2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1.5989683860547319E-3</v>
      </c>
      <c r="BM9" s="31">
        <f>BI38+1</f>
        <v>5</v>
      </c>
      <c r="BN9" s="31">
        <v>5</v>
      </c>
      <c r="BO9" s="107">
        <f>$H$30*H44</f>
        <v>7.2767862759478966E-4</v>
      </c>
      <c r="BQ9" s="31">
        <f>BM6+1</f>
        <v>3</v>
      </c>
      <c r="BR9" s="31">
        <v>2</v>
      </c>
      <c r="BS9" s="107">
        <f>$H$28*H41</f>
        <v>4.8685748174096356E-2</v>
      </c>
    </row>
    <row r="10" spans="1:71" ht="15.75" x14ac:dyDescent="0.25">
      <c r="A10" s="6" t="s">
        <v>50</v>
      </c>
      <c r="B10" s="269">
        <v>7.75</v>
      </c>
      <c r="C10" s="270">
        <v>4.75</v>
      </c>
      <c r="E10" s="280" t="s">
        <v>2</v>
      </c>
      <c r="F10" s="280" t="s">
        <v>162</v>
      </c>
      <c r="G10" s="280" t="s">
        <v>162</v>
      </c>
      <c r="H10" s="280" t="s">
        <v>1</v>
      </c>
      <c r="I10" s="280" t="s">
        <v>144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0.16757812499999999</v>
      </c>
      <c r="T10" s="263">
        <f>S10*G13</f>
        <v>8.2897689494680848E-2</v>
      </c>
      <c r="U10" s="265">
        <f>S10*G14</f>
        <v>8.4680435505319132E-2</v>
      </c>
      <c r="V10" s="255">
        <f>$G$18</f>
        <v>0.45</v>
      </c>
      <c r="W10" s="253">
        <f>$H$18</f>
        <v>0.45</v>
      </c>
      <c r="X10" s="288">
        <f t="shared" si="11"/>
        <v>3.7303960272606386E-2</v>
      </c>
      <c r="Y10" s="289">
        <f t="shared" si="11"/>
        <v>3.8106195977393613E-2</v>
      </c>
      <c r="Z10" s="236"/>
      <c r="AA10" s="281">
        <f t="shared" si="6"/>
        <v>1.9066468583776596E-2</v>
      </c>
      <c r="AB10" s="282">
        <f t="shared" si="7"/>
        <v>0.98093353141622341</v>
      </c>
      <c r="AC10" s="282">
        <f>AA10*PRODUCT(AB3:AB9)*PRODUCT(AB11:AB17)</f>
        <v>1.7489294103460822E-2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6.9477344331452754E-4</v>
      </c>
      <c r="AE10" s="220"/>
      <c r="AF10" s="234"/>
      <c r="AG10" s="283">
        <f t="shared" si="12"/>
        <v>3.8106195977393613E-2</v>
      </c>
      <c r="AH10" s="284">
        <f t="shared" si="8"/>
        <v>0.96189380402260638</v>
      </c>
      <c r="AI10" s="284">
        <f>AG10*PRODUCT(AH3:AH9)*PRODUCT(AH11:AH17)</f>
        <v>2.3289433521959932E-2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4.4029124538852178E-3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3.8405464706066817E-4</v>
      </c>
      <c r="BM10" s="31">
        <f>BI44+1</f>
        <v>6</v>
      </c>
      <c r="BN10" s="31">
        <v>6</v>
      </c>
      <c r="BO10" s="107">
        <f>$H$31*H45</f>
        <v>4.5966376621142828E-5</v>
      </c>
      <c r="BQ10" s="31">
        <f>BQ7+1</f>
        <v>4</v>
      </c>
      <c r="BR10" s="31">
        <v>0</v>
      </c>
      <c r="BS10" s="107">
        <f>$H$29*H39</f>
        <v>8.4956599667584936E-3</v>
      </c>
    </row>
    <row r="11" spans="1:71" ht="15.75" x14ac:dyDescent="0.25">
      <c r="A11" s="6" t="s">
        <v>53</v>
      </c>
      <c r="B11" s="269">
        <v>5.5</v>
      </c>
      <c r="C11" s="270">
        <v>7.5</v>
      </c>
      <c r="E11" s="250"/>
      <c r="F11" s="280" t="s">
        <v>1</v>
      </c>
      <c r="G11" s="280" t="s">
        <v>162</v>
      </c>
      <c r="H11" s="280" t="s">
        <v>1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1</v>
      </c>
      <c r="R11" s="258">
        <f t="shared" si="2"/>
        <v>0.23</v>
      </c>
      <c r="S11" s="258">
        <f t="shared" si="3"/>
        <v>0.256953125</v>
      </c>
      <c r="T11" s="263">
        <f>IF(P11&gt;0,S11*G13,0)</f>
        <v>0.12710979055851065</v>
      </c>
      <c r="U11" s="265">
        <f>IF(Q11&gt;0,S11*G14,0)</f>
        <v>0.12984333444148935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1.9066468583776596E-2</v>
      </c>
      <c r="Y11" s="289">
        <f t="shared" si="11"/>
        <v>1.94765001662234E-2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1.94765001662234E-2</v>
      </c>
      <c r="AH11" s="284">
        <f t="shared" si="8"/>
        <v>0.98052349983377662</v>
      </c>
      <c r="AI11" s="284">
        <f>AG11*PRODUCT(AH3:AH10)*PRODUCT(AH12:AH17)</f>
        <v>1.1677325011217619E-2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1.9756698631869987E-3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6.9072978813009586E-5</v>
      </c>
      <c r="BM11" s="31">
        <f>BI50+1</f>
        <v>7</v>
      </c>
      <c r="BN11" s="31">
        <v>7</v>
      </c>
      <c r="BO11" s="107">
        <f>$H$32*H46</f>
        <v>1.6184051154622067E-6</v>
      </c>
      <c r="BQ11" s="31">
        <f>BQ8+1</f>
        <v>4</v>
      </c>
      <c r="BR11" s="31">
        <v>1</v>
      </c>
      <c r="BS11" s="107">
        <f>$H$29*H40</f>
        <v>1.8810559855116527E-2</v>
      </c>
    </row>
    <row r="12" spans="1:71" ht="15.75" x14ac:dyDescent="0.25">
      <c r="A12" s="6" t="s">
        <v>57</v>
      </c>
      <c r="B12" s="269">
        <v>8.25</v>
      </c>
      <c r="C12" s="270">
        <v>7.5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</v>
      </c>
      <c r="AB12" s="282">
        <f t="shared" si="7"/>
        <v>1</v>
      </c>
      <c r="AC12" s="282">
        <f>AA12*PRODUCT(AB3:AB11)*PRODUCT(AB13:AB17)</f>
        <v>0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9.0834669887542994E-6</v>
      </c>
      <c r="BM12" s="31">
        <f>BI54+1</f>
        <v>8</v>
      </c>
      <c r="BN12" s="31">
        <v>8</v>
      </c>
      <c r="BO12" s="107">
        <f>$H$33*H47</f>
        <v>3.0834542131157504E-8</v>
      </c>
      <c r="BQ12" s="31">
        <f>BQ9+1</f>
        <v>4</v>
      </c>
      <c r="BR12" s="31">
        <v>2</v>
      </c>
      <c r="BS12" s="107">
        <f>$H$29*H41</f>
        <v>1.9353242658065237E-2</v>
      </c>
    </row>
    <row r="13" spans="1:71" ht="15.75" x14ac:dyDescent="0.25">
      <c r="A13" s="7" t="s">
        <v>60</v>
      </c>
      <c r="B13" s="269">
        <v>6.25</v>
      </c>
      <c r="C13" s="270">
        <v>9</v>
      </c>
      <c r="E13" s="247"/>
      <c r="F13" s="247" t="s">
        <v>163</v>
      </c>
      <c r="G13" s="254">
        <f>B22</f>
        <v>0.49468085106382981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0</v>
      </c>
      <c r="Q13" s="251">
        <f>COUNTIF(E10:I11,"CAB")</f>
        <v>1</v>
      </c>
      <c r="R13" s="258">
        <f t="shared" si="2"/>
        <v>0.18</v>
      </c>
      <c r="S13" s="258">
        <f t="shared" si="3"/>
        <v>0.20109374999999999</v>
      </c>
      <c r="T13" s="263">
        <f>IF((Q13+P13)=0,0,S13*P13/(Q13+P13))</f>
        <v>0</v>
      </c>
      <c r="U13" s="265">
        <f>IF(P13+Q13=0,0,S13*Q13/(Q13+P13))</f>
        <v>0.20109374999999999</v>
      </c>
      <c r="V13" s="255">
        <f>$G$17</f>
        <v>0.56999999999999995</v>
      </c>
      <c r="W13" s="253">
        <f>$H$17</f>
        <v>0.56999999999999995</v>
      </c>
      <c r="X13" s="288">
        <f t="shared" si="11"/>
        <v>0</v>
      </c>
      <c r="Y13" s="289">
        <f t="shared" si="11"/>
        <v>0.11462343749999998</v>
      </c>
      <c r="Z13" s="236"/>
      <c r="AA13" s="281">
        <f t="shared" si="6"/>
        <v>3.82078125E-2</v>
      </c>
      <c r="AB13" s="282">
        <f t="shared" si="7"/>
        <v>0.96179218749999995</v>
      </c>
      <c r="AC13" s="282">
        <f>AA13*PRODUCT(AB3:AB12)*PRODUCT(AB14:AB17)</f>
        <v>3.5744771733168812E-2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0.11462343749999998</v>
      </c>
      <c r="AH13" s="284">
        <f t="shared" si="8"/>
        <v>0.88537656250000007</v>
      </c>
      <c r="AI13" s="284">
        <f>AG13*PRODUCT(AH3:AH12)*PRODUCT(AH14:AH17)</f>
        <v>7.6108973244184641E-2</v>
      </c>
      <c r="AJ13" s="284">
        <f>AG13*AG14*PRODUCT(AH3:AH12)*PRODUCT(AH15:AH17)+AG13*AG15*PRODUCT(AH3:AH12)*AH14*PRODUCT(AH16:AH17)+AG13*AG16*PRODUCT(AH3:AH12)*AH14*AH15*AH17+AG13*AG17*PRODUCT(AH3:AH12)*AH14*AH15*AH16</f>
        <v>3.0234778542337915E-3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8.4623261609594426E-7</v>
      </c>
      <c r="BM13" s="31">
        <f>BI57+1</f>
        <v>9</v>
      </c>
      <c r="BN13" s="31">
        <v>9</v>
      </c>
      <c r="BO13" s="107">
        <f>$H$34*H48</f>
        <v>3.0458633329751247E-10</v>
      </c>
      <c r="BQ13" s="31">
        <f>BM7+1</f>
        <v>4</v>
      </c>
      <c r="BR13" s="31">
        <v>3</v>
      </c>
      <c r="BS13" s="107">
        <f>$H$29*H42</f>
        <v>1.2957993821376071E-2</v>
      </c>
    </row>
    <row r="14" spans="1:71" ht="15.75" x14ac:dyDescent="0.25">
      <c r="A14" s="7" t="s">
        <v>63</v>
      </c>
      <c r="B14" s="269">
        <v>4.75</v>
      </c>
      <c r="C14" s="270">
        <v>4</v>
      </c>
      <c r="E14" s="247"/>
      <c r="F14" s="247" t="s">
        <v>164</v>
      </c>
      <c r="G14" s="252">
        <f>C22</f>
        <v>0.50531914893617014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0.1340625</v>
      </c>
      <c r="T14" s="263">
        <f>S14*P14/(Q14+P14)</f>
        <v>6.7031250000000001E-2</v>
      </c>
      <c r="U14" s="265">
        <f>S14*Q14/(Q14+P14)</f>
        <v>6.7031250000000001E-2</v>
      </c>
      <c r="V14" s="255">
        <f>$G$17</f>
        <v>0.56999999999999995</v>
      </c>
      <c r="W14" s="253">
        <f>$H$17</f>
        <v>0.56999999999999995</v>
      </c>
      <c r="X14" s="288">
        <f t="shared" si="11"/>
        <v>3.82078125E-2</v>
      </c>
      <c r="Y14" s="289">
        <f t="shared" si="11"/>
        <v>3.82078125E-2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3.82078125E-2</v>
      </c>
      <c r="AH14" s="284">
        <f t="shared" si="8"/>
        <v>0.96179218749999995</v>
      </c>
      <c r="AI14" s="284">
        <f>AG14*PRODUCT(AH3:AH13)*PRODUCT(AH15:AH17)</f>
        <v>2.3354005845239029E-2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8.2699931833221982E-2</v>
      </c>
      <c r="BM14" s="31">
        <f>BQ39+1</f>
        <v>10</v>
      </c>
      <c r="BN14" s="31">
        <v>10</v>
      </c>
      <c r="BO14" s="107">
        <f>$H$35*H49</f>
        <v>1.458541977257735E-12</v>
      </c>
      <c r="BQ14" s="31">
        <f>BQ10+1</f>
        <v>5</v>
      </c>
      <c r="BR14" s="31">
        <v>0</v>
      </c>
      <c r="BS14" s="107">
        <f>$H$30*H39</f>
        <v>2.3763172135056157E-3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2</v>
      </c>
      <c r="Q15" s="251">
        <f>COUNTIF(E10:I11,"TEC")</f>
        <v>1</v>
      </c>
      <c r="R15" s="258">
        <f t="shared" si="2"/>
        <v>0.6</v>
      </c>
      <c r="S15" s="258">
        <f t="shared" si="3"/>
        <v>0.67031249999999998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4.1894531249999999E-2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2.3879882812499996E-2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2.3879882812499996E-2</v>
      </c>
      <c r="AH15" s="284">
        <f t="shared" si="8"/>
        <v>0.97612011718750002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5.5371868407619311E-2</v>
      </c>
      <c r="BQ15" s="31">
        <f>BQ11+1</f>
        <v>5</v>
      </c>
      <c r="BR15" s="31">
        <v>1</v>
      </c>
      <c r="BS15" s="107">
        <f>$H$30*H40</f>
        <v>5.2614932040937435E-3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2.7897529038052642E-2</v>
      </c>
      <c r="BQ16" s="31">
        <f>BQ12+1</f>
        <v>5</v>
      </c>
      <c r="BR16" s="31">
        <v>2</v>
      </c>
      <c r="BS16" s="107">
        <f>$H$30*H41</f>
        <v>5.4132867658848631E-3</v>
      </c>
    </row>
    <row r="17" spans="1:71" x14ac:dyDescent="0.25">
      <c r="A17" s="183" t="s">
        <v>74</v>
      </c>
      <c r="B17" s="273" t="s">
        <v>192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1.1116900970005179E-2</v>
      </c>
      <c r="BQ17" s="31">
        <f>BQ13+1</f>
        <v>5</v>
      </c>
      <c r="BR17" s="31">
        <v>3</v>
      </c>
      <c r="BS17" s="107">
        <f>$H$30*H42</f>
        <v>3.6244746012338491E-3</v>
      </c>
    </row>
    <row r="18" spans="1:71" x14ac:dyDescent="0.25">
      <c r="A18" s="183" t="s">
        <v>78</v>
      </c>
      <c r="B18" s="273">
        <v>11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0.8997909052483074</v>
      </c>
      <c r="AC18" s="176">
        <f>SUM(AC3:AC17)</f>
        <v>9.6564242685470383E-2</v>
      </c>
      <c r="AD18" s="176">
        <f>SUM(AD3:AD17)</f>
        <v>3.5912364403816953E-3</v>
      </c>
      <c r="AE18" s="176">
        <f>1-AB18-AC18-AD18</f>
        <v>5.361562584051691E-5</v>
      </c>
      <c r="AF18" s="234"/>
      <c r="AG18" s="158"/>
      <c r="AH18" s="179">
        <f>PRODUCT(AH3:AH17)</f>
        <v>0.58788239627118755</v>
      </c>
      <c r="AI18" s="176">
        <f>SUM(AI3:AI17)</f>
        <v>0.29937989116353114</v>
      </c>
      <c r="AJ18" s="176">
        <f>SUM(AJ3:AJ17)</f>
        <v>5.943143854345944E-2</v>
      </c>
      <c r="AK18" s="176">
        <f>1-AH18-AI18-AJ18</f>
        <v>5.3306274021821871E-2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3.4814948386363174E-3</v>
      </c>
      <c r="BQ18" s="31">
        <f>BM8+1</f>
        <v>5</v>
      </c>
      <c r="BR18" s="31">
        <v>4</v>
      </c>
      <c r="BS18" s="107">
        <f>$H$30*H43</f>
        <v>1.8260876568451147E-3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8.3621682777300452E-4</v>
      </c>
      <c r="BQ19" s="31">
        <f>BQ15+1</f>
        <v>6</v>
      </c>
      <c r="BR19" s="31">
        <v>1</v>
      </c>
      <c r="BS19" s="107">
        <f>$H$31*H40</f>
        <v>1.0612742979715848E-3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1.5039523065248219E-4</v>
      </c>
      <c r="BQ20" s="31">
        <f>BQ16+1</f>
        <v>6</v>
      </c>
      <c r="BR20" s="31">
        <v>2</v>
      </c>
      <c r="BS20" s="107">
        <f>$H$31*H41</f>
        <v>1.0918919571564596E-3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1.9777779044337524E-5</v>
      </c>
      <c r="BQ21" s="31">
        <f>BQ17+1</f>
        <v>6</v>
      </c>
      <c r="BR21" s="31">
        <v>3</v>
      </c>
      <c r="BS21" s="107">
        <f>$H$31*H42</f>
        <v>7.3107796375132582E-4</v>
      </c>
    </row>
    <row r="22" spans="1:71" x14ac:dyDescent="0.25">
      <c r="A22" s="26" t="s">
        <v>87</v>
      </c>
      <c r="B22" s="206">
        <f>(B6)/((B6)+(C6))</f>
        <v>0.49468085106382981</v>
      </c>
      <c r="C22" s="207">
        <f>1-B22</f>
        <v>0.50531914893617014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1.8425345434708883E-6</v>
      </c>
      <c r="BQ22" s="31">
        <f>BQ18+1</f>
        <v>6</v>
      </c>
      <c r="BR22" s="31">
        <v>4</v>
      </c>
      <c r="BS22" s="107">
        <f>$H$31*H43</f>
        <v>3.6833268064377915E-4</v>
      </c>
    </row>
    <row r="23" spans="1:71" ht="15.75" thickBot="1" x14ac:dyDescent="0.3">
      <c r="A23" s="40" t="s">
        <v>88</v>
      </c>
      <c r="B23" s="56">
        <f>((B22^2.8)/((B22^2.8)+(C22^2.8)))*B21</f>
        <v>2.425551124775664</v>
      </c>
      <c r="C23" s="57">
        <f>B21-B23</f>
        <v>2.574448875224336</v>
      </c>
      <c r="D23" s="149">
        <f>SUM(D25:D30)</f>
        <v>0.99999999999999989</v>
      </c>
      <c r="E23" s="149">
        <f>SUM(E25:E30)</f>
        <v>1</v>
      </c>
      <c r="H23" s="266">
        <f>SUM(H25:H35)</f>
        <v>0.99999999202397205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</v>
      </c>
      <c r="V23" s="208">
        <f>SUM(V25:V34)</f>
        <v>0.99916113341533996</v>
      </c>
      <c r="Y23" s="205">
        <f>SUM(Y25:Y35)</f>
        <v>1.2900659625961176E-3</v>
      </c>
      <c r="Z23" s="81"/>
      <c r="AA23" s="205">
        <f>SUM(AA25:AA35)</f>
        <v>1.2173975658669661E-2</v>
      </c>
      <c r="AB23" s="81"/>
      <c r="AC23" s="205">
        <f>SUM(AC25:AC35)</f>
        <v>5.1715302716569177E-2</v>
      </c>
      <c r="AD23" s="81"/>
      <c r="AE23" s="205">
        <f>SUM(AE25:AE35)</f>
        <v>0.13024852961431083</v>
      </c>
      <c r="AF23" s="81"/>
      <c r="AG23" s="205">
        <f>SUM(AG25:AG35)</f>
        <v>0.21542523710660197</v>
      </c>
      <c r="AH23" s="81"/>
      <c r="AI23" s="205">
        <f>SUM(AI25:AI35)</f>
        <v>0.24457570299351625</v>
      </c>
      <c r="AJ23" s="81"/>
      <c r="AK23" s="205">
        <f>SUM(AK25:AK35)</f>
        <v>0.19314541775756777</v>
      </c>
      <c r="AL23" s="81"/>
      <c r="AM23" s="205">
        <f>SUM(AM25:AM35)</f>
        <v>0.1048928352840833</v>
      </c>
      <c r="AN23" s="81"/>
      <c r="AO23" s="205">
        <f>SUM(AO25:AO35)</f>
        <v>3.7596404918364384E-2</v>
      </c>
      <c r="AP23" s="81"/>
      <c r="AQ23" s="205">
        <f>SUM(AQ25:AQ35)</f>
        <v>8.0976614030604053E-3</v>
      </c>
      <c r="AR23" s="81"/>
      <c r="AS23" s="205">
        <f>SUM(AS25:AS35)</f>
        <v>8.3886658466003638E-4</v>
      </c>
      <c r="BI23" s="31">
        <f t="shared" ref="BI23:BI30" si="14">BI15+1</f>
        <v>2</v>
      </c>
      <c r="BJ23" s="31">
        <v>3</v>
      </c>
      <c r="BK23" s="107">
        <f t="shared" ref="BK23:BK30" si="15">$H$27*H42</f>
        <v>5.4815891103474818E-2</v>
      </c>
      <c r="BQ23" s="31">
        <f>BM9+1</f>
        <v>6</v>
      </c>
      <c r="BR23" s="31">
        <v>5</v>
      </c>
      <c r="BS23" s="107">
        <f>$H$31*H44</f>
        <v>1.4677708298638852E-4</v>
      </c>
    </row>
    <row r="24" spans="1:71" ht="15.75" thickBot="1" x14ac:dyDescent="0.3">
      <c r="A24" s="26" t="s">
        <v>89</v>
      </c>
      <c r="B24" s="64">
        <f>B23/B21</f>
        <v>0.48511022495513278</v>
      </c>
      <c r="C24" s="65">
        <f>C23/B21</f>
        <v>0.51488977504486722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2.7617415806678727E-2</v>
      </c>
      <c r="BQ24" s="31">
        <f>BI49+1</f>
        <v>7</v>
      </c>
      <c r="BR24" s="31">
        <v>0</v>
      </c>
      <c r="BS24" s="107">
        <f t="shared" ref="BS24:BS30" si="16">$H$32*H39</f>
        <v>7.0261411611898588E-5</v>
      </c>
    </row>
    <row r="25" spans="1:71" x14ac:dyDescent="0.25">
      <c r="A25" s="26" t="s">
        <v>114</v>
      </c>
      <c r="B25" s="209">
        <f>1/(1+EXP(-3.1416*4*((B11/(B11+C8))-(3.1416/6))))</f>
        <v>0.18844857525939171</v>
      </c>
      <c r="C25" s="207">
        <f>1/(1+EXP(-3.1416*4*((C11/(C11+B8))-(3.1416/6))))</f>
        <v>0.31434356886380677</v>
      </c>
      <c r="D25" s="204">
        <f>IF(B17="AOW",0.36-0.08,IF(B17="AIM",0.36+0.08,IF(B17="TL",(0.361)-(0.36*B32),0.36)))</f>
        <v>0.27999999999999997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0.13698401965690007</v>
      </c>
      <c r="I25" s="97">
        <v>0</v>
      </c>
      <c r="J25" s="98">
        <f t="shared" ref="J25:J35" si="17">Y25+AA25+AC25+AE25+AG25+AI25+AK25+AM25+AO25+AQ25+AS25</f>
        <v>0.15223983578617944</v>
      </c>
      <c r="K25" s="97">
        <v>0</v>
      </c>
      <c r="L25" s="98">
        <f>AB18</f>
        <v>0.8997909052483074</v>
      </c>
      <c r="M25" s="85">
        <v>0</v>
      </c>
      <c r="N25" s="210">
        <f>(1-$B$24)^$B$21</f>
        <v>3.6188562926586336E-2</v>
      </c>
      <c r="O25" s="72">
        <v>0</v>
      </c>
      <c r="P25" s="210">
        <f t="shared" ref="P25:P30" si="18">N25</f>
        <v>3.6188562926586336E-2</v>
      </c>
      <c r="Q25" s="28">
        <v>0</v>
      </c>
      <c r="R25" s="211">
        <f>P25*N25</f>
        <v>1.309612086691499E-3</v>
      </c>
      <c r="S25" s="72">
        <v>0</v>
      </c>
      <c r="T25" s="212">
        <f>(1-$B$33)^(INT(C23*2*(1-C31)))</f>
        <v>0.98507487500000002</v>
      </c>
      <c r="U25" s="138">
        <v>0</v>
      </c>
      <c r="V25" s="86">
        <f>R25*T25</f>
        <v>1.2900659625961176E-3</v>
      </c>
      <c r="W25" s="134">
        <f>B31</f>
        <v>0.35277930126531443</v>
      </c>
      <c r="X25" s="28">
        <v>0</v>
      </c>
      <c r="Y25" s="213">
        <f>V25</f>
        <v>1.2900659625961176E-3</v>
      </c>
      <c r="Z25" s="28">
        <v>0</v>
      </c>
      <c r="AA25" s="213">
        <f>((1-W25)^Z26)*V26</f>
        <v>7.8792490321832314E-3</v>
      </c>
      <c r="AB25" s="28">
        <v>0</v>
      </c>
      <c r="AC25" s="213">
        <f>(((1-$W$25)^AB27))*V27</f>
        <v>2.1663262745249944E-2</v>
      </c>
      <c r="AD25" s="28">
        <v>0</v>
      </c>
      <c r="AE25" s="213">
        <f>(((1-$W$25)^AB28))*V28</f>
        <v>3.5312626680036263E-2</v>
      </c>
      <c r="AF25" s="28">
        <v>0</v>
      </c>
      <c r="AG25" s="213">
        <f>(((1-$W$25)^AB29))*V29</f>
        <v>3.7801250900232654E-2</v>
      </c>
      <c r="AH25" s="28">
        <v>0</v>
      </c>
      <c r="AI25" s="213">
        <f>(((1-$W$25)^AB30))*V30</f>
        <v>2.777635796109254E-2</v>
      </c>
      <c r="AJ25" s="28">
        <v>0</v>
      </c>
      <c r="AK25" s="213">
        <f>(((1-$W$25)^AB31))*V31</f>
        <v>1.4197072401442291E-2</v>
      </c>
      <c r="AL25" s="28">
        <v>0</v>
      </c>
      <c r="AM25" s="213">
        <f>(((1-$W$25)^AB32))*V32</f>
        <v>4.9901386263894393E-3</v>
      </c>
      <c r="AN25" s="28">
        <v>0</v>
      </c>
      <c r="AO25" s="213">
        <f>(((1-$W$25)^AB33))*V33</f>
        <v>1.157618616010438E-3</v>
      </c>
      <c r="AP25" s="28">
        <v>0</v>
      </c>
      <c r="AQ25" s="213">
        <f>(((1-$W$25)^AB34))*V34</f>
        <v>1.6137311969750815E-4</v>
      </c>
      <c r="AR25" s="28">
        <v>0</v>
      </c>
      <c r="AS25" s="213">
        <f>(((1-$W$25)^AB35))*V35</f>
        <v>1.0819741249038149E-5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1.1005278501602175E-2</v>
      </c>
      <c r="BQ25" s="31">
        <f>BQ19+1</f>
        <v>7</v>
      </c>
      <c r="BR25" s="31">
        <v>1</v>
      </c>
      <c r="BS25" s="107">
        <f t="shared" si="16"/>
        <v>1.5556843068130393E-4</v>
      </c>
    </row>
    <row r="26" spans="1:71" x14ac:dyDescent="0.25">
      <c r="A26" s="40" t="s">
        <v>115</v>
      </c>
      <c r="B26" s="206">
        <f>1/(1+EXP(-3.1416*4*((B10/(B10+C9))-(3.1416/6))))</f>
        <v>0.35742433519183242</v>
      </c>
      <c r="C26" s="207">
        <f>1/(1+EXP(-3.1416*4*((C10/(C10+B9))-(3.1416/6))))</f>
        <v>7.357960365099861E-2</v>
      </c>
      <c r="D26" s="204">
        <f>IF(B17="AOW",0.257+0.04,IF(B17="AIM",0.257-0.04,IF(B17="TL",(0.257)-(0.257*B32),0.257)))</f>
        <v>0.29699999999999999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0.29826052945791581</v>
      </c>
      <c r="I26" s="138">
        <v>1</v>
      </c>
      <c r="J26" s="86">
        <f t="shared" si="17"/>
        <v>0.31513944334702021</v>
      </c>
      <c r="K26" s="138">
        <v>1</v>
      </c>
      <c r="L26" s="86">
        <f>AC18</f>
        <v>9.6564242685470383E-2</v>
      </c>
      <c r="M26" s="85">
        <v>1</v>
      </c>
      <c r="N26" s="210">
        <f>(($B$24)^M26)*((1-($B$24))^($B$21-M26))*HLOOKUP($B$21,$AV$24:$BF$34,M26+1)</f>
        <v>0.1704776706877652</v>
      </c>
      <c r="O26" s="72">
        <v>1</v>
      </c>
      <c r="P26" s="210">
        <f t="shared" si="18"/>
        <v>0.1704776706877652</v>
      </c>
      <c r="Q26" s="28">
        <v>1</v>
      </c>
      <c r="R26" s="211">
        <f>N26*P25+P26*N25</f>
        <v>1.2338683826524107E-2</v>
      </c>
      <c r="S26" s="72">
        <v>1</v>
      </c>
      <c r="T26" s="212">
        <f t="shared" ref="T26:T35" si="19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1.2173975658669659E-2</v>
      </c>
      <c r="W26" s="214"/>
      <c r="X26" s="28">
        <v>1</v>
      </c>
      <c r="Y26" s="211"/>
      <c r="Z26" s="28">
        <v>1</v>
      </c>
      <c r="AA26" s="213">
        <f>(1-((1-W25)^Z26))*V26</f>
        <v>4.2947266264864283E-3</v>
      </c>
      <c r="AB26" s="28">
        <v>1</v>
      </c>
      <c r="AC26" s="213">
        <f>((($W$25)^M26)*((1-($W$25))^($U$27-M26))*HLOOKUP($U$27,$AV$24:$BF$34,M26+1))*V27</f>
        <v>2.3615903228487483E-2</v>
      </c>
      <c r="AD26" s="28">
        <v>1</v>
      </c>
      <c r="AE26" s="213">
        <f>((($W$25)^M26)*((1-($W$25))^($U$28-M26))*HLOOKUP($U$28,$AV$24:$BF$34,M26+1))*V28</f>
        <v>5.7743349944063549E-2</v>
      </c>
      <c r="AF26" s="28">
        <v>1</v>
      </c>
      <c r="AG26" s="213">
        <f>((($W$25)^M26)*((1-($W$25))^($U$29-M26))*HLOOKUP($U$29,$AV$24:$BF$34,M26+1))*V29</f>
        <v>8.2417011109871929E-2</v>
      </c>
      <c r="AH26" s="28">
        <v>1</v>
      </c>
      <c r="AI26" s="213">
        <f>((($W$25)^M26)*((1-($W$25))^($U$30-M26))*HLOOKUP($U$30,$AV$24:$BF$34,M26+1))*V30</f>
        <v>7.5700021432923453E-2</v>
      </c>
      <c r="AJ26" s="28">
        <v>1</v>
      </c>
      <c r="AK26" s="213">
        <f>((($W$25)^M26)*((1-($W$25))^($U$31-M26))*HLOOKUP($U$31,$AV$24:$BF$34,M26+1))*V31</f>
        <v>4.6430220401653052E-2</v>
      </c>
      <c r="AL26" s="28">
        <v>1</v>
      </c>
      <c r="AM26" s="213">
        <f>((($W$25)^Q26)*((1-($W$25))^($U$32-Q26))*HLOOKUP($U$32,$AV$24:$BF$34,Q26+1))*V32</f>
        <v>1.903975467554473E-2</v>
      </c>
      <c r="AN26" s="28">
        <v>1</v>
      </c>
      <c r="AO26" s="213">
        <f>((($W$25)^Q26)*((1-($W$25))^($U$33-Q26))*HLOOKUP($U$33,$AV$24:$BF$34,Q26+1))*V33</f>
        <v>5.0478470455134926E-3</v>
      </c>
      <c r="AP26" s="28">
        <v>1</v>
      </c>
      <c r="AQ26" s="213">
        <f>((($W$25)^Q26)*((1-($W$25))^($U$34-Q26))*HLOOKUP($U$34,$AV$24:$BF$34,Q26+1))*V34</f>
        <v>7.9163393366541541E-4</v>
      </c>
      <c r="AR26" s="28">
        <v>1</v>
      </c>
      <c r="AS26" s="213">
        <f>((($W$25)^Q26)*((1-($W$25))^($U$35-Q26))*HLOOKUP($U$35,$AV$24:$BF$34,Q26+1))*V35</f>
        <v>5.8974948810650898E-5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3.4465378799776558E-3</v>
      </c>
      <c r="BQ26" s="31">
        <f>BQ20+1</f>
        <v>7</v>
      </c>
      <c r="BR26" s="31">
        <v>2</v>
      </c>
      <c r="BS26" s="107">
        <f t="shared" si="16"/>
        <v>1.600565646157917E-4</v>
      </c>
    </row>
    <row r="27" spans="1:71" x14ac:dyDescent="0.25">
      <c r="A27" s="26" t="s">
        <v>116</v>
      </c>
      <c r="B27" s="206">
        <f>1/(1+EXP(-3.1416*4*((B12/(B12+C7))-(3.1416/6))))</f>
        <v>0.38192937064440097</v>
      </c>
      <c r="C27" s="207">
        <f>1/(1+EXP(-3.1416*4*((C12/(C12+B7))-(3.1416/6))))</f>
        <v>0.2619675717884965</v>
      </c>
      <c r="D27" s="204">
        <f>D26</f>
        <v>0.29699999999999999</v>
      </c>
      <c r="E27" s="204">
        <f>E26</f>
        <v>0.25700000000000001</v>
      </c>
      <c r="G27" s="87">
        <v>2</v>
      </c>
      <c r="H27" s="126">
        <f>L25*J27+J26*L26+J25*L27</f>
        <v>0.29526575810795891</v>
      </c>
      <c r="I27" s="138">
        <v>2</v>
      </c>
      <c r="J27" s="86">
        <f t="shared" si="17"/>
        <v>0.29372138086008653</v>
      </c>
      <c r="K27" s="138">
        <v>2</v>
      </c>
      <c r="L27" s="86">
        <f>AD18</f>
        <v>3.5912364403816953E-3</v>
      </c>
      <c r="M27" s="85">
        <v>2</v>
      </c>
      <c r="N27" s="210">
        <f>(($B$24)^M27)*((1-($B$24))^($B$21-M27))*HLOOKUP($B$21,$AV$24:$BF$34,M27+1)</f>
        <v>0.3212355932683354</v>
      </c>
      <c r="O27" s="72">
        <v>2</v>
      </c>
      <c r="P27" s="210">
        <f t="shared" si="18"/>
        <v>0.3212355932683354</v>
      </c>
      <c r="Q27" s="28">
        <v>2</v>
      </c>
      <c r="R27" s="211">
        <f>P25*N27+P26*N26+P27*N25</f>
        <v>5.231274516562702E-2</v>
      </c>
      <c r="S27" s="72">
        <v>2</v>
      </c>
      <c r="T27" s="212">
        <f t="shared" si="19"/>
        <v>7.4625000000000011E-5</v>
      </c>
      <c r="U27" s="138">
        <v>2</v>
      </c>
      <c r="V27" s="86">
        <f>R27*T25+T26*R26+R25*T27</f>
        <v>5.1715302716569177E-2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6.4361367428317504E-3</v>
      </c>
      <c r="AD27" s="28">
        <v>2</v>
      </c>
      <c r="AE27" s="213">
        <f>((($W$25)^M27)*((1-($W$25))^($U$28-M27))*HLOOKUP($U$28,$AV$24:$BF$34,M27+1))*V28</f>
        <v>3.1474053110183038E-2</v>
      </c>
      <c r="AF27" s="28">
        <v>2</v>
      </c>
      <c r="AG27" s="213">
        <f>((($W$25)^M27)*((1-($W$25))^($U$29-M27))*HLOOKUP($U$29,$AV$24:$BF$34,M27+1))*V29</f>
        <v>6.7384314921999186E-2</v>
      </c>
      <c r="AH27" s="28">
        <v>2</v>
      </c>
      <c r="AI27" s="213">
        <f>((($W$25)^M27)*((1-($W$25))^($U$30-M27))*HLOOKUP($U$30,$AV$24:$BF$34,M27+1))*V30</f>
        <v>8.2523320774768316E-2</v>
      </c>
      <c r="AJ27" s="28">
        <v>2</v>
      </c>
      <c r="AK27" s="213">
        <f>((($W$25)^M27)*((1-($W$25))^($U$31-M27))*HLOOKUP($U$31,$AV$24:$BF$34,M27+1))*V31</f>
        <v>6.326907012906037E-2</v>
      </c>
      <c r="AL27" s="28">
        <v>2</v>
      </c>
      <c r="AM27" s="213">
        <f>((($W$25)^Q27)*((1-($W$25))^($U$32-Q27))*HLOOKUP($U$32,$AV$24:$BF$34,Q27+1))*V32</f>
        <v>3.1133883838231954E-2</v>
      </c>
      <c r="AN27" s="28">
        <v>2</v>
      </c>
      <c r="AO27" s="213">
        <f>((($W$25)^Q27)*((1-($W$25))^($U$33-Q27))*HLOOKUP($U$33,$AV$24:$BF$34,Q27+1))*V33</f>
        <v>9.6299698848035156E-3</v>
      </c>
      <c r="AP27" s="28">
        <v>2</v>
      </c>
      <c r="AQ27" s="213">
        <f>((($W$25)^Q27)*((1-($W$25))^($U$34-Q27))*HLOOKUP($U$34,$AV$24:$BF$34,Q27+1))*V34</f>
        <v>1.7259773460420751E-3</v>
      </c>
      <c r="AR27" s="28">
        <v>2</v>
      </c>
      <c r="AS27" s="213">
        <f>((($W$25)^Q27)*((1-($W$25))^($U$35-Q27))*HLOOKUP($U$35,$AV$24:$BF$34,Q27+1))*V35</f>
        <v>1.4465411216628101E-4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8.2782055018737173E-4</v>
      </c>
      <c r="BQ27" s="31">
        <f>BQ21+1</f>
        <v>7</v>
      </c>
      <c r="BR27" s="31">
        <v>3</v>
      </c>
      <c r="BS27" s="107">
        <f t="shared" si="16"/>
        <v>1.0716612259795074E-4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0.17558704953644697</v>
      </c>
      <c r="I28" s="138">
        <v>3</v>
      </c>
      <c r="J28" s="86">
        <f t="shared" si="17"/>
        <v>0.16235345711348967</v>
      </c>
      <c r="K28" s="138">
        <v>3</v>
      </c>
      <c r="L28" s="86">
        <f>AE18</f>
        <v>5.361562584051691E-5</v>
      </c>
      <c r="M28" s="85">
        <v>3</v>
      </c>
      <c r="N28" s="210">
        <f>(($B$24)^M28)*((1-($B$24))^($B$21-M28))*HLOOKUP($B$21,$AV$24:$BF$34,M28+1)</f>
        <v>0.30265637126007872</v>
      </c>
      <c r="O28" s="72">
        <v>3</v>
      </c>
      <c r="P28" s="210">
        <f t="shared" si="18"/>
        <v>0.30265637126007872</v>
      </c>
      <c r="Q28" s="28">
        <v>3</v>
      </c>
      <c r="R28" s="211">
        <f>P25*N28+P26*N27+P27*N26+P28*N25</f>
        <v>0.1314323896377316</v>
      </c>
      <c r="S28" s="72">
        <v>3</v>
      </c>
      <c r="T28" s="212">
        <f t="shared" si="19"/>
        <v>1.2500000000000002E-7</v>
      </c>
      <c r="U28" s="138">
        <v>3</v>
      </c>
      <c r="V28" s="86">
        <f>R28*T25+R27*T26+R26*T27+R25*T28</f>
        <v>0.13024852961431083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5.7184998800279777E-3</v>
      </c>
      <c r="AF28" s="28">
        <v>3</v>
      </c>
      <c r="AG28" s="213">
        <f>((($W$25)^M28)*((1-($W$25))^($U$29-M28))*HLOOKUP($U$29,$AV$24:$BF$34,M28+1))*V29</f>
        <v>2.4486023166336256E-2</v>
      </c>
      <c r="AH28" s="28">
        <v>3</v>
      </c>
      <c r="AI28" s="213">
        <f>((($W$25)^M28)*((1-($W$25))^($U$30-M28))*HLOOKUP($U$30,$AV$24:$BF$34,M28+1))*V30</f>
        <v>4.4980822612643648E-2</v>
      </c>
      <c r="AJ28" s="28">
        <v>3</v>
      </c>
      <c r="AK28" s="213">
        <f>((($W$25)^M28)*((1-($W$25))^($U$31-M28))*HLOOKUP($U$31,$AV$24:$BF$34,M28+1))*V31</f>
        <v>4.5981261920849489E-2</v>
      </c>
      <c r="AL28" s="28">
        <v>3</v>
      </c>
      <c r="AM28" s="213">
        <f>((($W$25)^Q28)*((1-($W$25))^($U$32-Q28))*HLOOKUP($U$32,$AV$24:$BF$34,Q28+1))*V32</f>
        <v>2.8283473750657821E-2</v>
      </c>
      <c r="AN28" s="28">
        <v>3</v>
      </c>
      <c r="AO28" s="213">
        <f>((($W$25)^Q28)*((1-($W$25))^($U$33-Q28))*HLOOKUP($U$33,$AV$24:$BF$34,Q28+1))*V33</f>
        <v>1.0497977131475017E-2</v>
      </c>
      <c r="AP28" s="28">
        <v>3</v>
      </c>
      <c r="AQ28" s="213">
        <f>((($W$25)^Q28)*((1-($W$25))^($U$34-Q28))*HLOOKUP($U$34,$AV$24:$BF$34,Q28+1))*V34</f>
        <v>2.195141772241436E-3</v>
      </c>
      <c r="AR28" s="28">
        <v>3</v>
      </c>
      <c r="AS28" s="213">
        <f>((($W$25)^Q28)*((1-($W$25))^($U$35-Q28))*HLOOKUP($U$35,$AV$24:$BF$34,Q28+1))*V35</f>
        <v>2.1025687925799421E-4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1.4888514372027293E-4</v>
      </c>
      <c r="BQ28" s="31">
        <f>BQ22+1</f>
        <v>7</v>
      </c>
      <c r="BR28" s="31">
        <v>4</v>
      </c>
      <c r="BS28" s="107">
        <f t="shared" si="16"/>
        <v>5.3992579680776193E-5</v>
      </c>
    </row>
    <row r="29" spans="1:71" x14ac:dyDescent="0.25">
      <c r="A29" s="26" t="s">
        <v>118</v>
      </c>
      <c r="B29" s="206">
        <f>1/(1+EXP(-3.1416*4*((B14/(B14+C13))-(3.1416/6))))</f>
        <v>9.6333256847201065E-2</v>
      </c>
      <c r="C29" s="207">
        <f>1/(1+EXP(-3.1416*4*((C14/(C14+B13))-(3.1416/6))))</f>
        <v>0.15765161407498177</v>
      </c>
      <c r="D29" s="204">
        <v>0.04</v>
      </c>
      <c r="E29" s="204">
        <v>0.04</v>
      </c>
      <c r="G29" s="87">
        <v>4</v>
      </c>
      <c r="H29" s="126">
        <f>J29*L25+J28*L26+J27*L27+J26*L28</f>
        <v>6.9798224423725866E-2</v>
      </c>
      <c r="I29" s="138">
        <v>4</v>
      </c>
      <c r="J29" s="86">
        <f t="shared" si="17"/>
        <v>5.8956993403715525E-2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0.1425758555151799</v>
      </c>
      <c r="O29" s="72">
        <v>4</v>
      </c>
      <c r="P29" s="210">
        <f t="shared" si="18"/>
        <v>0.1425758555151799</v>
      </c>
      <c r="Q29" s="28">
        <v>4</v>
      </c>
      <c r="R29" s="211">
        <f>P25*N29+P26*N28+P27*N27+P28*N26+P29*N25</f>
        <v>0.21670384340316476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0.215425237106602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3.336637008161971E-3</v>
      </c>
      <c r="AH29" s="28">
        <v>4</v>
      </c>
      <c r="AI29" s="213">
        <f>((($W$25)^M29)*((1-($W$25))^($U$30-M29))*HLOOKUP($U$30,$AV$24:$BF$34,M29+1))*V30</f>
        <v>1.225880383820385E-2</v>
      </c>
      <c r="AJ29" s="28">
        <v>4</v>
      </c>
      <c r="AK29" s="213">
        <f>((($W$25)^M29)*((1-($W$25))^($U$31-M29))*HLOOKUP($U$31,$AV$24:$BF$34,M29+1))*V31</f>
        <v>1.8797186357892091E-2</v>
      </c>
      <c r="AL29" s="28">
        <v>4</v>
      </c>
      <c r="AM29" s="213">
        <f>((($W$25)^Q29)*((1-($W$25))^($U$32-Q29))*HLOOKUP($U$32,$AV$24:$BF$34,Q29+1))*V32</f>
        <v>1.5416416883173764E-2</v>
      </c>
      <c r="AN29" s="28">
        <v>4</v>
      </c>
      <c r="AO29" s="213">
        <f>((($W$25)^Q29)*((1-($W$25))^($U$33-Q29))*HLOOKUP($U$33,$AV$24:$BF$34,Q29+1))*V33</f>
        <v>7.152639440420547E-3</v>
      </c>
      <c r="AP29" s="28">
        <v>4</v>
      </c>
      <c r="AQ29" s="213">
        <f>((($W$25)^Q29)*((1-($W$25))^($U$34-Q29))*HLOOKUP($U$34,$AV$24:$BF$34,Q29+1))*V34</f>
        <v>1.7947523513314435E-3</v>
      </c>
      <c r="AR29" s="28">
        <v>4</v>
      </c>
      <c r="AS29" s="213">
        <f>((($W$25)^Q29)*((1-($W$25))^($U$35-Q29))*HLOOKUP($U$35,$AV$24:$BF$34,Q29+1))*V35</f>
        <v>2.005575245318555E-4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1.957919451773117E-5</v>
      </c>
      <c r="BQ29" s="31">
        <f>BQ23+1</f>
        <v>7</v>
      </c>
      <c r="BR29" s="31">
        <v>5</v>
      </c>
      <c r="BS29" s="107">
        <f t="shared" si="16"/>
        <v>2.1515531379412853E-5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1.9523229839613333E-2</v>
      </c>
      <c r="I30" s="138">
        <v>5</v>
      </c>
      <c r="J30" s="86">
        <f t="shared" si="17"/>
        <v>1.4704854912769409E-2</v>
      </c>
      <c r="K30" s="138">
        <v>5</v>
      </c>
      <c r="L30" s="86"/>
      <c r="M30" s="85">
        <v>5</v>
      </c>
      <c r="N30" s="210">
        <f>(($B$24)^M30)*((1-($B$24))^($B$21-M30))*HLOOKUP($B$21,$AV$24:$BF$34,M30+1)</f>
        <v>2.6865946342054449E-2</v>
      </c>
      <c r="O30" s="72">
        <v>5</v>
      </c>
      <c r="P30" s="210">
        <f t="shared" si="18"/>
        <v>2.6865946342054449E-2</v>
      </c>
      <c r="Q30" s="28">
        <v>5</v>
      </c>
      <c r="R30" s="211">
        <f>P25*N30+P26*N29+P27*N28+P28*N27+P29*N26+P30*N25</f>
        <v>0.24500447742499587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0.24457570299351625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1.336376373884454E-3</v>
      </c>
      <c r="AJ30" s="28">
        <v>5</v>
      </c>
      <c r="AK30" s="213">
        <f>((($W$25)^M30)*((1-($W$25))^($U$31-M30))*HLOOKUP($U$31,$AV$24:$BF$34,M30+1))*V31</f>
        <v>4.0982980192414498E-3</v>
      </c>
      <c r="AL30" s="28">
        <v>5</v>
      </c>
      <c r="AM30" s="213">
        <f>((($W$25)^Q30)*((1-($W$25))^($U$32-Q30))*HLOOKUP($U$32,$AV$24:$BF$34,Q30+1))*V32</f>
        <v>5.0417974456255206E-3</v>
      </c>
      <c r="AN30" s="28">
        <v>5</v>
      </c>
      <c r="AO30" s="213">
        <f>((($W$25)^Q30)*((1-($W$25))^($U$33-Q30))*HLOOKUP($U$33,$AV$24:$BF$34,Q30+1))*V33</f>
        <v>3.1189399831338402E-3</v>
      </c>
      <c r="AP30" s="28">
        <v>5</v>
      </c>
      <c r="AQ30" s="213">
        <f>((($W$25)^Q30)*((1-($W$25))^($U$34-Q30))*HLOOKUP($U$34,$AV$24:$BF$34,Q30+1))*V34</f>
        <v>9.782621008332952E-4</v>
      </c>
      <c r="AR30" s="28">
        <v>5</v>
      </c>
      <c r="AS30" s="213">
        <f>((($W$25)^Q30)*((1-($W$25))^($U$35-Q30))*HLOOKUP($U$35,$AV$24:$BF$34,Q30+1))*V35</f>
        <v>1.3118099005085001E-4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1.8240340410003756E-6</v>
      </c>
      <c r="BQ30" s="31">
        <f>BM10+1</f>
        <v>7</v>
      </c>
      <c r="BR30" s="31">
        <v>6</v>
      </c>
      <c r="BS30" s="107">
        <f t="shared" si="16"/>
        <v>6.7380479191143388E-6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0.35277930126531443</v>
      </c>
      <c r="C31" s="61">
        <f>(C25*E25)+(C26*E26)+(C27*E27)+(C28*E28)+(C29*E29)+(C30*E30)/(C25+C26+C27+C28+C29+C30)</f>
        <v>0.28228612530166808</v>
      </c>
      <c r="G31" s="87">
        <v>6</v>
      </c>
      <c r="H31" s="126">
        <f>J31*L25+J30*L26+J29*L27+J28*L28</f>
        <v>3.9379509273246944E-3</v>
      </c>
      <c r="I31" s="138">
        <v>6</v>
      </c>
      <c r="J31" s="86">
        <f t="shared" si="17"/>
        <v>2.5534316363223118E-3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0.19236184603506903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0.19314541775756777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3.7230852742903747E-4</v>
      </c>
      <c r="AL31" s="28">
        <v>6</v>
      </c>
      <c r="AM31" s="213">
        <f>((($W$25)^Q31)*((1-($W$25))^($U$32-Q31))*HLOOKUP($U$32,$AV$24:$BF$34,Q31+1))*V32</f>
        <v>9.1604084122889212E-4</v>
      </c>
      <c r="AN31" s="28">
        <v>6</v>
      </c>
      <c r="AO31" s="213">
        <f>((($W$25)^Q31)*((1-($W$25))^($U$33-Q31))*HLOOKUP($U$33,$AV$24:$BF$34,Q31+1))*V33</f>
        <v>8.500172121267798E-4</v>
      </c>
      <c r="AP31" s="28">
        <v>6</v>
      </c>
      <c r="AQ31" s="213">
        <f>((($W$25)^Q31)*((1-($W$25))^($U$34-Q31))*HLOOKUP($U$34,$AV$24:$BF$34,Q31+1))*V34</f>
        <v>3.5547958737104532E-4</v>
      </c>
      <c r="AR31" s="28">
        <v>6</v>
      </c>
      <c r="AS31" s="213">
        <f>((($W$25)^Q31)*((1-($W$25))^($U$35-Q31))*HLOOKUP($U$35,$AV$24:$BF$34,Q31+1))*V35</f>
        <v>5.9585468166557211E-5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1.6423375972851217E-2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7.4430677322418722E-6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5.7725024250072899E-4</v>
      </c>
      <c r="I32" s="138">
        <v>7</v>
      </c>
      <c r="J32" s="86">
        <f t="shared" si="17"/>
        <v>3.0530473443944768E-4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0.10356357854286151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0.10489283528408329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7.1329223231182773E-5</v>
      </c>
      <c r="AN32" s="28">
        <v>7</v>
      </c>
      <c r="AO32" s="213">
        <f>((($W$25)^Q32)*((1-($W$25))^($U$33-Q32))*HLOOKUP($U$33,$AV$24:$BF$34,Q32+1))*V33</f>
        <v>1.323763411963174E-4</v>
      </c>
      <c r="AP32" s="28">
        <v>7</v>
      </c>
      <c r="AQ32" s="213">
        <f>((($W$25)^Q32)*((1-($W$25))^($U$34-Q32))*HLOOKUP($U$34,$AV$24:$BF$34,Q32+1))*V34</f>
        <v>8.3040236964878768E-5</v>
      </c>
      <c r="AR32" s="28">
        <v>7</v>
      </c>
      <c r="AS32" s="213">
        <f>((($W$25)^Q32)*((1-($W$25))^($U$35-Q32))*HLOOKUP($U$35,$AV$24:$BF$34,Q32+1))*V35</f>
        <v>1.8558933047068787E-5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6.5445597004061421E-3</v>
      </c>
      <c r="BQ32" s="31">
        <f t="shared" si="23"/>
        <v>8</v>
      </c>
      <c r="BR32" s="31">
        <v>1</v>
      </c>
      <c r="BS32" s="107">
        <f t="shared" si="24"/>
        <v>1.6479975850121283E-5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6.1150389023188496E-5</v>
      </c>
      <c r="I33" s="138">
        <v>8</v>
      </c>
      <c r="J33" s="86">
        <f t="shared" si="17"/>
        <v>2.412836325383513E-5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3.6590174236593824E-2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3.7596404918364378E-2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9.0192636844343333E-6</v>
      </c>
      <c r="AP33" s="28">
        <v>8</v>
      </c>
      <c r="AQ33" s="213">
        <f>((($W$25)^Q33)*((1-($W$25))^($U$34-Q33))*HLOOKUP($U$34,$AV$24:$BF$34,Q33+1))*V34</f>
        <v>1.1315644273525036E-5</v>
      </c>
      <c r="AR33" s="28">
        <v>8</v>
      </c>
      <c r="AS33" s="213">
        <f>((($W$25)^Q33)*((1-($W$25))^($U$35-Q33))*HLOOKUP($U$35,$AV$24:$BF$34,Q33+1))*V35</f>
        <v>3.7934552958757629E-6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2.0495685694770214E-3</v>
      </c>
      <c r="BQ33" s="31">
        <f t="shared" si="23"/>
        <v>8</v>
      </c>
      <c r="BR33" s="31">
        <v>2</v>
      </c>
      <c r="BS33" s="107">
        <f t="shared" si="24"/>
        <v>1.6955421533596687E-5</v>
      </c>
    </row>
    <row r="34" spans="1:71" x14ac:dyDescent="0.25">
      <c r="A34" s="40" t="s">
        <v>123</v>
      </c>
      <c r="B34" s="56">
        <f>B23*2</f>
        <v>4.8511022495513281</v>
      </c>
      <c r="C34" s="57">
        <f>C23*2</f>
        <v>5.1488977504486719</v>
      </c>
      <c r="G34" s="87">
        <v>9</v>
      </c>
      <c r="H34" s="126">
        <f>J34*L25+J33*L26+J32*L27+J31*L28</f>
        <v>4.593340881769582E-6</v>
      </c>
      <c r="I34" s="138">
        <v>9</v>
      </c>
      <c r="J34" s="86">
        <f t="shared" si="17"/>
        <v>1.1447975612471902E-6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7.6608705678866624E-3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8.0976614030604053E-3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6.8531063978385994E-7</v>
      </c>
      <c r="AR34" s="28">
        <v>9</v>
      </c>
      <c r="AS34" s="213">
        <f>((($W$25)^Q34)*((1-($W$25))^($U$35-Q34))*HLOOKUP($U$35,$AV$24:$BF$34,Q34+1))*V35</f>
        <v>4.5948692146333035E-7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4.9228386279689224E-4</v>
      </c>
      <c r="BQ34" s="31">
        <f t="shared" si="23"/>
        <v>8</v>
      </c>
      <c r="BR34" s="31">
        <v>3</v>
      </c>
      <c r="BS34" s="107">
        <f t="shared" si="24"/>
        <v>1.1352528945820448E-5</v>
      </c>
    </row>
    <row r="35" spans="1:71" ht="15.75" thickBot="1" x14ac:dyDescent="0.3">
      <c r="G35" s="88">
        <v>10</v>
      </c>
      <c r="H35" s="127">
        <f>J35*L25+J34*L26+J33*L27+J32*L28</f>
        <v>2.3610168065235016E-7</v>
      </c>
      <c r="I35" s="94">
        <v>10</v>
      </c>
      <c r="J35" s="89">
        <f t="shared" si="17"/>
        <v>2.5045162401524576E-8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7.217790728541488E-4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8.3886658466003627E-4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2.5045162401524576E-8</v>
      </c>
      <c r="BI35" s="31">
        <f t="shared" si="21"/>
        <v>3</v>
      </c>
      <c r="BJ35" s="31">
        <v>8</v>
      </c>
      <c r="BK35" s="107">
        <f t="shared" si="22"/>
        <v>8.8538214770214239E-5</v>
      </c>
      <c r="BQ35" s="31">
        <f t="shared" si="23"/>
        <v>8</v>
      </c>
      <c r="BR35" s="31">
        <v>4</v>
      </c>
      <c r="BS35" s="107">
        <f t="shared" si="24"/>
        <v>5.7196463660919074E-6</v>
      </c>
    </row>
    <row r="36" spans="1:71" ht="15.75" x14ac:dyDescent="0.25">
      <c r="A36" s="109" t="s">
        <v>124</v>
      </c>
      <c r="B36" s="219">
        <f>SUM(BO4:BO14)</f>
        <v>0.21882527735888532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1.0000000000000002</v>
      </c>
      <c r="BI36" s="31">
        <f t="shared" si="21"/>
        <v>3</v>
      </c>
      <c r="BJ36" s="31">
        <v>9</v>
      </c>
      <c r="BK36" s="107">
        <f t="shared" si="22"/>
        <v>1.1643249863099946E-5</v>
      </c>
      <c r="BQ36" s="31">
        <f t="shared" si="23"/>
        <v>8</v>
      </c>
      <c r="BR36" s="31">
        <v>5</v>
      </c>
      <c r="BS36" s="107">
        <f t="shared" si="24"/>
        <v>2.27922487861069E-6</v>
      </c>
    </row>
    <row r="37" spans="1:71" ht="16.5" thickBot="1" x14ac:dyDescent="0.3">
      <c r="A37" s="110" t="s">
        <v>125</v>
      </c>
      <c r="B37" s="219">
        <f>SUM(BK4:BK59)</f>
        <v>0.42981994334948814</v>
      </c>
      <c r="G37" s="158"/>
      <c r="H37" s="266">
        <f>SUM(H39:H49)</f>
        <v>0.99999959835048968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</v>
      </c>
      <c r="S37" s="267"/>
      <c r="T37" s="266">
        <f>SUM(T39:T49)</f>
        <v>1</v>
      </c>
      <c r="U37" s="267"/>
      <c r="V37" s="208">
        <f>SUM(V39:V48)</f>
        <v>0.99850230470811241</v>
      </c>
      <c r="W37" s="158"/>
      <c r="X37" s="158"/>
      <c r="Y37" s="205">
        <f>SUM(Y39:Y49)</f>
        <v>7.1100642996941655E-4</v>
      </c>
      <c r="Z37" s="81"/>
      <c r="AA37" s="205">
        <f>SUM(AA39:AA49)</f>
        <v>7.5572498069511693E-3</v>
      </c>
      <c r="AB37" s="81"/>
      <c r="AC37" s="205">
        <f>SUM(AC39:AC49)</f>
        <v>3.6157881975863775E-2</v>
      </c>
      <c r="AD37" s="81"/>
      <c r="AE37" s="205">
        <f>SUM(AE39:AE49)</f>
        <v>0.10256182877907929</v>
      </c>
      <c r="AF37" s="81"/>
      <c r="AG37" s="205">
        <f>SUM(AG39:AG49)</f>
        <v>0.19103151091482959</v>
      </c>
      <c r="AH37" s="81"/>
      <c r="AI37" s="205">
        <f>SUM(AI39:AI49)</f>
        <v>0.24421213352900176</v>
      </c>
      <c r="AJ37" s="81"/>
      <c r="AK37" s="205">
        <f>SUM(AK39:AK49)</f>
        <v>0.21712228776704004</v>
      </c>
      <c r="AL37" s="81"/>
      <c r="AM37" s="205">
        <f>SUM(AM39:AM49)</f>
        <v>0.13270718563617662</v>
      </c>
      <c r="AN37" s="81"/>
      <c r="AO37" s="205">
        <f>SUM(AO39:AO49)</f>
        <v>5.3499993328076957E-2</v>
      </c>
      <c r="AP37" s="81"/>
      <c r="AQ37" s="205">
        <f>SUM(AQ39:AQ49)</f>
        <v>1.2941226541123899E-2</v>
      </c>
      <c r="AR37" s="81"/>
      <c r="AS37" s="205">
        <f>SUM(AS39:AS49)</f>
        <v>1.4976952918875914E-3</v>
      </c>
      <c r="BI37" s="31">
        <f t="shared" si="21"/>
        <v>3</v>
      </c>
      <c r="BJ37" s="31">
        <v>10</v>
      </c>
      <c r="BK37" s="107">
        <f t="shared" si="22"/>
        <v>1.0847067318798097E-6</v>
      </c>
      <c r="BQ37" s="31">
        <f t="shared" si="23"/>
        <v>8</v>
      </c>
      <c r="BR37" s="31">
        <v>6</v>
      </c>
      <c r="BS37" s="107">
        <f t="shared" si="24"/>
        <v>7.1378792276593491E-7</v>
      </c>
    </row>
    <row r="38" spans="1:71" ht="16.5" thickBot="1" x14ac:dyDescent="0.3">
      <c r="A38" s="111" t="s">
        <v>126</v>
      </c>
      <c r="B38" s="219">
        <f>SUM(BS4:BS47)</f>
        <v>0.35135413356596396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2.6015508998492587E-3</v>
      </c>
      <c r="BQ38" s="31">
        <f>BM11+1</f>
        <v>8</v>
      </c>
      <c r="BR38" s="31">
        <v>7</v>
      </c>
      <c r="BS38" s="107">
        <f t="shared" si="24"/>
        <v>1.7144402049776056E-7</v>
      </c>
    </row>
    <row r="39" spans="1:71" x14ac:dyDescent="0.25">
      <c r="G39" s="128">
        <v>0</v>
      </c>
      <c r="H39" s="129">
        <f>L39*J39</f>
        <v>0.12171742242587252</v>
      </c>
      <c r="I39" s="97">
        <v>0</v>
      </c>
      <c r="J39" s="98">
        <f t="shared" ref="J39:J49" si="28">Y39+AA39+AC39+AE39+AG39+AI39+AK39+AM39+AO39+AQ39+AS39</f>
        <v>0.20704382917042616</v>
      </c>
      <c r="K39" s="102">
        <v>0</v>
      </c>
      <c r="L39" s="98">
        <f>AH18</f>
        <v>0.58788239627118755</v>
      </c>
      <c r="M39" s="85">
        <v>0</v>
      </c>
      <c r="N39" s="210">
        <f>(1-$C$24)^$B$21</f>
        <v>2.6865946342054449E-2</v>
      </c>
      <c r="O39" s="72">
        <v>0</v>
      </c>
      <c r="P39" s="210">
        <f t="shared" ref="P39:P44" si="29">N39</f>
        <v>2.6865946342054449E-2</v>
      </c>
      <c r="Q39" s="28">
        <v>0</v>
      </c>
      <c r="R39" s="211">
        <f>P39*N39</f>
        <v>7.217790728541488E-4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7.1100642996941655E-4</v>
      </c>
      <c r="W39" s="134">
        <f>C31</f>
        <v>0.28228612530166808</v>
      </c>
      <c r="X39" s="28">
        <v>0</v>
      </c>
      <c r="Y39" s="213">
        <f>V39</f>
        <v>7.1100642996941655E-4</v>
      </c>
      <c r="Z39" s="28">
        <v>0</v>
      </c>
      <c r="AA39" s="213">
        <f>((1-W39)^Z40)*V40</f>
        <v>5.4239430410101446E-3</v>
      </c>
      <c r="AB39" s="28">
        <v>0</v>
      </c>
      <c r="AC39" s="213">
        <f>(((1-$W$39)^AB41))*V41</f>
        <v>1.8625402504388208E-2</v>
      </c>
      <c r="AD39" s="28">
        <v>0</v>
      </c>
      <c r="AE39" s="213">
        <f>(((1-$W$39)^AB42))*V42</f>
        <v>3.7917507571746244E-2</v>
      </c>
      <c r="AF39" s="28">
        <v>0</v>
      </c>
      <c r="AG39" s="213">
        <f>(((1-$W$39)^AB43))*V43</f>
        <v>5.0688609608297998E-2</v>
      </c>
      <c r="AH39" s="28">
        <v>0</v>
      </c>
      <c r="AI39" s="213">
        <f>(((1-$W$39)^AB44))*V44</f>
        <v>4.6507602063973287E-2</v>
      </c>
      <c r="AJ39" s="28">
        <v>0</v>
      </c>
      <c r="AK39" s="213">
        <f>(((1-$W$39)^AB45))*V45</f>
        <v>2.967648488616979E-2</v>
      </c>
      <c r="AL39" s="28">
        <v>0</v>
      </c>
      <c r="AM39" s="213">
        <f>(((1-$W$39)^AB46))*V46</f>
        <v>1.3018286741032998E-2</v>
      </c>
      <c r="AN39" s="28">
        <v>0</v>
      </c>
      <c r="AO39" s="213">
        <f>(((1-$W$39)^AB47))*V47</f>
        <v>3.7667297650326439E-3</v>
      </c>
      <c r="AP39" s="28">
        <v>0</v>
      </c>
      <c r="AQ39" s="213">
        <f>(((1-$W$39)^AB48))*V48</f>
        <v>6.53939420060519E-4</v>
      </c>
      <c r="AR39" s="28">
        <v>0</v>
      </c>
      <c r="AS39" s="213">
        <f>(((1-$W$39)^AB49))*V49</f>
        <v>5.4317138744937999E-5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8.1473119664487244E-4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5.5908961245237804E-7</v>
      </c>
    </row>
    <row r="40" spans="1:71" x14ac:dyDescent="0.25">
      <c r="G40" s="91">
        <v>1</v>
      </c>
      <c r="H40" s="130">
        <f>L39*J40+L40*J39</f>
        <v>0.2694991170681188</v>
      </c>
      <c r="I40" s="138">
        <v>1</v>
      </c>
      <c r="J40" s="86">
        <f t="shared" si="28"/>
        <v>0.35298617434577922</v>
      </c>
      <c r="K40" s="95">
        <v>1</v>
      </c>
      <c r="L40" s="86">
        <f>AI18</f>
        <v>0.29937989116353114</v>
      </c>
      <c r="M40" s="85">
        <v>1</v>
      </c>
      <c r="N40" s="210">
        <f>(($C$24)^M26)*((1-($C$24))^($B$21-M26))*HLOOKUP($B$21,$AV$24:$BF$34,M26+1)</f>
        <v>0.1425758555151799</v>
      </c>
      <c r="O40" s="72">
        <v>1</v>
      </c>
      <c r="P40" s="210">
        <f t="shared" si="29"/>
        <v>0.1425758555151799</v>
      </c>
      <c r="Q40" s="28">
        <v>1</v>
      </c>
      <c r="R40" s="211">
        <f>P40*N39+P39*N40</f>
        <v>7.6608705678866624E-3</v>
      </c>
      <c r="S40" s="72">
        <v>1</v>
      </c>
      <c r="T40" s="212">
        <f t="shared" ref="T40:T49" si="32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7.5572498069511693E-3</v>
      </c>
      <c r="W40" s="214"/>
      <c r="X40" s="28">
        <v>1</v>
      </c>
      <c r="Y40" s="211"/>
      <c r="Z40" s="28">
        <v>1</v>
      </c>
      <c r="AA40" s="213">
        <f>(1-((1-W39)^Z40))*V40</f>
        <v>2.1333067659410248E-3</v>
      </c>
      <c r="AB40" s="28">
        <v>1</v>
      </c>
      <c r="AC40" s="213">
        <f>((($W$39)^M40)*((1-($W$39))^($U$27-M40))*HLOOKUP($U$27,$AV$24:$BF$34,M40+1))*V41</f>
        <v>1.4651222138787924E-2</v>
      </c>
      <c r="AD40" s="28">
        <v>1</v>
      </c>
      <c r="AE40" s="213">
        <f>((($W$39)^M40)*((1-($W$39))^($U$28-M40))*HLOOKUP($U$28,$AV$24:$BF$34,M40+1))*V42</f>
        <v>4.4740334571449464E-2</v>
      </c>
      <c r="AF40" s="28">
        <v>1</v>
      </c>
      <c r="AG40" s="213">
        <f>((($W$39)^M40)*((1-($W$39))^($U$29-M40))*HLOOKUP($U$29,$AV$24:$BF$34,M40+1))*V43</f>
        <v>7.9745936132387271E-2</v>
      </c>
      <c r="AH40" s="28">
        <v>1</v>
      </c>
      <c r="AI40" s="213">
        <f>((($W$39)^M40)*((1-($W$39))^($U$30-M40))*HLOOKUP($U$30,$AV$24:$BF$34,M40+1))*V44</f>
        <v>9.1460199158257913E-2</v>
      </c>
      <c r="AJ40" s="28">
        <v>1</v>
      </c>
      <c r="AK40" s="213">
        <f>((($W$39)^M40)*((1-($W$39))^($U$31-M40))*HLOOKUP($U$31,$AV$24:$BF$34,M40+1))*V45</f>
        <v>7.0032865963012045E-2</v>
      </c>
      <c r="AL40" s="28">
        <v>1</v>
      </c>
      <c r="AM40" s="213">
        <f>((($W$39)^Q40)*((1-($W$39))^($U$32-Q40))*HLOOKUP($U$32,$AV$24:$BF$34,Q40+1))*V46</f>
        <v>3.5841820762010944E-2</v>
      </c>
      <c r="AN40" s="28">
        <v>1</v>
      </c>
      <c r="AO40" s="213">
        <f>((($W$39)^Q40)*((1-($W$39))^($U$33-Q40))*HLOOKUP($U$33,$AV$24:$BF$34,Q40+1))*V47</f>
        <v>1.1852027253913126E-2</v>
      </c>
      <c r="AP40" s="28">
        <v>1</v>
      </c>
      <c r="AQ40" s="213">
        <f>((($W$39)^Q40)*((1-($W$39))^($U$34-Q40))*HLOOKUP($U$34,$AV$24:$BF$34,Q40+1))*V48</f>
        <v>2.3148252865202632E-3</v>
      </c>
      <c r="AR40" s="28">
        <v>1</v>
      </c>
      <c r="AS40" s="213">
        <f>((($W$39)^Q40)*((1-($W$39))^($U$35-Q40))*HLOOKUP($U$35,$AV$24:$BF$34,Q40+1))*V49</f>
        <v>2.1363631349925318E-4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1.9568948636239754E-4</v>
      </c>
      <c r="BQ40" s="31">
        <f t="shared" si="30"/>
        <v>9</v>
      </c>
      <c r="BR40" s="31">
        <v>1</v>
      </c>
      <c r="BS40" s="107">
        <f t="shared" si="31"/>
        <v>1.2379013120297966E-6</v>
      </c>
    </row>
    <row r="41" spans="1:71" x14ac:dyDescent="0.25">
      <c r="G41" s="91">
        <v>2</v>
      </c>
      <c r="H41" s="130">
        <f>L39*J41+J40*L40+J39*L41</f>
        <v>0.27727414010673124</v>
      </c>
      <c r="I41" s="138">
        <v>2</v>
      </c>
      <c r="J41" s="86">
        <f t="shared" si="28"/>
        <v>0.27095940625212239</v>
      </c>
      <c r="K41" s="95">
        <v>2</v>
      </c>
      <c r="L41" s="86">
        <f>AJ18</f>
        <v>5.943143854345944E-2</v>
      </c>
      <c r="M41" s="85">
        <v>2</v>
      </c>
      <c r="N41" s="210">
        <f>(($C$24)^M27)*((1-($C$24))^($B$21-M27))*HLOOKUP($B$21,$AV$24:$BF$34,M27+1)</f>
        <v>0.30265637126007872</v>
      </c>
      <c r="O41" s="72">
        <v>2</v>
      </c>
      <c r="P41" s="210">
        <f t="shared" si="29"/>
        <v>0.30265637126007872</v>
      </c>
      <c r="Q41" s="28">
        <v>2</v>
      </c>
      <c r="R41" s="211">
        <f>P41*N39+P40*N40+P39*N41</f>
        <v>3.6590174236593824E-2</v>
      </c>
      <c r="S41" s="72">
        <v>2</v>
      </c>
      <c r="T41" s="212">
        <f t="shared" si="32"/>
        <v>7.4625000000000011E-5</v>
      </c>
      <c r="U41" s="138">
        <v>2</v>
      </c>
      <c r="V41" s="86">
        <f>R41*T39+T40*R40+R39*T41</f>
        <v>3.6157881975863775E-2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2.8812573326876451E-3</v>
      </c>
      <c r="AD41" s="28">
        <v>2</v>
      </c>
      <c r="AE41" s="213">
        <f>((($W$39)^M41)*((1-($W$39))^($U$28-M41))*HLOOKUP($U$28,$AV$24:$BF$34,M41+1))*V42</f>
        <v>1.759695072940198E-2</v>
      </c>
      <c r="AF41" s="28">
        <v>2</v>
      </c>
      <c r="AG41" s="213">
        <f>((($W$39)^M41)*((1-($W$39))^($U$29-M41))*HLOOKUP($U$29,$AV$24:$BF$34,M41+1))*V43</f>
        <v>4.70476580841378E-2</v>
      </c>
      <c r="AH41" s="28">
        <v>2</v>
      </c>
      <c r="AI41" s="213">
        <f>((($W$39)^M41)*((1-($W$39))^($U$30-M41))*HLOOKUP($U$30,$AV$24:$BF$34,M41+1))*V44</f>
        <v>7.1944952298867729E-2</v>
      </c>
      <c r="AJ41" s="28">
        <v>2</v>
      </c>
      <c r="AK41" s="213">
        <f>((($W$39)^M41)*((1-($W$39))^($U$31-M41))*HLOOKUP($U$31,$AV$24:$BF$34,M41+1))*V45</f>
        <v>6.8862073987280573E-2</v>
      </c>
      <c r="AL41" s="28">
        <v>2</v>
      </c>
      <c r="AM41" s="213">
        <f>((($W$39)^Q41)*((1-($W$39))^($U$32-Q41))*HLOOKUP($U$32,$AV$24:$BF$34,Q41+1))*V46</f>
        <v>4.2291151376657912E-2</v>
      </c>
      <c r="AN41" s="28">
        <v>2</v>
      </c>
      <c r="AO41" s="213">
        <f>((($W$39)^Q41)*((1-($W$39))^($U$33-Q41))*HLOOKUP($U$33,$AV$24:$BF$34,Q41+1))*V47</f>
        <v>1.631544322811234E-2</v>
      </c>
      <c r="AP41" s="28">
        <v>2</v>
      </c>
      <c r="AQ41" s="213">
        <f>((($W$39)^Q41)*((1-($W$39))^($U$34-Q41))*HLOOKUP($U$34,$AV$24:$BF$34,Q41+1))*V48</f>
        <v>3.6418025841107363E-3</v>
      </c>
      <c r="AR41" s="28">
        <v>2</v>
      </c>
      <c r="AS41" s="213">
        <f>((($W$39)^Q41)*((1-($W$39))^($U$35-Q41))*HLOOKUP($U$35,$AV$24:$BF$34,Q41+1))*V49</f>
        <v>3.7811663086565037E-4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3.5195136548636504E-5</v>
      </c>
      <c r="BQ41" s="31">
        <f t="shared" si="30"/>
        <v>9</v>
      </c>
      <c r="BR41" s="31">
        <v>2</v>
      </c>
      <c r="BS41" s="107">
        <f t="shared" si="31"/>
        <v>1.2736146432097555E-6</v>
      </c>
    </row>
    <row r="42" spans="1:71" ht="15" customHeight="1" x14ac:dyDescent="0.25">
      <c r="G42" s="91">
        <v>3</v>
      </c>
      <c r="H42" s="130">
        <f>J42*L39+J41*L40+L42*J39+L41*J40</f>
        <v>0.18564933317947527</v>
      </c>
      <c r="I42" s="138">
        <v>3</v>
      </c>
      <c r="J42" s="86">
        <f t="shared" si="28"/>
        <v>0.12334835141571626</v>
      </c>
      <c r="K42" s="95">
        <v>3</v>
      </c>
      <c r="L42" s="86">
        <f>AK18</f>
        <v>5.3306274021821871E-2</v>
      </c>
      <c r="M42" s="85">
        <v>3</v>
      </c>
      <c r="N42" s="210">
        <f>(($C$24)^M28)*((1-($C$24))^($B$21-M28))*HLOOKUP($B$21,$AV$24:$BF$34,M28+1)</f>
        <v>0.3212355932683354</v>
      </c>
      <c r="O42" s="72">
        <v>3</v>
      </c>
      <c r="P42" s="210">
        <f t="shared" si="29"/>
        <v>0.3212355932683354</v>
      </c>
      <c r="Q42" s="28">
        <v>3</v>
      </c>
      <c r="R42" s="211">
        <f>P42*N39+P41*N40+P40*N41+P39*N42</f>
        <v>0.10356357854286151</v>
      </c>
      <c r="S42" s="72">
        <v>3</v>
      </c>
      <c r="T42" s="212">
        <f t="shared" si="32"/>
        <v>1.2500000000000002E-7</v>
      </c>
      <c r="U42" s="138">
        <v>3</v>
      </c>
      <c r="V42" s="86">
        <f>R42*T39+R41*T40+R40*T41+R39*T42</f>
        <v>0.10256182877907927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2.3070359064815923E-3</v>
      </c>
      <c r="AF42" s="28">
        <v>3</v>
      </c>
      <c r="AG42" s="213">
        <f>((($W$39)^M42)*((1-($W$39))^($U$29-M42))*HLOOKUP($U$29,$AV$24:$BF$34,M42+1))*V43</f>
        <v>1.233630055400667E-2</v>
      </c>
      <c r="AH42" s="28">
        <v>3</v>
      </c>
      <c r="AI42" s="213">
        <f>((($W$39)^M42)*((1-($W$39))^($U$30-M42))*HLOOKUP($U$30,$AV$24:$BF$34,M42+1))*V44</f>
        <v>2.8296877816381873E-2</v>
      </c>
      <c r="AJ42" s="28">
        <v>3</v>
      </c>
      <c r="AK42" s="213">
        <f>((($W$39)^M42)*((1-($W$39))^($U$31-M42))*HLOOKUP($U$31,$AV$24:$BF$34,M42+1))*V45</f>
        <v>3.6112456010461834E-2</v>
      </c>
      <c r="AL42" s="28">
        <v>3</v>
      </c>
      <c r="AM42" s="213">
        <f>((($W$39)^Q42)*((1-($W$39))^($U$32-Q42))*HLOOKUP($U$32,$AV$24:$BF$34,Q42+1))*V46</f>
        <v>2.7722758974763003E-2</v>
      </c>
      <c r="AN42" s="28">
        <v>3</v>
      </c>
      <c r="AO42" s="213">
        <f>((($W$39)^Q42)*((1-($W$39))^($U$33-Q42))*HLOOKUP($U$33,$AV$24:$BF$34,Q42+1))*V47</f>
        <v>1.2834148575932151E-2</v>
      </c>
      <c r="AP42" s="28">
        <v>3</v>
      </c>
      <c r="AQ42" s="213">
        <f>((($W$39)^Q42)*((1-($W$39))^($U$34-Q42))*HLOOKUP($U$34,$AV$24:$BF$34,Q42+1))*V48</f>
        <v>3.3421918482023916E-3</v>
      </c>
      <c r="AR42" s="28">
        <v>3</v>
      </c>
      <c r="AS42" s="213">
        <f>((($W$39)^Q42)*((1-($W$39))^($U$35-Q42))*HLOOKUP($U$35,$AV$24:$BF$34,Q42+1))*V49</f>
        <v>3.9658172948674121E-4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4.6283491243326359E-6</v>
      </c>
      <c r="BQ42" s="31">
        <f t="shared" si="30"/>
        <v>9</v>
      </c>
      <c r="BR42" s="31">
        <v>3</v>
      </c>
      <c r="BS42" s="107">
        <f t="shared" si="31"/>
        <v>8.5275067176654587E-7</v>
      </c>
    </row>
    <row r="43" spans="1:71" ht="15" customHeight="1" x14ac:dyDescent="0.25">
      <c r="G43" s="91">
        <v>4</v>
      </c>
      <c r="H43" s="130">
        <f>J43*L39+J42*L40+J41*L41+J40*L42</f>
        <v>9.3534096143247633E-2</v>
      </c>
      <c r="I43" s="138">
        <v>4</v>
      </c>
      <c r="J43" s="86">
        <f t="shared" si="28"/>
        <v>3.6888662124813461E-2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0.1704776706877652</v>
      </c>
      <c r="O43" s="72">
        <v>4</v>
      </c>
      <c r="P43" s="210">
        <f t="shared" si="29"/>
        <v>0.1704776706877652</v>
      </c>
      <c r="Q43" s="28">
        <v>4</v>
      </c>
      <c r="R43" s="211">
        <f>P43*N39+P42*N40+P41*N41+P40*N42+P39*N43</f>
        <v>0.19236184603506903</v>
      </c>
      <c r="S43" s="72">
        <v>4</v>
      </c>
      <c r="T43" s="212">
        <f t="shared" si="32"/>
        <v>0</v>
      </c>
      <c r="U43" s="138">
        <v>4</v>
      </c>
      <c r="V43" s="86">
        <f>T43*R39+T42*R40+T41*R41+T40*R42+T39*R43</f>
        <v>0.19103151091482956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1.213006535999832E-3</v>
      </c>
      <c r="AH43" s="28">
        <v>4</v>
      </c>
      <c r="AI43" s="213">
        <f>((($W$39)^M43)*((1-($W$39))^($U$30-M43))*HLOOKUP($U$30,$AV$24:$BF$34,M43+1))*V44</f>
        <v>5.5647635349662062E-3</v>
      </c>
      <c r="AJ43" s="28">
        <v>4</v>
      </c>
      <c r="AK43" s="213">
        <f>((($W$39)^M43)*((1-($W$39))^($U$31-M43))*HLOOKUP($U$31,$AV$24:$BF$34,M43+1))*V45</f>
        <v>1.0652621094936627E-2</v>
      </c>
      <c r="AL43" s="28">
        <v>4</v>
      </c>
      <c r="AM43" s="213">
        <f>((($W$39)^Q43)*((1-($W$39))^($U$32-Q43))*HLOOKUP($U$32,$AV$24:$BF$34,Q43+1))*V46</f>
        <v>1.0903718723491582E-2</v>
      </c>
      <c r="AN43" s="28">
        <v>4</v>
      </c>
      <c r="AO43" s="213">
        <f>((($W$39)^Q43)*((1-($W$39))^($U$33-Q43))*HLOOKUP($U$33,$AV$24:$BF$34,Q43+1))*V47</f>
        <v>6.3097952414682299E-3</v>
      </c>
      <c r="AP43" s="28">
        <v>4</v>
      </c>
      <c r="AQ43" s="213">
        <f>((($W$39)^Q43)*((1-($W$39))^($U$34-Q43))*HLOOKUP($U$34,$AV$24:$BF$34,Q43+1))*V48</f>
        <v>1.9717907513779596E-3</v>
      </c>
      <c r="AR43" s="28">
        <v>4</v>
      </c>
      <c r="AS43" s="213">
        <f>((($W$39)^Q43)*((1-($W$39))^($U$35-Q43))*HLOOKUP($U$35,$AV$24:$BF$34,Q43+1))*V49</f>
        <v>2.7296624257302615E-4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4.3118558063109195E-7</v>
      </c>
      <c r="BQ43" s="31">
        <f t="shared" si="30"/>
        <v>9</v>
      </c>
      <c r="BR43" s="31">
        <v>4</v>
      </c>
      <c r="BS43" s="107">
        <f t="shared" si="31"/>
        <v>4.2963398765414594E-7</v>
      </c>
    </row>
    <row r="44" spans="1:71" ht="15" customHeight="1" thickBot="1" x14ac:dyDescent="0.3">
      <c r="G44" s="91">
        <v>5</v>
      </c>
      <c r="H44" s="130">
        <f>J44*L39+J43*L40+J42*L41+J41*L42</f>
        <v>3.7272451001847229E-2</v>
      </c>
      <c r="I44" s="138">
        <v>5</v>
      </c>
      <c r="J44" s="86">
        <f t="shared" si="28"/>
        <v>7.5765511145390214E-3</v>
      </c>
      <c r="K44" s="95">
        <v>5</v>
      </c>
      <c r="L44" s="86"/>
      <c r="M44" s="85">
        <v>5</v>
      </c>
      <c r="N44" s="210">
        <f>(($C$24)^M30)*((1-($C$24))^($B$21-M30))*HLOOKUP($B$21,$AV$24:$BF$34,M30+1)</f>
        <v>3.6188562926586336E-2</v>
      </c>
      <c r="O44" s="72">
        <v>5</v>
      </c>
      <c r="P44" s="210">
        <f t="shared" si="29"/>
        <v>3.6188562926586336E-2</v>
      </c>
      <c r="Q44" s="28">
        <v>5</v>
      </c>
      <c r="R44" s="211">
        <f>P44*N39+P43*N40+P42*N41+P41*N42+P40*N43+P39*N44</f>
        <v>0.24500447742499587</v>
      </c>
      <c r="S44" s="72">
        <v>5</v>
      </c>
      <c r="T44" s="212">
        <f t="shared" si="32"/>
        <v>0</v>
      </c>
      <c r="U44" s="138">
        <v>5</v>
      </c>
      <c r="V44" s="86">
        <f>T44*R39+T43*R40+T42*R41+T41*R42+T40*R43+T39*R44</f>
        <v>0.2442121335290017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4.3773865655471209E-4</v>
      </c>
      <c r="AJ44" s="28">
        <v>5</v>
      </c>
      <c r="AK44" s="213">
        <f>((($W$39)^M44)*((1-($W$39))^($U$31-M44))*HLOOKUP($U$31,$AV$24:$BF$34,M44+1))*V45</f>
        <v>1.6759253174312152E-3</v>
      </c>
      <c r="AL44" s="28">
        <v>5</v>
      </c>
      <c r="AM44" s="213">
        <f>((($W$39)^Q44)*((1-($W$39))^($U$32-Q44))*HLOOKUP($U$32,$AV$24:$BF$34,Q44+1))*V46</f>
        <v>2.5731439380023815E-3</v>
      </c>
      <c r="AN44" s="28">
        <v>5</v>
      </c>
      <c r="AO44" s="213">
        <f>((($W$39)^Q44)*((1-($W$39))^($U$33-Q44))*HLOOKUP($U$33,$AV$24:$BF$34,Q44+1))*V47</f>
        <v>1.9853790909750793E-3</v>
      </c>
      <c r="AP44" s="28">
        <v>5</v>
      </c>
      <c r="AQ44" s="213">
        <f>((($W$39)^Q44)*((1-($W$39))^($U$34-Q44))*HLOOKUP($U$34,$AV$24:$BF$34,Q44+1))*V48</f>
        <v>7.7553073827101634E-4</v>
      </c>
      <c r="AR44" s="28">
        <v>5</v>
      </c>
      <c r="AS44" s="213">
        <f>((($W$39)^Q44)*((1-($W$39))^($U$35-Q44))*HLOOKUP($U$35,$AV$24:$BF$34,Q44+1))*V49</f>
        <v>1.2883337330461757E-4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2.278880951618335E-4</v>
      </c>
      <c r="BQ44" s="31">
        <f t="shared" si="30"/>
        <v>9</v>
      </c>
      <c r="BR44" s="31">
        <v>5</v>
      </c>
      <c r="BS44" s="107">
        <f t="shared" si="31"/>
        <v>1.7120507295053849E-7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1.1672663643975567E-2</v>
      </c>
      <c r="I45" s="138">
        <v>6</v>
      </c>
      <c r="J45" s="86">
        <f t="shared" si="28"/>
        <v>1.0832256982376872E-3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0.21670384340316476</v>
      </c>
      <c r="S45" s="72">
        <v>6</v>
      </c>
      <c r="T45" s="212">
        <f t="shared" si="32"/>
        <v>0</v>
      </c>
      <c r="U45" s="138">
        <v>6</v>
      </c>
      <c r="V45" s="86">
        <f>T45*R39+T44*R40+T43*R41+T42*R42+T41*R43+T40*R44+T39*R45</f>
        <v>0.21712228776704001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1.0986050774794582E-4</v>
      </c>
      <c r="AL45" s="28">
        <v>6</v>
      </c>
      <c r="AM45" s="213">
        <f>((($W$39)^Q45)*((1-($W$39))^($U$32-Q45))*HLOOKUP($U$32,$AV$24:$BF$34,Q45+1))*V46</f>
        <v>3.3735023464026483E-4</v>
      </c>
      <c r="AN45" s="28">
        <v>6</v>
      </c>
      <c r="AO45" s="213">
        <f>((($W$39)^Q45)*((1-($W$39))^($U$33-Q45))*HLOOKUP($U$33,$AV$24:$BF$34,Q45+1))*V47</f>
        <v>3.9043760376087765E-4</v>
      </c>
      <c r="AP45" s="28">
        <v>6</v>
      </c>
      <c r="AQ45" s="213">
        <f>((($W$39)^Q45)*((1-($W$39))^($U$34-Q45))*HLOOKUP($U$34,$AV$24:$BF$34,Q45+1))*V48</f>
        <v>2.0335082904812072E-4</v>
      </c>
      <c r="AR45" s="28">
        <v>6</v>
      </c>
      <c r="AS45" s="213">
        <f>((($W$39)^Q45)*((1-($W$39))^($U$35-Q45))*HLOOKUP($U$35,$AV$24:$BF$34,Q45+1))*V49</f>
        <v>4.222652304047804E-5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5.4736217876486586E-5</v>
      </c>
      <c r="BQ45" s="31">
        <f t="shared" si="30"/>
        <v>9</v>
      </c>
      <c r="BR45" s="31">
        <v>6</v>
      </c>
      <c r="BS45" s="107">
        <f t="shared" si="31"/>
        <v>5.3616523115018471E-8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2.8036456224791676E-3</v>
      </c>
      <c r="I46" s="138">
        <v>7</v>
      </c>
      <c r="J46" s="86">
        <f t="shared" si="28"/>
        <v>1.0659813556912061E-4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0.1314323896377316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0.13270718563617662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1.8954885577534148E-5</v>
      </c>
      <c r="AN46" s="28">
        <v>7</v>
      </c>
      <c r="AO46" s="213">
        <f>((($W$39)^Q46)*((1-($W$39))^($U$33-Q46))*HLOOKUP($U$33,$AV$24:$BF$34,Q46+1))*V47</f>
        <v>4.3875470324458649E-5</v>
      </c>
      <c r="AP46" s="28">
        <v>7</v>
      </c>
      <c r="AQ46" s="213">
        <f>((($W$39)^Q46)*((1-($W$39))^($U$34-Q46))*HLOOKUP($U$34,$AV$24:$BF$34,Q46+1))*V48</f>
        <v>3.4277358966245499E-5</v>
      </c>
      <c r="AR46" s="28">
        <v>7</v>
      </c>
      <c r="AS46" s="213">
        <f>((($W$39)^Q46)*((1-($W$39))^($U$35-Q46))*HLOOKUP($U$35,$AV$24:$BF$34,Q46+1))*V49</f>
        <v>9.490420700882333E-6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9.8444157533904085E-6</v>
      </c>
      <c r="BQ46" s="31">
        <f t="shared" si="30"/>
        <v>9</v>
      </c>
      <c r="BR46" s="31">
        <v>7</v>
      </c>
      <c r="BS46" s="107">
        <f t="shared" si="31"/>
        <v>1.2878100055727889E-8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5.0424114422992325E-4</v>
      </c>
      <c r="I47" s="138">
        <v>8</v>
      </c>
      <c r="J47" s="86">
        <f t="shared" si="28"/>
        <v>6.9272947537961793E-6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5.231274516562702E-2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5.3499993328076964E-2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2.1570985580579681E-6</v>
      </c>
      <c r="AP47" s="28">
        <v>8</v>
      </c>
      <c r="AQ47" s="213">
        <f>((($W$39)^Q47)*((1-($W$39))^($U$34-Q47))*HLOOKUP($U$34,$AV$24:$BF$34,Q47+1))*V48</f>
        <v>3.3704318633323198E-6</v>
      </c>
      <c r="AR47" s="28">
        <v>8</v>
      </c>
      <c r="AS47" s="213">
        <f>((($W$39)^Q47)*((1-($W$39))^($U$35-Q47))*HLOOKUP($U$35,$AV$24:$BF$34,Q47+1))*V49</f>
        <v>1.3997643324058905E-6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1.2945934438642225E-6</v>
      </c>
      <c r="BQ47" s="31">
        <f>BM12+1</f>
        <v>9</v>
      </c>
      <c r="BR47" s="31">
        <v>8</v>
      </c>
      <c r="BS47" s="107">
        <f t="shared" si="31"/>
        <v>2.3161514620615785E-9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6.6310413517616125E-5</v>
      </c>
      <c r="I48" s="138">
        <v>9</v>
      </c>
      <c r="J48" s="86">
        <f t="shared" si="28"/>
        <v>2.6963611856947208E-7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1.2338683826524107E-2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1.2941226541123898E-2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1.4729270331412646E-7</v>
      </c>
      <c r="AR48" s="28">
        <v>9</v>
      </c>
      <c r="AS48" s="213">
        <f>((($W$39)^Q48)*((1-($W$39))^($U$35-Q48))*HLOOKUP($U$35,$AV$24:$BF$34,Q48+1))*V49</f>
        <v>1.223434152553456E-7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1.2060672407773221E-7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6.1776009947399612E-6</v>
      </c>
      <c r="I49" s="94">
        <v>10</v>
      </c>
      <c r="J49" s="89">
        <f t="shared" si="28"/>
        <v>4.8119243428477028E-9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1.309612086691499E-3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1.4976952918875908E-3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4.8119243428477028E-9</v>
      </c>
      <c r="BI49" s="31">
        <f>BQ14+1</f>
        <v>6</v>
      </c>
      <c r="BJ49" s="31">
        <v>0</v>
      </c>
      <c r="BK49" s="107">
        <f>$H$31*H39</f>
        <v>4.7931723651353629E-4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7"/>
      <c r="J50" s="297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7"/>
      <c r="X50" s="158"/>
      <c r="Y50" s="158"/>
      <c r="BI50" s="31">
        <f>BI45+1</f>
        <v>6</v>
      </c>
      <c r="BJ50" s="31">
        <v>7</v>
      </c>
      <c r="BK50" s="107">
        <f>$H$31*H46</f>
        <v>1.1040618878931659E-5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1.9856768815154913E-6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2.6112715440298038E-7</v>
      </c>
    </row>
    <row r="53" spans="1:63" x14ac:dyDescent="0.25">
      <c r="BI53" s="31">
        <f>BI48+1</f>
        <v>6</v>
      </c>
      <c r="BJ53" s="31">
        <v>10</v>
      </c>
      <c r="BK53" s="107">
        <f>$H$31*H49</f>
        <v>2.4327089565878183E-8</v>
      </c>
    </row>
    <row r="54" spans="1:63" x14ac:dyDescent="0.25">
      <c r="BI54" s="31">
        <f>BI51+1</f>
        <v>7</v>
      </c>
      <c r="BJ54" s="31">
        <v>8</v>
      </c>
      <c r="BK54" s="107">
        <f>$H$32*H47</f>
        <v>2.9107332278556827E-7</v>
      </c>
    </row>
    <row r="55" spans="1:63" x14ac:dyDescent="0.25">
      <c r="BI55" s="31">
        <f>BI52+1</f>
        <v>7</v>
      </c>
      <c r="BJ55" s="31">
        <v>9</v>
      </c>
      <c r="BK55" s="107">
        <f>$H$32*H48</f>
        <v>3.8277702283367525E-8</v>
      </c>
    </row>
    <row r="56" spans="1:63" x14ac:dyDescent="0.25">
      <c r="BI56" s="31">
        <f>BI53+1</f>
        <v>7</v>
      </c>
      <c r="BJ56" s="31">
        <v>10</v>
      </c>
      <c r="BK56" s="107">
        <f>$H$32*H49</f>
        <v>3.566021672286387E-9</v>
      </c>
    </row>
    <row r="57" spans="1:63" x14ac:dyDescent="0.25">
      <c r="BI57" s="31">
        <f>BI55+1</f>
        <v>8</v>
      </c>
      <c r="BJ57" s="31">
        <v>9</v>
      </c>
      <c r="BK57" s="107">
        <f>$H$33*H48</f>
        <v>4.0549075828907228E-9</v>
      </c>
    </row>
    <row r="58" spans="1:63" x14ac:dyDescent="0.25">
      <c r="BI58" s="31">
        <f>BI56+1</f>
        <v>8</v>
      </c>
      <c r="BJ58" s="31">
        <v>10</v>
      </c>
      <c r="BK58" s="107">
        <f>$H$33*H49</f>
        <v>3.7776270405838484E-10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2.8375827200399501E-11</v>
      </c>
    </row>
  </sheetData>
  <mergeCells count="2">
    <mergeCell ref="Q1:R1"/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0"/>
      <c r="R1" s="300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145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1.6799999999999997</v>
      </c>
      <c r="S2" s="198">
        <f>SUM(S4:S15)</f>
        <v>3.5750000000000006</v>
      </c>
      <c r="T2" s="256">
        <f t="shared" ref="T2:U2" si="0">SUM(T4:T15)</f>
        <v>1.6724879535147399</v>
      </c>
      <c r="U2" s="256">
        <f t="shared" si="0"/>
        <v>0.83852395124716561</v>
      </c>
      <c r="V2" s="158"/>
      <c r="W2" s="158"/>
      <c r="X2" s="290">
        <f t="shared" ref="X2:Y2" si="1">SUM(X4:X15)</f>
        <v>0.83719143282312936</v>
      </c>
      <c r="Y2" s="291">
        <f t="shared" si="1"/>
        <v>0.50404156037414971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1" t="s">
        <v>5</v>
      </c>
      <c r="C3" s="301"/>
      <c r="D3" s="31" t="str">
        <f>IF(B3="Sol","SI",IF(B3="Lluvia","SI","NO"))</f>
        <v>SI</v>
      </c>
      <c r="E3" s="248"/>
      <c r="F3" s="249"/>
      <c r="G3" s="279" t="s">
        <v>162</v>
      </c>
      <c r="H3" s="248"/>
      <c r="I3" s="248"/>
      <c r="J3" s="245"/>
      <c r="K3" s="257" t="s">
        <v>166</v>
      </c>
      <c r="L3" s="257" t="s">
        <v>167</v>
      </c>
      <c r="M3" s="257" t="s">
        <v>28</v>
      </c>
      <c r="N3" s="257" t="s">
        <v>28</v>
      </c>
      <c r="O3" s="257" t="s">
        <v>168</v>
      </c>
      <c r="P3" s="262" t="s">
        <v>169</v>
      </c>
      <c r="Q3" s="264" t="s">
        <v>170</v>
      </c>
      <c r="R3" s="257" t="s">
        <v>28</v>
      </c>
      <c r="S3" s="257" t="s">
        <v>171</v>
      </c>
      <c r="T3" s="262" t="s">
        <v>172</v>
      </c>
      <c r="U3" s="264" t="s">
        <v>173</v>
      </c>
      <c r="V3" s="262" t="s">
        <v>174</v>
      </c>
      <c r="W3" s="264" t="s">
        <v>175</v>
      </c>
      <c r="X3" s="286" t="s">
        <v>176</v>
      </c>
      <c r="Y3" s="287" t="s">
        <v>177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162</v>
      </c>
      <c r="F4" s="279" t="s">
        <v>162</v>
      </c>
      <c r="G4" s="279" t="s">
        <v>162</v>
      </c>
      <c r="H4" s="279" t="s">
        <v>162</v>
      </c>
      <c r="I4" s="279" t="s">
        <v>162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178</v>
      </c>
      <c r="P4" s="249">
        <f>COUNTIF(E3:I4,"IMP")</f>
        <v>0</v>
      </c>
      <c r="Q4" s="251">
        <f>COUNTIF(E8:I9,"IMP")</f>
        <v>0</v>
      </c>
      <c r="R4" s="258">
        <f t="shared" ref="R4:R15" si="2">IF(P4+Q4=0,0,N4)</f>
        <v>0</v>
      </c>
      <c r="S4" s="258">
        <f t="shared" ref="S4:S15" si="3">R4*$N$2/$R$2</f>
        <v>0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162</v>
      </c>
      <c r="G5" s="279" t="s">
        <v>144</v>
      </c>
      <c r="H5" s="279" t="s">
        <v>162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179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35</v>
      </c>
      <c r="B6" s="269">
        <v>10</v>
      </c>
      <c r="C6" s="270">
        <v>11</v>
      </c>
      <c r="E6" s="248"/>
      <c r="F6" s="279" t="s">
        <v>1</v>
      </c>
      <c r="G6" s="279" t="s">
        <v>162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0</v>
      </c>
      <c r="R6" s="258">
        <f t="shared" si="2"/>
        <v>0</v>
      </c>
      <c r="S6" s="258">
        <f t="shared" si="3"/>
        <v>0</v>
      </c>
      <c r="T6" s="263">
        <f t="shared" si="4"/>
        <v>0</v>
      </c>
      <c r="U6" s="265">
        <f t="shared" si="5"/>
        <v>0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0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0</v>
      </c>
      <c r="AH6" s="284">
        <f t="shared" si="8"/>
        <v>1</v>
      </c>
      <c r="AI6" s="284">
        <f>AG6*PRODUCT(AH3:AH5)*PRODUCT(AH7:AH17)</f>
        <v>0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40</v>
      </c>
      <c r="B7" s="269">
        <v>10</v>
      </c>
      <c r="C7" s="270">
        <v>12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180</v>
      </c>
      <c r="P7" s="249">
        <f>COUNTIF(E9:I9,"IMP")+COUNTIF(F10:H10,"IMP")</f>
        <v>0</v>
      </c>
      <c r="Q7" s="251">
        <f>COUNTIF(E4:I4,"IMP")+COUNTIF(F5:H5,"IMP")</f>
        <v>0</v>
      </c>
      <c r="R7" s="258">
        <f t="shared" si="2"/>
        <v>0</v>
      </c>
      <c r="S7" s="258">
        <f t="shared" si="3"/>
        <v>0</v>
      </c>
      <c r="T7" s="263">
        <f t="shared" si="4"/>
        <v>0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0</v>
      </c>
      <c r="Z7" s="236"/>
      <c r="AA7" s="281">
        <f t="shared" si="6"/>
        <v>0.30323660714285722</v>
      </c>
      <c r="AB7" s="282">
        <f t="shared" si="7"/>
        <v>0.69676339285714284</v>
      </c>
      <c r="AC7" s="282">
        <f>AA7*PRODUCT(AB3:AB6)*PRODUCT(AB8:AB17)</f>
        <v>0.16651377767806427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44</v>
      </c>
      <c r="B8" s="269">
        <v>10</v>
      </c>
      <c r="C8" s="270">
        <v>12</v>
      </c>
      <c r="E8" s="250"/>
      <c r="F8" s="251"/>
      <c r="G8" s="280" t="s">
        <v>162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181</v>
      </c>
      <c r="P8" s="249">
        <f>COUNTIF(E5:I6,"RAP")</f>
        <v>4</v>
      </c>
      <c r="Q8" s="251">
        <f>COUNTIF(E10:I11,"RAP")</f>
        <v>0</v>
      </c>
      <c r="R8" s="258">
        <f t="shared" si="2"/>
        <v>0.5</v>
      </c>
      <c r="S8" s="258">
        <f t="shared" si="3"/>
        <v>1.0639880952380956</v>
      </c>
      <c r="T8" s="263">
        <f t="shared" si="4"/>
        <v>0.53199404761904778</v>
      </c>
      <c r="U8" s="265">
        <f t="shared" si="5"/>
        <v>0</v>
      </c>
      <c r="V8" s="255">
        <f>$G$17</f>
        <v>0.56999999999999995</v>
      </c>
      <c r="W8" s="253">
        <f>$H$17</f>
        <v>0.56999999999999995</v>
      </c>
      <c r="X8" s="288">
        <f t="shared" si="11"/>
        <v>0.30323660714285722</v>
      </c>
      <c r="Y8" s="289">
        <f t="shared" si="11"/>
        <v>0</v>
      </c>
      <c r="Z8" s="236"/>
      <c r="AA8" s="281">
        <f t="shared" si="6"/>
        <v>0.30323660714285722</v>
      </c>
      <c r="AB8" s="282">
        <f t="shared" si="7"/>
        <v>0.69676339285714284</v>
      </c>
      <c r="AC8" s="282">
        <f>AA8*PRODUCT(AB3:AB7)*PRODUCT(AB9:AB17)</f>
        <v>0.16651377767806425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220"/>
      <c r="AF8" s="234"/>
      <c r="AG8" s="283">
        <f t="shared" si="12"/>
        <v>0</v>
      </c>
      <c r="AH8" s="284">
        <f t="shared" si="8"/>
        <v>1</v>
      </c>
      <c r="AI8" s="284">
        <f>AG8*PRODUCT(AH3:AH7)*PRODUCT(AH9:AH17)</f>
        <v>0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47</v>
      </c>
      <c r="B9" s="269">
        <v>10</v>
      </c>
      <c r="C9" s="270">
        <v>12</v>
      </c>
      <c r="E9" s="280" t="s">
        <v>162</v>
      </c>
      <c r="F9" s="280" t="s">
        <v>162</v>
      </c>
      <c r="G9" s="280" t="s">
        <v>162</v>
      </c>
      <c r="H9" s="280" t="s">
        <v>162</v>
      </c>
      <c r="I9" s="280" t="s">
        <v>162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182</v>
      </c>
      <c r="P9" s="249">
        <f>COUNTIF(E5:I6,"RAP")</f>
        <v>4</v>
      </c>
      <c r="Q9" s="251">
        <f>COUNTIF(E10:I11,"RAP")</f>
        <v>0</v>
      </c>
      <c r="R9" s="258">
        <f t="shared" si="2"/>
        <v>0.5</v>
      </c>
      <c r="S9" s="258">
        <f t="shared" si="3"/>
        <v>1.0639880952380956</v>
      </c>
      <c r="T9" s="263">
        <f t="shared" si="4"/>
        <v>0.53199404761904778</v>
      </c>
      <c r="U9" s="265">
        <f t="shared" si="5"/>
        <v>0</v>
      </c>
      <c r="V9" s="255">
        <f>$G$17</f>
        <v>0.56999999999999995</v>
      </c>
      <c r="W9" s="253">
        <f>$H$17</f>
        <v>0.56999999999999995</v>
      </c>
      <c r="X9" s="288">
        <f t="shared" si="11"/>
        <v>0.30323660714285722</v>
      </c>
      <c r="Y9" s="289">
        <f t="shared" si="11"/>
        <v>0</v>
      </c>
      <c r="Z9" s="236"/>
      <c r="AA9" s="281">
        <f t="shared" si="6"/>
        <v>6.8399234693877556E-2</v>
      </c>
      <c r="AB9" s="282">
        <f t="shared" si="7"/>
        <v>0.93160076530612246</v>
      </c>
      <c r="AC9" s="282">
        <f>AA9*PRODUCT(AB3:AB8)*PRODUCT(AB10:AB17)</f>
        <v>2.8091522398663849E-2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220"/>
      <c r="AF9" s="234"/>
      <c r="AG9" s="283">
        <f t="shared" si="12"/>
        <v>0</v>
      </c>
      <c r="AH9" s="284">
        <f t="shared" si="8"/>
        <v>1</v>
      </c>
      <c r="AI9" s="284">
        <f>AG9*PRODUCT(AH3:AH8)*PRODUCT(AH10:AH17)</f>
        <v>0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50</v>
      </c>
      <c r="B10" s="269">
        <v>9</v>
      </c>
      <c r="C10" s="270">
        <v>14</v>
      </c>
      <c r="E10" s="280" t="s">
        <v>162</v>
      </c>
      <c r="F10" s="280" t="s">
        <v>144</v>
      </c>
      <c r="G10" s="280" t="s">
        <v>162</v>
      </c>
      <c r="H10" s="280" t="s">
        <v>144</v>
      </c>
      <c r="I10" s="280" t="s">
        <v>162</v>
      </c>
      <c r="J10" s="245"/>
      <c r="K10" s="246">
        <v>18</v>
      </c>
      <c r="L10" s="246" t="s">
        <v>183</v>
      </c>
      <c r="M10" s="259">
        <v>0.15</v>
      </c>
      <c r="N10" s="259">
        <f t="shared" si="10"/>
        <v>0.15</v>
      </c>
      <c r="O10" s="246" t="s">
        <v>184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0.3191964285714286</v>
      </c>
      <c r="T10" s="263">
        <f>S10*G13</f>
        <v>0.15199829931972789</v>
      </c>
      <c r="U10" s="265">
        <f>S10*G14</f>
        <v>0.16719812925170072</v>
      </c>
      <c r="V10" s="255">
        <f>$G$18</f>
        <v>0.45</v>
      </c>
      <c r="W10" s="253">
        <f>$H$18</f>
        <v>0.45</v>
      </c>
      <c r="X10" s="288">
        <f t="shared" si="11"/>
        <v>6.8399234693877556E-2</v>
      </c>
      <c r="Y10" s="289">
        <f t="shared" si="11"/>
        <v>7.5239158163265318E-2</v>
      </c>
      <c r="Z10" s="236"/>
      <c r="AA10" s="281">
        <f t="shared" si="6"/>
        <v>3.4959608843537417E-2</v>
      </c>
      <c r="AB10" s="282">
        <f t="shared" si="7"/>
        <v>0.96504039115646256</v>
      </c>
      <c r="AC10" s="282">
        <f>AA10*PRODUCT(AB3:AB9)*PRODUCT(AB11:AB17)</f>
        <v>1.3860373838941585E-2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220"/>
      <c r="AF10" s="234"/>
      <c r="AG10" s="283">
        <f t="shared" si="12"/>
        <v>7.5239158163265318E-2</v>
      </c>
      <c r="AH10" s="284">
        <f t="shared" si="8"/>
        <v>0.92476084183673468</v>
      </c>
      <c r="AI10" s="284">
        <f>AG10*PRODUCT(AH3:AH9)*PRODUCT(AH11:AH17)</f>
        <v>4.7122411477524759E-2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53</v>
      </c>
      <c r="B11" s="269">
        <v>9</v>
      </c>
      <c r="C11" s="270">
        <v>14</v>
      </c>
      <c r="E11" s="250"/>
      <c r="F11" s="280" t="s">
        <v>144</v>
      </c>
      <c r="G11" s="280" t="s">
        <v>162</v>
      </c>
      <c r="H11" s="280" t="s">
        <v>162</v>
      </c>
      <c r="I11" s="250"/>
      <c r="J11" s="245"/>
      <c r="K11" s="246">
        <v>19</v>
      </c>
      <c r="L11" s="246" t="s">
        <v>183</v>
      </c>
      <c r="M11" s="259">
        <v>0.23</v>
      </c>
      <c r="N11" s="259">
        <f t="shared" si="10"/>
        <v>0.23</v>
      </c>
      <c r="O11" s="246" t="s">
        <v>185</v>
      </c>
      <c r="P11" s="249">
        <f>COUNTIF(E4:I6,"CAB")</f>
        <v>1</v>
      </c>
      <c r="Q11" s="251">
        <f>COUNTIF(E9:I11,"CAB")</f>
        <v>3</v>
      </c>
      <c r="R11" s="258">
        <f t="shared" si="2"/>
        <v>0.23</v>
      </c>
      <c r="S11" s="258">
        <f t="shared" si="3"/>
        <v>0.4894345238095239</v>
      </c>
      <c r="T11" s="263">
        <f>IF(P11&gt;0,S11*G13,0)</f>
        <v>0.23306405895691612</v>
      </c>
      <c r="U11" s="265">
        <f>IF(Q11&gt;0,S11*G14,0)</f>
        <v>0.25637046485260778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0.75</v>
      </c>
      <c r="X11" s="288">
        <f t="shared" si="11"/>
        <v>3.4959608843537417E-2</v>
      </c>
      <c r="Y11" s="289">
        <f t="shared" si="11"/>
        <v>0.19227784863945585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0.19227784863945585</v>
      </c>
      <c r="AH11" s="284">
        <f t="shared" si="8"/>
        <v>0.80772215136054415</v>
      </c>
      <c r="AI11" s="284">
        <f>AG11*PRODUCT(AH3:AH10)*PRODUCT(AH12:AH17)</f>
        <v>0.1378733322509218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57</v>
      </c>
      <c r="B12" s="269">
        <v>9</v>
      </c>
      <c r="C12" s="270">
        <v>14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5.4582589285714286E-2</v>
      </c>
      <c r="AB12" s="282">
        <f t="shared" si="7"/>
        <v>0.94541741071428576</v>
      </c>
      <c r="AC12" s="282">
        <f>AA12*PRODUCT(AB3:AB11)*PRODUCT(AB13:AB17)</f>
        <v>2.2089424848711934E-2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60</v>
      </c>
      <c r="B13" s="269">
        <v>9</v>
      </c>
      <c r="C13" s="270">
        <v>9</v>
      </c>
      <c r="E13" s="247"/>
      <c r="F13" s="247" t="s">
        <v>163</v>
      </c>
      <c r="G13" s="254">
        <f>B22</f>
        <v>0.47619047619047616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186</v>
      </c>
      <c r="P13" s="249">
        <f>COUNTIF(E5:I6,"CAB")</f>
        <v>1</v>
      </c>
      <c r="Q13" s="251">
        <f>COUNTIF(E10:I11,"CAB")</f>
        <v>3</v>
      </c>
      <c r="R13" s="258">
        <f t="shared" si="2"/>
        <v>0.18</v>
      </c>
      <c r="S13" s="258">
        <f t="shared" si="3"/>
        <v>0.38303571428571431</v>
      </c>
      <c r="T13" s="263">
        <f>IF((Q13+P13)=0,0,S13*P13/(Q13+P13))</f>
        <v>9.5758928571428578E-2</v>
      </c>
      <c r="U13" s="265">
        <f>IF(P13+Q13=0,0,S13*Q13/(Q13+P13))</f>
        <v>0.28727678571428572</v>
      </c>
      <c r="V13" s="255">
        <f>$G$17</f>
        <v>0.56999999999999995</v>
      </c>
      <c r="W13" s="253">
        <f>$H$17</f>
        <v>0.56999999999999995</v>
      </c>
      <c r="X13" s="288">
        <f t="shared" si="11"/>
        <v>5.4582589285714286E-2</v>
      </c>
      <c r="Y13" s="289">
        <f t="shared" si="11"/>
        <v>0.16374776785714285</v>
      </c>
      <c r="Z13" s="236"/>
      <c r="AA13" s="281">
        <f t="shared" si="6"/>
        <v>7.2776785714285724E-2</v>
      </c>
      <c r="AB13" s="282">
        <f t="shared" si="7"/>
        <v>0.9272232142857143</v>
      </c>
      <c r="AC13" s="282">
        <f>AA13*PRODUCT(AB3:AB12)*PRODUCT(AB14:AB17)</f>
        <v>3.0030491792241279E-2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0.16374776785714285</v>
      </c>
      <c r="AH13" s="284">
        <f t="shared" si="8"/>
        <v>0.83625223214285715</v>
      </c>
      <c r="AI13" s="284">
        <f>AG13*PRODUCT(AH3:AH12)*PRODUCT(AH14:AH17)</f>
        <v>0.11340993716565342</v>
      </c>
      <c r="AJ13" s="284">
        <f>AG13*AG14*PRODUCT(AH3:AH12)*PRODUCT(AH15:AH17)+AG13*AG15*PRODUCT(AH3:AH12)*AH14*PRODUCT(AH16:AH17)+AG13*AG16*PRODUCT(AH3:AH12)*AH14*AH15*AH17+AG13*AG17*PRODUCT(AH3:AH12)*AH14*AH15*AH16</f>
        <v>8.9014280141093433E-3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63</v>
      </c>
      <c r="B14" s="269">
        <v>4</v>
      </c>
      <c r="C14" s="270">
        <v>4</v>
      </c>
      <c r="E14" s="247"/>
      <c r="F14" s="247" t="s">
        <v>164</v>
      </c>
      <c r="G14" s="252">
        <f>C22</f>
        <v>0.52380952380952384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187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0.25535714285714289</v>
      </c>
      <c r="T14" s="263">
        <f>S14*P14/(Q14+P14)</f>
        <v>0.12767857142857145</v>
      </c>
      <c r="U14" s="265">
        <f>S14*Q14/(Q14+P14)</f>
        <v>0.12767857142857145</v>
      </c>
      <c r="V14" s="255">
        <f>$G$17</f>
        <v>0.56999999999999995</v>
      </c>
      <c r="W14" s="253">
        <f>$H$17</f>
        <v>0.56999999999999995</v>
      </c>
      <c r="X14" s="288">
        <f t="shared" si="11"/>
        <v>7.2776785714285724E-2</v>
      </c>
      <c r="Y14" s="289">
        <f t="shared" si="11"/>
        <v>7.2776785714285724E-2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7.2776785714285724E-2</v>
      </c>
      <c r="AH14" s="284">
        <f t="shared" si="8"/>
        <v>0.9272232142857143</v>
      </c>
      <c r="AI14" s="284">
        <f>AG14*PRODUCT(AH3:AH13)*PRODUCT(AH15:AH17)</f>
        <v>4.5459178732451901E-2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188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165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0.38260784469788545</v>
      </c>
      <c r="AC18" s="176">
        <f>SUM(AC3:AC17)</f>
        <v>0.42709936823468714</v>
      </c>
      <c r="AD18" s="176">
        <f>SUM(AD3:AD17)</f>
        <v>0.16281576428542216</v>
      </c>
      <c r="AE18" s="176">
        <f>1-AB18-AC18-AD18</f>
        <v>2.7477022782005256E-2</v>
      </c>
      <c r="AF18" s="234"/>
      <c r="AG18" s="158"/>
      <c r="AH18" s="179">
        <f>PRODUCT(AH3:AH17)</f>
        <v>0.57917927275014069</v>
      </c>
      <c r="AI18" s="176">
        <f>SUM(AI3:AI17)</f>
        <v>0.34386485962655194</v>
      </c>
      <c r="AJ18" s="176">
        <f>SUM(AJ3:AJ17)</f>
        <v>7.0863303781438375E-2</v>
      </c>
      <c r="AK18" s="176">
        <f>1-AH18-AI18-AJ18</f>
        <v>6.0925638418689865E-3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87</v>
      </c>
      <c r="B22" s="206">
        <f>(B6)/((B6)+(C6))</f>
        <v>0.47619047619047616</v>
      </c>
      <c r="C22" s="207">
        <f>1-B22</f>
        <v>0.52380952380952384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66">
        <f>SUM(H25:H35)</f>
        <v>0.99999993956596989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0.99974931781276</v>
      </c>
      <c r="Y23" s="205">
        <f>SUM(Y25:Y35)</f>
        <v>3.3765445915655752E-3</v>
      </c>
      <c r="Z23" s="81"/>
      <c r="AA23" s="205">
        <f>SUM(AA25:AA35)</f>
        <v>2.5873660086668103E-2</v>
      </c>
      <c r="AB23" s="81"/>
      <c r="AC23" s="205">
        <f>SUM(AC25:AC35)</f>
        <v>8.9231628252390352E-2</v>
      </c>
      <c r="AD23" s="81"/>
      <c r="AE23" s="205">
        <f>SUM(AE25:AE35)</f>
        <v>0.18239905448332949</v>
      </c>
      <c r="AF23" s="81"/>
      <c r="AG23" s="205">
        <f>SUM(AG25:AG35)</f>
        <v>0.24474801787537889</v>
      </c>
      <c r="AH23" s="81"/>
      <c r="AI23" s="205">
        <f>SUM(AI25:AI35)</f>
        <v>0.22529102499748441</v>
      </c>
      <c r="AJ23" s="81"/>
      <c r="AK23" s="205">
        <f>SUM(AK25:AK35)</f>
        <v>0.14411233921871039</v>
      </c>
      <c r="AL23" s="81"/>
      <c r="AM23" s="205">
        <f>SUM(AM25:AM35)</f>
        <v>6.3287220894066035E-2</v>
      </c>
      <c r="AN23" s="81"/>
      <c r="AO23" s="205">
        <f>SUM(AO25:AO35)</f>
        <v>1.8281965297063971E-2</v>
      </c>
      <c r="AP23" s="81"/>
      <c r="AQ23" s="205">
        <f>SUM(AQ25:AQ35)</f>
        <v>3.1478621161027897E-3</v>
      </c>
      <c r="AR23" s="81"/>
      <c r="AS23" s="205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114</v>
      </c>
      <c r="B25" s="209">
        <f>1/(1+EXP(-3.1416*4*((B11/(B11+C8))-(3.1416/6))))</f>
        <v>0.23251449252298675</v>
      </c>
      <c r="C25" s="207">
        <f>1/(1+EXP(-3.1416*4*((C11/(C11+B8))-(3.1416/6))))</f>
        <v>0.6793166023460353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210">
        <f>(1-$B$24)^$B$21</f>
        <v>5.8253859548764761E-2</v>
      </c>
      <c r="O25" s="72">
        <v>0</v>
      </c>
      <c r="P25" s="210">
        <f t="shared" ref="P25:P30" si="18">N25</f>
        <v>5.8253859548764761E-2</v>
      </c>
      <c r="Q25" s="28">
        <v>0</v>
      </c>
      <c r="R25" s="211">
        <f>P25*N25</f>
        <v>3.3935121523272112E-3</v>
      </c>
      <c r="S25" s="72">
        <v>0</v>
      </c>
      <c r="T25" s="212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13">
        <f>V25</f>
        <v>3.3765445915655752E-3</v>
      </c>
      <c r="Z25" s="28">
        <v>0</v>
      </c>
      <c r="AA25" s="213">
        <f>((1-W25)^Z26)*V26</f>
        <v>1.8569822111388933E-2</v>
      </c>
      <c r="AB25" s="28">
        <v>0</v>
      </c>
      <c r="AC25" s="213">
        <f>(((1-$W$25)^AB27))*V27</f>
        <v>4.596407959974879E-2</v>
      </c>
      <c r="AD25" s="28">
        <v>0</v>
      </c>
      <c r="AE25" s="213">
        <f>(((1-$W$25)^AB28))*V28</f>
        <v>6.7432957582147166E-2</v>
      </c>
      <c r="AF25" s="28">
        <v>0</v>
      </c>
      <c r="AG25" s="213">
        <f>(((1-$W$25)^AB29))*V29</f>
        <v>6.4940956922224E-2</v>
      </c>
      <c r="AH25" s="28">
        <v>0</v>
      </c>
      <c r="AI25" s="213">
        <f>(((1-$W$25)^AB30))*V30</f>
        <v>4.290355372466393E-2</v>
      </c>
      <c r="AJ25" s="28">
        <v>0</v>
      </c>
      <c r="AK25" s="213">
        <f>(((1-$W$25)^AB31))*V31</f>
        <v>1.9697015124709574E-2</v>
      </c>
      <c r="AL25" s="28">
        <v>0</v>
      </c>
      <c r="AM25" s="213">
        <f>(((1-$W$25)^AB32))*V32</f>
        <v>6.2081921588654221E-3</v>
      </c>
      <c r="AN25" s="28">
        <v>0</v>
      </c>
      <c r="AO25" s="213">
        <f>(((1-$W$25)^AB33))*V33</f>
        <v>1.2871284244145504E-3</v>
      </c>
      <c r="AP25" s="28">
        <v>0</v>
      </c>
      <c r="AQ25" s="213">
        <f>(((1-$W$25)^AB34))*V34</f>
        <v>1.5906131811362984E-4</v>
      </c>
      <c r="AR25" s="28">
        <v>0</v>
      </c>
      <c r="AS25" s="213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115</v>
      </c>
      <c r="B26" s="206">
        <f>1/(1+EXP(-3.1416*4*((B10/(B10+C9))-(3.1416/6))))</f>
        <v>0.23251449252298675</v>
      </c>
      <c r="C26" s="207">
        <f>1/(1+EXP(-3.1416*4*((C10/(C10+B9))-(3.1416/6))))</f>
        <v>0.6793166023460353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210">
        <f>(($B$24)^M26)*((1-($B$24))^($B$21-M26))*HLOOKUP($B$21,$AV$24:$BF$34,M26+1)</f>
        <v>0.22304638572851768</v>
      </c>
      <c r="O26" s="72">
        <v>1</v>
      </c>
      <c r="P26" s="210">
        <f t="shared" si="18"/>
        <v>0.22304638572851768</v>
      </c>
      <c r="Q26" s="28">
        <v>1</v>
      </c>
      <c r="R26" s="211">
        <f>N26*P25+P26*N25</f>
        <v>2.5986625654177354E-2</v>
      </c>
      <c r="S26" s="72">
        <v>1</v>
      </c>
      <c r="T26" s="212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14"/>
      <c r="X26" s="28">
        <v>1</v>
      </c>
      <c r="Y26" s="211"/>
      <c r="Z26" s="28">
        <v>1</v>
      </c>
      <c r="AA26" s="213">
        <f>(1-((1-W25)^Z26))*V26</f>
        <v>7.3038379752791704E-3</v>
      </c>
      <c r="AB26" s="28">
        <v>1</v>
      </c>
      <c r="AC26" s="213">
        <f>((($W$25)^M26)*((1-($W$25))^($U$27-M26))*HLOOKUP($U$27,$AV$24:$BF$34,M26+1))*V27</f>
        <v>3.6156963493312655E-2</v>
      </c>
      <c r="AD26" s="28">
        <v>1</v>
      </c>
      <c r="AE26" s="213">
        <f>((($W$25)^M26)*((1-($W$25))^($U$28-M26))*HLOOKUP($U$28,$AV$24:$BF$34,M26+1))*V28</f>
        <v>7.9567708309679325E-2</v>
      </c>
      <c r="AF26" s="28">
        <v>1</v>
      </c>
      <c r="AG26" s="213">
        <f>((($W$25)^M26)*((1-($W$25))^($U$29-M26))*HLOOKUP($U$29,$AV$24:$BF$34,M26+1))*V29</f>
        <v>0.10216968681215476</v>
      </c>
      <c r="AH26" s="28">
        <v>1</v>
      </c>
      <c r="AI26" s="213">
        <f>((($W$25)^M26)*((1-($W$25))^($U$30-M26))*HLOOKUP($U$30,$AV$24:$BF$34,M26+1))*V30</f>
        <v>8.4373615183003139E-2</v>
      </c>
      <c r="AJ26" s="28">
        <v>1</v>
      </c>
      <c r="AK26" s="213">
        <f>((($W$25)^M26)*((1-($W$25))^($U$31-M26))*HLOOKUP($U$31,$AV$24:$BF$34,M26+1))*V31</f>
        <v>4.6483096996153724E-2</v>
      </c>
      <c r="AL26" s="28">
        <v>1</v>
      </c>
      <c r="AM26" s="213">
        <f>((($W$25)^Q26)*((1-($W$25))^($U$32-Q26))*HLOOKUP($U$32,$AV$24:$BF$34,Q26+1))*V32</f>
        <v>1.7092538939271571E-2</v>
      </c>
      <c r="AN26" s="28">
        <v>1</v>
      </c>
      <c r="AO26" s="213">
        <f>((($W$25)^Q26)*((1-($W$25))^($U$33-Q26))*HLOOKUP($U$33,$AV$24:$BF$34,Q26+1))*V33</f>
        <v>4.0500021632558728E-3</v>
      </c>
      <c r="AP26" s="28">
        <v>1</v>
      </c>
      <c r="AQ26" s="213">
        <f>((($W$25)^Q26)*((1-($W$25))^($U$34-Q26))*HLOOKUP($U$34,$AV$24:$BF$34,Q26+1))*V34</f>
        <v>5.6305455151958738E-4</v>
      </c>
      <c r="AR26" s="28">
        <v>1</v>
      </c>
      <c r="AS26" s="213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116</v>
      </c>
      <c r="B27" s="206">
        <f>1/(1+EXP(-3.1416*4*((B12/(B12+C7))-(3.1416/6))))</f>
        <v>0.23251449252298675</v>
      </c>
      <c r="C27" s="207">
        <f>1/(1+EXP(-3.1416*4*((C12/(C12+B7))-(3.1416/6))))</f>
        <v>0.6793166023460353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210">
        <f>(($B$24)^M27)*((1-($B$24))^($B$21-M27))*HLOOKUP($B$21,$AV$24:$BF$34,M27+1)</f>
        <v>0.34160613955481417</v>
      </c>
      <c r="O27" s="72">
        <v>2</v>
      </c>
      <c r="P27" s="210">
        <f t="shared" si="18"/>
        <v>0.34160613955481417</v>
      </c>
      <c r="Q27" s="28">
        <v>2</v>
      </c>
      <c r="R27" s="211">
        <f>P25*N27+P26*N26+P27*N25</f>
        <v>8.9549442335798451E-2</v>
      </c>
      <c r="S27" s="72">
        <v>2</v>
      </c>
      <c r="T27" s="212">
        <f t="shared" si="19"/>
        <v>0</v>
      </c>
      <c r="U27" s="138">
        <v>2</v>
      </c>
      <c r="V27" s="86">
        <f>R27*T25+T26*R26+R25*T27</f>
        <v>8.9231628252390352E-2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7.1105851593288999E-3</v>
      </c>
      <c r="AD27" s="28">
        <v>2</v>
      </c>
      <c r="AE27" s="213">
        <f>((($W$25)^M27)*((1-($W$25))^($U$28-M27))*HLOOKUP($U$28,$AV$24:$BF$34,M27+1))*V28</f>
        <v>3.1295380541192741E-2</v>
      </c>
      <c r="AF27" s="28">
        <v>2</v>
      </c>
      <c r="AG27" s="213">
        <f>((($W$25)^M27)*((1-($W$25))^($U$29-M27))*HLOOKUP($U$29,$AV$24:$BF$34,M27+1))*V29</f>
        <v>6.0277704922385572E-2</v>
      </c>
      <c r="AH27" s="28">
        <v>2</v>
      </c>
      <c r="AI27" s="213">
        <f>((($W$25)^M27)*((1-($W$25))^($U$30-M27))*HLOOKUP($U$30,$AV$24:$BF$34,M27+1))*V30</f>
        <v>6.6371256653800767E-2</v>
      </c>
      <c r="AJ27" s="28">
        <v>2</v>
      </c>
      <c r="AK27" s="213">
        <f>((($W$25)^M27)*((1-($W$25))^($U$31-M27))*HLOOKUP($U$31,$AV$24:$BF$34,M27+1))*V31</f>
        <v>4.5706551066107569E-2</v>
      </c>
      <c r="AL27" s="28">
        <v>2</v>
      </c>
      <c r="AM27" s="213">
        <f>((($W$25)^Q27)*((1-($W$25))^($U$32-Q27))*HLOOKUP($U$32,$AV$24:$BF$34,Q27+1))*V32</f>
        <v>2.0168389484252112E-2</v>
      </c>
      <c r="AN27" s="28">
        <v>2</v>
      </c>
      <c r="AO27" s="213">
        <f>((($W$25)^Q27)*((1-($W$25))^($U$33-Q27))*HLOOKUP($U$33,$AV$24:$BF$34,Q27+1))*V33</f>
        <v>5.5752800419306189E-3</v>
      </c>
      <c r="AP27" s="28">
        <v>2</v>
      </c>
      <c r="AQ27" s="213">
        <f>((($W$25)^Q27)*((1-($W$25))^($U$34-Q27))*HLOOKUP($U$34,$AV$24:$BF$34,Q27+1))*V34</f>
        <v>8.8583707283234779E-4</v>
      </c>
      <c r="AR27" s="28">
        <v>2</v>
      </c>
      <c r="AS27" s="213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210">
        <f>(($B$24)^M28)*((1-($B$24))^($B$21-M28))*HLOOKUP($B$21,$AV$24:$BF$34,M28+1)</f>
        <v>0.26159301842169036</v>
      </c>
      <c r="O28" s="72">
        <v>3</v>
      </c>
      <c r="P28" s="210">
        <f t="shared" si="18"/>
        <v>0.26159301842169036</v>
      </c>
      <c r="Q28" s="28">
        <v>3</v>
      </c>
      <c r="R28" s="211">
        <f>P25*N28+P26*N27+P27*N26+P28*N25</f>
        <v>0.182865635448895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0.18239905448332952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4.1030080503102872E-3</v>
      </c>
      <c r="AF28" s="28">
        <v>3</v>
      </c>
      <c r="AG28" s="213">
        <f>((($W$25)^M28)*((1-($W$25))^($U$29-M28))*HLOOKUP($U$29,$AV$24:$BF$34,M28+1))*V29</f>
        <v>1.5805521727095772E-2</v>
      </c>
      <c r="AH28" s="28">
        <v>3</v>
      </c>
      <c r="AI28" s="213">
        <f>((($W$25)^M28)*((1-($W$25))^($U$30-M28))*HLOOKUP($U$30,$AV$24:$BF$34,M28+1))*V30</f>
        <v>2.6104983769215672E-2</v>
      </c>
      <c r="AJ28" s="28">
        <v>3</v>
      </c>
      <c r="AK28" s="213">
        <f>((($W$25)^M28)*((1-($W$25))^($U$31-M28))*HLOOKUP($U$31,$AV$24:$BF$34,M28+1))*V31</f>
        <v>2.3969588320463385E-2</v>
      </c>
      <c r="AL28" s="28">
        <v>3</v>
      </c>
      <c r="AM28" s="213">
        <f>((($W$25)^Q28)*((1-($W$25))^($U$32-Q28))*HLOOKUP($U$32,$AV$24:$BF$34,Q28+1))*V32</f>
        <v>1.3220971112135571E-2</v>
      </c>
      <c r="AN28" s="28">
        <v>3</v>
      </c>
      <c r="AO28" s="213">
        <f>((($W$25)^Q28)*((1-($W$25))^($U$33-Q28))*HLOOKUP($U$33,$AV$24:$BF$34,Q28+1))*V33</f>
        <v>4.3857115968918853E-3</v>
      </c>
      <c r="AP28" s="28">
        <v>3</v>
      </c>
      <c r="AQ28" s="213">
        <f>((($W$25)^Q28)*((1-($W$25))^($U$34-Q28))*HLOOKUP($U$34,$AV$24:$BF$34,Q28+1))*V34</f>
        <v>8.12969072357901E-4</v>
      </c>
      <c r="AR28" s="28">
        <v>3</v>
      </c>
      <c r="AS28" s="213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118</v>
      </c>
      <c r="B29" s="206">
        <f>1/(1+EXP(-3.1416*4*((B14/(B14+C13))-(3.1416/6))))</f>
        <v>6.2199958135446112E-2</v>
      </c>
      <c r="C29" s="207">
        <f>1/(1+EXP(-3.1416*4*((C14/(C14+B13))-(3.1416/6))))</f>
        <v>6.2199958135446112E-2</v>
      </c>
      <c r="D29" s="204">
        <v>0.04</v>
      </c>
      <c r="E29" s="204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0.10016053484306656</v>
      </c>
      <c r="O29" s="72">
        <v>4</v>
      </c>
      <c r="P29" s="210">
        <f t="shared" si="18"/>
        <v>0.10016053484306656</v>
      </c>
      <c r="Q29" s="28">
        <v>4</v>
      </c>
      <c r="R29" s="211">
        <f>P25*N29+P26*N28+P27*N27+P28*N26+P29*N25</f>
        <v>0.24505898462124065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0.24474801787537892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1.5541474915188043E-3</v>
      </c>
      <c r="AH29" s="28">
        <v>4</v>
      </c>
      <c r="AI29" s="213">
        <f>((($W$25)^M29)*((1-($W$25))^($U$30-M29))*HLOOKUP($U$30,$AV$24:$BF$34,M29+1))*V30</f>
        <v>5.1337748593915551E-3</v>
      </c>
      <c r="AJ29" s="28">
        <v>4</v>
      </c>
      <c r="AK29" s="213">
        <f>((($W$25)^M29)*((1-($W$25))^($U$31-M29))*HLOOKUP($U$31,$AV$24:$BF$34,M29+1))*V31</f>
        <v>7.0707458198847354E-3</v>
      </c>
      <c r="AL29" s="28">
        <v>4</v>
      </c>
      <c r="AM29" s="213">
        <f>((($W$25)^Q29)*((1-($W$25))^($U$32-Q29))*HLOOKUP($U$32,$AV$24:$BF$34,Q29+1))*V32</f>
        <v>5.2000407058106265E-3</v>
      </c>
      <c r="AN29" s="28">
        <v>4</v>
      </c>
      <c r="AO29" s="213">
        <f>((($W$25)^Q29)*((1-($W$25))^($U$33-Q29))*HLOOKUP($U$33,$AV$24:$BF$34,Q29+1))*V33</f>
        <v>2.1562219819512675E-3</v>
      </c>
      <c r="AP29" s="28">
        <v>4</v>
      </c>
      <c r="AQ29" s="213">
        <f>((($W$25)^Q29)*((1-($W$25))^($U$34-Q29))*HLOOKUP($U$34,$AV$24:$BF$34,Q29+1))*V34</f>
        <v>4.7963257384464505E-4</v>
      </c>
      <c r="AR29" s="28">
        <v>4</v>
      </c>
      <c r="AS29" s="213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10">
        <f>(($B$24)^M30)*((1-($B$24))^($B$21-M30))*HLOOKUP($B$21,$AV$24:$BF$34,M30+1)</f>
        <v>1.5340061903146452E-2</v>
      </c>
      <c r="O30" s="72">
        <v>5</v>
      </c>
      <c r="P30" s="210">
        <f t="shared" si="18"/>
        <v>1.5340061903146452E-2</v>
      </c>
      <c r="Q30" s="28">
        <v>5</v>
      </c>
      <c r="R30" s="211">
        <f>P25*N30+P26*N29+P27*N28+P28*N27+P29*N26+P30*N25</f>
        <v>0.22519168851696308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0.22529102499748446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4.0384080740936065E-4</v>
      </c>
      <c r="AJ30" s="28">
        <v>5</v>
      </c>
      <c r="AK30" s="213">
        <f>((($W$25)^M30)*((1-($W$25))^($U$31-M30))*HLOOKUP($U$31,$AV$24:$BF$34,M30+1))*V31</f>
        <v>1.1124195271886297E-3</v>
      </c>
      <c r="AL30" s="28">
        <v>5</v>
      </c>
      <c r="AM30" s="213">
        <f>((($W$25)^Q30)*((1-($W$25))^($U$32-Q30))*HLOOKUP($U$32,$AV$24:$BF$34,Q30+1))*V32</f>
        <v>1.2271605366689132E-3</v>
      </c>
      <c r="AN30" s="28">
        <v>5</v>
      </c>
      <c r="AO30" s="213">
        <f>((($W$25)^Q30)*((1-($W$25))^($U$33-Q30))*HLOOKUP($U$33,$AV$24:$BF$34,Q30+1))*V33</f>
        <v>6.7846405422478052E-4</v>
      </c>
      <c r="AP30" s="28">
        <v>5</v>
      </c>
      <c r="AQ30" s="213">
        <f>((($W$25)^Q30)*((1-($W$25))^($U$34-Q30))*HLOOKUP($U$34,$AV$24:$BF$34,Q30+1))*V34</f>
        <v>1.8864793566756416E-4</v>
      </c>
      <c r="AR30" s="28">
        <v>5</v>
      </c>
      <c r="AS30" s="213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0.14370490530263877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7.2922364202754575E-5</v>
      </c>
      <c r="AL31" s="28">
        <v>6</v>
      </c>
      <c r="AM31" s="213">
        <f>((($W$25)^Q31)*((1-($W$25))^($U$32-Q31))*HLOOKUP($U$32,$AV$24:$BF$34,Q31+1))*V32</f>
        <v>1.6088794812219105E-4</v>
      </c>
      <c r="AN31" s="28">
        <v>6</v>
      </c>
      <c r="AO31" s="213">
        <f>((($W$25)^Q31)*((1-($W$25))^($U$33-Q31))*HLOOKUP($U$33,$AV$24:$BF$34,Q31+1))*V33</f>
        <v>1.3342592875646505E-4</v>
      </c>
      <c r="AP31" s="28">
        <v>6</v>
      </c>
      <c r="AQ31" s="213">
        <f>((($W$25)^Q31)*((1-($W$25))^($U$34-Q31))*HLOOKUP($U$34,$AV$24:$BF$34,Q31+1))*V34</f>
        <v>4.9465702946134123E-5</v>
      </c>
      <c r="AR31" s="28">
        <v>6</v>
      </c>
      <c r="AS31" s="213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6.2883111927188803E-2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9.0400089396264658E-6</v>
      </c>
      <c r="AN32" s="28">
        <v>7</v>
      </c>
      <c r="AO32" s="213">
        <f>((($W$25)^Q32)*((1-($W$25))^($U$33-Q32))*HLOOKUP($U$33,$AV$24:$BF$34,Q32+1))*V33</f>
        <v>1.4993933390465591E-5</v>
      </c>
      <c r="AP32" s="28">
        <v>7</v>
      </c>
      <c r="AQ32" s="213">
        <f>((($W$25)^Q32)*((1-($W$25))^($U$34-Q32))*HLOOKUP($U$34,$AV$24:$BF$34,Q32+1))*V34</f>
        <v>8.3381707963298113E-6</v>
      </c>
      <c r="AR32" s="28">
        <v>7</v>
      </c>
      <c r="AS32" s="213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122</v>
      </c>
      <c r="B33" s="292">
        <f>IF(B17&lt;&gt;"CA",0.005,IF((B18-B16)&lt;0,0.1,0.1+0.055*(B18-B16)))</f>
        <v>5.0000000000000001E-3</v>
      </c>
      <c r="C33" s="293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1.8057838932088472E-2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7.3717224806453664E-7</v>
      </c>
      <c r="AP33" s="28">
        <v>8</v>
      </c>
      <c r="AQ33" s="213">
        <f>((($W$25)^Q33)*((1-($W$25))^($U$34-Q33))*HLOOKUP($U$34,$AV$24:$BF$34,Q33+1))*V34</f>
        <v>8.1988734384869092E-7</v>
      </c>
      <c r="AR33" s="28">
        <v>8</v>
      </c>
      <c r="AS33" s="213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3.0729376094897963E-3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3.5830680801072293E-8</v>
      </c>
      <c r="AR34" s="28">
        <v>9</v>
      </c>
      <c r="AS34" s="213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2.3531749919236515E-4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124</v>
      </c>
      <c r="B36" s="219">
        <f>SUM(BO4:BO14)</f>
        <v>0.10587961634117178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125</v>
      </c>
      <c r="B37" s="219">
        <f>SUM(BK4:BK59)</f>
        <v>0.79888201282353499</v>
      </c>
      <c r="G37" s="158"/>
      <c r="H37" s="266">
        <f>SUM(H39:H49)</f>
        <v>0.999836051776825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0.99999999999999989</v>
      </c>
      <c r="O37" s="267"/>
      <c r="P37" s="268">
        <f>SUM(P39:P49)</f>
        <v>0.99999999999999989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0.99621191753243699</v>
      </c>
      <c r="W37" s="158"/>
      <c r="X37" s="158"/>
      <c r="Y37" s="205">
        <f>SUM(Y39:Y49)</f>
        <v>2.3180535610223171E-4</v>
      </c>
      <c r="Z37" s="81"/>
      <c r="AA37" s="205">
        <f>SUM(AA39:AA49)</f>
        <v>3.0305681846580289E-3</v>
      </c>
      <c r="AB37" s="81"/>
      <c r="AC37" s="205">
        <f>SUM(AC39:AC49)</f>
        <v>1.7833975265218092E-2</v>
      </c>
      <c r="AD37" s="81"/>
      <c r="AE37" s="205">
        <f>SUM(AE39:AE49)</f>
        <v>6.2212968648501427E-2</v>
      </c>
      <c r="AF37" s="81"/>
      <c r="AG37" s="205">
        <f>SUM(AG39:AG49)</f>
        <v>0.14249527737151696</v>
      </c>
      <c r="AH37" s="81"/>
      <c r="AI37" s="205">
        <f>SUM(AI39:AI49)</f>
        <v>0.22396944105942748</v>
      </c>
      <c r="AJ37" s="81"/>
      <c r="AK37" s="205">
        <f>SUM(AK39:AK49)</f>
        <v>0.24475636150370289</v>
      </c>
      <c r="AL37" s="81"/>
      <c r="AM37" s="205">
        <f>SUM(AM39:AM49)</f>
        <v>0.18379238369322923</v>
      </c>
      <c r="AN37" s="81"/>
      <c r="AO37" s="205">
        <f>SUM(AO39:AO49)</f>
        <v>9.0946844651974182E-2</v>
      </c>
      <c r="AP37" s="81"/>
      <c r="AQ37" s="205">
        <f>SUM(AQ39:AQ49)</f>
        <v>2.6942291798106491E-2</v>
      </c>
      <c r="AR37" s="81"/>
      <c r="AS37" s="205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126</v>
      </c>
      <c r="B38" s="219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210">
        <f>(1-$C$24)^$B$21</f>
        <v>1.5340061903146452E-2</v>
      </c>
      <c r="O39" s="72">
        <v>0</v>
      </c>
      <c r="P39" s="210">
        <f t="shared" ref="P39:P44" si="30">N39</f>
        <v>1.5340061903146452E-2</v>
      </c>
      <c r="Q39" s="28">
        <v>0</v>
      </c>
      <c r="R39" s="211">
        <f>P39*N39</f>
        <v>2.3531749919236515E-4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13">
        <f>V39</f>
        <v>2.3180535610223171E-4</v>
      </c>
      <c r="Z39" s="28">
        <v>0</v>
      </c>
      <c r="AA39" s="213">
        <f>((1-W39)^Z40)*V40</f>
        <v>9.9172820725343131E-4</v>
      </c>
      <c r="AB39" s="28">
        <v>0</v>
      </c>
      <c r="AC39" s="213">
        <f>(((1-$W$39)^AB41))*V41</f>
        <v>1.9097889332147097E-3</v>
      </c>
      <c r="AD39" s="28">
        <v>0</v>
      </c>
      <c r="AE39" s="213">
        <f>(((1-$W$39)^AB42))*V42</f>
        <v>2.1801518508046645E-3</v>
      </c>
      <c r="AF39" s="28">
        <v>0</v>
      </c>
      <c r="AG39" s="213">
        <f>(((1-$W$39)^AB43))*V43</f>
        <v>1.6340859498438114E-3</v>
      </c>
      <c r="AH39" s="28">
        <v>0</v>
      </c>
      <c r="AI39" s="213">
        <f>(((1-$W$39)^AB44))*V44</f>
        <v>8.4048854186004514E-4</v>
      </c>
      <c r="AJ39" s="28">
        <v>0</v>
      </c>
      <c r="AK39" s="213">
        <f>(((1-$W$39)^AB45))*V45</f>
        <v>3.0056999609432219E-4</v>
      </c>
      <c r="AL39" s="28">
        <v>0</v>
      </c>
      <c r="AM39" s="213">
        <f>(((1-$W$39)^AB46))*V46</f>
        <v>7.385973647996512E-5</v>
      </c>
      <c r="AN39" s="28">
        <v>0</v>
      </c>
      <c r="AO39" s="213">
        <f>(((1-$W$39)^AB47))*V47</f>
        <v>1.1960146124198113E-5</v>
      </c>
      <c r="AP39" s="28">
        <v>0</v>
      </c>
      <c r="AQ39" s="213">
        <f>(((1-$W$39)^AB48))*V48</f>
        <v>1.1594499102868507E-6</v>
      </c>
      <c r="AR39" s="28">
        <v>0</v>
      </c>
      <c r="AS39" s="213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210">
        <f>(($C$24)^M26)*((1-($C$24))^($B$21-M26))*HLOOKUP($B$21,$AV$24:$BF$34,M26+1)</f>
        <v>0.10016053484306656</v>
      </c>
      <c r="O40" s="72">
        <v>1</v>
      </c>
      <c r="P40" s="210">
        <f t="shared" si="30"/>
        <v>0.10016053484306656</v>
      </c>
      <c r="Q40" s="28">
        <v>1</v>
      </c>
      <c r="R40" s="211">
        <f>P40*N39+P39*N40</f>
        <v>3.0729376094897963E-3</v>
      </c>
      <c r="S40" s="72">
        <v>1</v>
      </c>
      <c r="T40" s="212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14"/>
      <c r="X40" s="28">
        <v>1</v>
      </c>
      <c r="Y40" s="211"/>
      <c r="Z40" s="28">
        <v>1</v>
      </c>
      <c r="AA40" s="213">
        <f>(1-((1-W39)^Z40))*V40</f>
        <v>2.0388399774045976E-3</v>
      </c>
      <c r="AB40" s="28">
        <v>1</v>
      </c>
      <c r="AC40" s="213">
        <f>((($W$39)^M40)*((1-($W$39))^($U$27-M40))*HLOOKUP($U$27,$AV$24:$BF$34,M40+1))*V41</f>
        <v>7.852461989009454E-3</v>
      </c>
      <c r="AD40" s="28">
        <v>1</v>
      </c>
      <c r="AE40" s="213">
        <f>((($W$39)^M40)*((1-($W$39))^($U$28-M40))*HLOOKUP($U$28,$AV$24:$BF$34,M40+1))*V42</f>
        <v>1.344616615033099E-2</v>
      </c>
      <c r="AF40" s="28">
        <v>1</v>
      </c>
      <c r="AG40" s="213">
        <f>((($W$39)^M40)*((1-($W$39))^($U$29-M40))*HLOOKUP($U$29,$AV$24:$BF$34,M40+1))*V43</f>
        <v>1.3437713021327194E-2</v>
      </c>
      <c r="AH40" s="28">
        <v>1</v>
      </c>
      <c r="AI40" s="213">
        <f>((($W$39)^M40)*((1-($W$39))^($U$30-M40))*HLOOKUP($U$30,$AV$24:$BF$34,M40+1))*V44</f>
        <v>8.6395729553795479E-3</v>
      </c>
      <c r="AJ40" s="28">
        <v>1</v>
      </c>
      <c r="AK40" s="213">
        <f>((($W$39)^M40)*((1-($W$39))^($U$31-M40))*HLOOKUP($U$31,$AV$24:$BF$34,M40+1))*V45</f>
        <v>3.7075528530702341E-3</v>
      </c>
      <c r="AL40" s="28">
        <v>1</v>
      </c>
      <c r="AM40" s="213">
        <f>((($W$39)^Q40)*((1-($W$39))^($U$32-Q40))*HLOOKUP($U$32,$AV$24:$BF$34,Q40+1))*V46</f>
        <v>1.0629094508774789E-3</v>
      </c>
      <c r="AN40" s="28">
        <v>1</v>
      </c>
      <c r="AO40" s="213">
        <f>((($W$39)^Q40)*((1-($W$39))^($U$33-Q40))*HLOOKUP($U$33,$AV$24:$BF$34,Q40+1))*V47</f>
        <v>1.9670570122149884E-4</v>
      </c>
      <c r="AP40" s="28">
        <v>1</v>
      </c>
      <c r="AQ40" s="213">
        <f>((($W$39)^Q40)*((1-($W$39))^($U$34-Q40))*HLOOKUP($U$34,$AV$24:$BF$34,Q40+1))*V48</f>
        <v>2.1452848980610094E-5</v>
      </c>
      <c r="AR40" s="28">
        <v>1</v>
      </c>
      <c r="AS40" s="213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210">
        <f>(($C$24)^M27)*((1-($C$24))^($B$21-M27))*HLOOKUP($B$21,$AV$24:$BF$34,M27+1)</f>
        <v>0.26159301842169036</v>
      </c>
      <c r="O41" s="72">
        <v>2</v>
      </c>
      <c r="P41" s="210">
        <f t="shared" si="30"/>
        <v>0.26159301842169036</v>
      </c>
      <c r="Q41" s="28">
        <v>2</v>
      </c>
      <c r="R41" s="211">
        <f>P41*N39+P40*N40+P39*N41</f>
        <v>1.8057838932088472E-2</v>
      </c>
      <c r="S41" s="72">
        <v>2</v>
      </c>
      <c r="T41" s="212">
        <f t="shared" si="33"/>
        <v>7.4625000000000011E-5</v>
      </c>
      <c r="U41" s="138">
        <v>2</v>
      </c>
      <c r="V41" s="86">
        <f>R41*T39+T40*R40+R39*T41</f>
        <v>1.7833975265218092E-2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8.071724342993929E-3</v>
      </c>
      <c r="AD41" s="28">
        <v>2</v>
      </c>
      <c r="AE41" s="213">
        <f>((($W$39)^M41)*((1-($W$39))^($U$28-M41))*HLOOKUP($U$28,$AV$24:$BF$34,M41+1))*V42</f>
        <v>2.7643240244263456E-2</v>
      </c>
      <c r="AF41" s="28">
        <v>2</v>
      </c>
      <c r="AG41" s="213">
        <f>((($W$39)^M41)*((1-($W$39))^($U$29-M41))*HLOOKUP($U$29,$AV$24:$BF$34,M41+1))*V43</f>
        <v>4.1438792875492375E-2</v>
      </c>
      <c r="AH41" s="28">
        <v>2</v>
      </c>
      <c r="AI41" s="213">
        <f>((($W$39)^M41)*((1-($W$39))^($U$30-M41))*HLOOKUP($U$30,$AV$24:$BF$34,M41+1))*V44</f>
        <v>3.5523254456813216E-2</v>
      </c>
      <c r="AJ41" s="28">
        <v>2</v>
      </c>
      <c r="AK41" s="213">
        <f>((($W$39)^M41)*((1-($W$39))^($U$31-M41))*HLOOKUP($U$31,$AV$24:$BF$34,M41+1))*V45</f>
        <v>1.9055389672022246E-2</v>
      </c>
      <c r="AL41" s="28">
        <v>2</v>
      </c>
      <c r="AM41" s="213">
        <f>((($W$39)^Q41)*((1-($W$39))^($U$32-Q41))*HLOOKUP($U$32,$AV$24:$BF$34,Q41+1))*V46</f>
        <v>6.5555328515216277E-3</v>
      </c>
      <c r="AN41" s="28">
        <v>2</v>
      </c>
      <c r="AO41" s="213">
        <f>((($W$39)^Q41)*((1-($W$39))^($U$33-Q41))*HLOOKUP($U$33,$AV$24:$BF$34,Q41+1))*V47</f>
        <v>1.4153878610609926E-3</v>
      </c>
      <c r="AP41" s="28">
        <v>2</v>
      </c>
      <c r="AQ41" s="213">
        <f>((($W$39)^Q41)*((1-($W$39))^($U$34-Q41))*HLOOKUP($U$34,$AV$24:$BF$34,Q41+1))*V48</f>
        <v>1.7641497261442347E-4</v>
      </c>
      <c r="AR41" s="28">
        <v>2</v>
      </c>
      <c r="AS41" s="213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210">
        <f>(($C$24)^M28)*((1-($C$24))^($B$21-M28))*HLOOKUP($B$21,$AV$24:$BF$34,M28+1)</f>
        <v>0.34160613955481417</v>
      </c>
      <c r="O42" s="72">
        <v>3</v>
      </c>
      <c r="P42" s="210">
        <f t="shared" si="30"/>
        <v>0.34160613955481417</v>
      </c>
      <c r="Q42" s="28">
        <v>3</v>
      </c>
      <c r="R42" s="211">
        <f>P42*N39+P41*N40+P40*N41+P39*N42</f>
        <v>6.2883111927188803E-2</v>
      </c>
      <c r="S42" s="72">
        <v>3</v>
      </c>
      <c r="T42" s="212">
        <f t="shared" si="33"/>
        <v>1.2500000000000002E-7</v>
      </c>
      <c r="U42" s="138">
        <v>3</v>
      </c>
      <c r="V42" s="86">
        <f>R42*T39+R41*T40+R40*T41+R39*T42</f>
        <v>6.2212968648501427E-2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1.8943410403102316E-2</v>
      </c>
      <c r="AF42" s="28">
        <v>3</v>
      </c>
      <c r="AG42" s="213">
        <f>((($W$39)^M42)*((1-($W$39))^($U$29-M42))*HLOOKUP($U$29,$AV$24:$BF$34,M42+1))*V43</f>
        <v>5.6794504053301519E-2</v>
      </c>
      <c r="AH42" s="28">
        <v>3</v>
      </c>
      <c r="AI42" s="213">
        <f>((($W$39)^M42)*((1-($W$39))^($U$30-M42))*HLOOKUP($U$30,$AV$24:$BF$34,M42+1))*V44</f>
        <v>7.3030323010222359E-2</v>
      </c>
      <c r="AJ42" s="28">
        <v>3</v>
      </c>
      <c r="AK42" s="213">
        <f>((($W$39)^M42)*((1-($W$39))^($U$31-M42))*HLOOKUP($U$31,$AV$24:$BF$34,M42+1))*V45</f>
        <v>5.2233249613067946E-2</v>
      </c>
      <c r="AL42" s="28">
        <v>3</v>
      </c>
      <c r="AM42" s="213">
        <f>((($W$39)^Q42)*((1-($W$39))^($U$32-Q42))*HLOOKUP($U$32,$AV$24:$BF$34,Q42+1))*V46</f>
        <v>2.2461937913223571E-2</v>
      </c>
      <c r="AN42" s="28">
        <v>3</v>
      </c>
      <c r="AO42" s="213">
        <f>((($W$39)^Q42)*((1-($W$39))^($U$33-Q42))*HLOOKUP($U$33,$AV$24:$BF$34,Q42+1))*V47</f>
        <v>5.8196375449607396E-3</v>
      </c>
      <c r="AP42" s="28">
        <v>3</v>
      </c>
      <c r="AQ42" s="213">
        <f>((($W$39)^Q42)*((1-($W$39))^($U$34-Q42))*HLOOKUP($U$34,$AV$24:$BF$34,Q42+1))*V48</f>
        <v>8.4625783322431431E-4</v>
      </c>
      <c r="AR42" s="28">
        <v>3</v>
      </c>
      <c r="AS42" s="213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10">
        <f>(($C$24)^M29)*((1-($C$24))^($B$21-M29))*HLOOKUP($B$21,$AV$24:$BF$34,M29+1)</f>
        <v>0.22304638572851768</v>
      </c>
      <c r="O43" s="72">
        <v>4</v>
      </c>
      <c r="P43" s="210">
        <f t="shared" si="30"/>
        <v>0.22304638572851768</v>
      </c>
      <c r="Q43" s="28">
        <v>4</v>
      </c>
      <c r="R43" s="211">
        <f>P43*N39+P42*N40+P41*N41+P40*N42+P39*N43</f>
        <v>0.14370490530263877</v>
      </c>
      <c r="S43" s="72">
        <v>4</v>
      </c>
      <c r="T43" s="212">
        <f t="shared" si="33"/>
        <v>0</v>
      </c>
      <c r="U43" s="138">
        <v>4</v>
      </c>
      <c r="V43" s="86">
        <f>T43*R39+T42*R40+T41*R41+T40*R42+T39*R43</f>
        <v>0.14249527737151696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2.9190181471552064E-2</v>
      </c>
      <c r="AH43" s="28">
        <v>4</v>
      </c>
      <c r="AI43" s="213">
        <f>((($W$39)^M43)*((1-($W$39))^($U$30-M43))*HLOOKUP($U$30,$AV$24:$BF$34,M43+1))*V44</f>
        <v>7.5069530657184538E-2</v>
      </c>
      <c r="AJ43" s="28">
        <v>4</v>
      </c>
      <c r="AK43" s="213">
        <f>((($W$39)^M43)*((1-($W$39))^($U$31-M43))*HLOOKUP($U$31,$AV$24:$BF$34,M43+1))*V45</f>
        <v>8.0537618584893569E-2</v>
      </c>
      <c r="AL43" s="28">
        <v>4</v>
      </c>
      <c r="AM43" s="213">
        <f>((($W$39)^Q43)*((1-($W$39))^($U$32-Q43))*HLOOKUP($U$32,$AV$24:$BF$34,Q43+1))*V46</f>
        <v>4.6178274100211414E-2</v>
      </c>
      <c r="AN43" s="28">
        <v>4</v>
      </c>
      <c r="AO43" s="213">
        <f>((($W$39)^Q43)*((1-($W$39))^($U$33-Q43))*HLOOKUP($U$33,$AV$24:$BF$34,Q43+1))*V47</f>
        <v>1.495534461192171E-2</v>
      </c>
      <c r="AP43" s="28">
        <v>4</v>
      </c>
      <c r="AQ43" s="213">
        <f>((($W$39)^Q43)*((1-($W$39))^($U$34-Q43))*HLOOKUP($U$34,$AV$24:$BF$34,Q43+1))*V48</f>
        <v>2.6096630441942419E-3</v>
      </c>
      <c r="AR43" s="28">
        <v>4</v>
      </c>
      <c r="AS43" s="213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10">
        <f>(($C$24)^M30)*((1-($C$24))^($B$21-M30))*HLOOKUP($B$21,$AV$24:$BF$34,M30+1)</f>
        <v>5.8253859548764761E-2</v>
      </c>
      <c r="O44" s="72">
        <v>5</v>
      </c>
      <c r="P44" s="210">
        <f t="shared" si="30"/>
        <v>5.8253859548764761E-2</v>
      </c>
      <c r="Q44" s="28">
        <v>5</v>
      </c>
      <c r="R44" s="211">
        <f>P44*N39+P43*N40+P42*N41+P41*N42+P40*N43+P39*N44</f>
        <v>0.22519168851696308</v>
      </c>
      <c r="S44" s="72">
        <v>5</v>
      </c>
      <c r="T44" s="212">
        <f t="shared" si="33"/>
        <v>0</v>
      </c>
      <c r="U44" s="138">
        <v>5</v>
      </c>
      <c r="V44" s="86">
        <f>T44*R39+T43*R40+T42*R41+T41*R42+T40*R43+T39*R44</f>
        <v>0.22396944105942745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3.0866271437967777E-2</v>
      </c>
      <c r="AJ44" s="28">
        <v>5</v>
      </c>
      <c r="AK44" s="213">
        <f>((($W$39)^M44)*((1-($W$39))^($U$31-M44))*HLOOKUP($U$31,$AV$24:$BF$34,M44+1))*V45</f>
        <v>6.622916047153761E-2</v>
      </c>
      <c r="AL44" s="28">
        <v>5</v>
      </c>
      <c r="AM44" s="213">
        <f>((($W$39)^Q44)*((1-($W$39))^($U$32-Q44))*HLOOKUP($U$32,$AV$24:$BF$34,Q44+1))*V46</f>
        <v>5.6961238352071258E-2</v>
      </c>
      <c r="AN44" s="28">
        <v>5</v>
      </c>
      <c r="AO44" s="213">
        <f>((($W$39)^Q44)*((1-($W$39))^($U$33-Q44))*HLOOKUP($U$33,$AV$24:$BF$34,Q44+1))*V47</f>
        <v>2.4596702401029083E-2</v>
      </c>
      <c r="AP44" s="28">
        <v>5</v>
      </c>
      <c r="AQ44" s="213">
        <f>((($W$39)^Q44)*((1-($W$39))^($U$34-Q44))*HLOOKUP($U$34,$AV$24:$BF$34,Q44+1))*V48</f>
        <v>5.3650640398684619E-3</v>
      </c>
      <c r="AR44" s="28">
        <v>5</v>
      </c>
      <c r="AS44" s="213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0.24505898462124065</v>
      </c>
      <c r="S45" s="72">
        <v>6</v>
      </c>
      <c r="T45" s="212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2.2692820313016934E-2</v>
      </c>
      <c r="AL45" s="28">
        <v>6</v>
      </c>
      <c r="AM45" s="213">
        <f>((($W$39)^Q45)*((1-($W$39))^($U$32-Q45))*HLOOKUP($U$32,$AV$24:$BF$34,Q45+1))*V46</f>
        <v>3.9034501948306884E-2</v>
      </c>
      <c r="AN45" s="28">
        <v>6</v>
      </c>
      <c r="AO45" s="213">
        <f>((($W$39)^Q45)*((1-($W$39))^($U$33-Q45))*HLOOKUP($U$33,$AV$24:$BF$34,Q45+1))*V47</f>
        <v>2.5283510038716935E-2</v>
      </c>
      <c r="AP45" s="28">
        <v>6</v>
      </c>
      <c r="AQ45" s="213">
        <f>((($W$39)^Q45)*((1-($W$39))^($U$34-Q45))*HLOOKUP($U$34,$AV$24:$BF$34,Q45+1))*V48</f>
        <v>7.3531618614966982E-3</v>
      </c>
      <c r="AR45" s="28">
        <v>6</v>
      </c>
      <c r="AS45" s="213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0.182865635448895</v>
      </c>
      <c r="S46" s="72">
        <v>7</v>
      </c>
      <c r="T46" s="212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1.1464129340537029E-2</v>
      </c>
      <c r="AN46" s="28">
        <v>7</v>
      </c>
      <c r="AO46" s="213">
        <f>((($W$39)^Q46)*((1-($W$39))^($U$33-Q46))*HLOOKUP($U$33,$AV$24:$BF$34,Q46+1))*V47</f>
        <v>1.4851140134974345E-2</v>
      </c>
      <c r="AP46" s="28">
        <v>7</v>
      </c>
      <c r="AQ46" s="213">
        <f>((($W$39)^Q46)*((1-($W$39))^($U$34-Q46))*HLOOKUP($U$34,$AV$24:$BF$34,Q46+1))*V48</f>
        <v>6.4786991841527947E-3</v>
      </c>
      <c r="AR46" s="28">
        <v>7</v>
      </c>
      <c r="AS46" s="213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8.9549442335798451E-2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3.8164562119646778E-3</v>
      </c>
      <c r="AP47" s="28">
        <v>8</v>
      </c>
      <c r="AQ47" s="213">
        <f>((($W$39)^Q47)*((1-($W$39))^($U$34-Q47))*HLOOKUP($U$34,$AV$24:$BF$34,Q47+1))*V48</f>
        <v>3.329801149553713E-3</v>
      </c>
      <c r="AR47" s="28">
        <v>8</v>
      </c>
      <c r="AS47" s="213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2.5986625654177354E-2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7.6061741411094519E-4</v>
      </c>
      <c r="AR48" s="28">
        <v>9</v>
      </c>
      <c r="AS48" s="213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3.3935121523272112E-3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5</v>
      </c>
      <c r="H1" s="13"/>
      <c r="J1" s="195" t="s">
        <v>1</v>
      </c>
      <c r="K1" s="192">
        <f>IF(D3="SI",COUNTIF($J$6:$J$18,"RAP"),0)</f>
        <v>0</v>
      </c>
      <c r="L1" s="13"/>
      <c r="P1" s="302"/>
      <c r="Q1" s="302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301" t="s">
        <v>5</v>
      </c>
      <c r="C3" s="301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3.5810000000000004</v>
      </c>
      <c r="AM3" s="197">
        <f>SUM(AM5:AM19)</f>
        <v>3.5809999999999995</v>
      </c>
      <c r="AN3" s="197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0.10405850445563736</v>
      </c>
      <c r="P5" s="199">
        <f>P3</f>
        <v>0.56999999999999995</v>
      </c>
      <c r="Q5" s="203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71">
        <f t="shared" ref="S5:S19" si="4">(1-R5)</f>
        <v>0.94068665246028671</v>
      </c>
      <c r="T5" s="172">
        <f>R5*PRODUCT(S6:S19)</f>
        <v>2.929486847442998E-2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0.62435102673382414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0.45</v>
      </c>
      <c r="AN5" s="198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3">
        <v>10</v>
      </c>
      <c r="C6" s="164">
        <v>10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71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>
        <f>COUNTIF(J11:J18,"IMP")</f>
        <v>0</v>
      </c>
      <c r="AM6" s="197">
        <v>0.35</v>
      </c>
      <c r="AN6" s="198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155">
        <f t="shared" si="3"/>
        <v>0</v>
      </c>
      <c r="S7" s="171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0.05</v>
      </c>
      <c r="AN7" s="198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32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4.8027002056448012E-2</v>
      </c>
      <c r="P8" s="199">
        <f>P2</f>
        <v>0.45</v>
      </c>
      <c r="Q8" s="203">
        <f t="shared" si="2"/>
        <v>2.1612150925401606E-2</v>
      </c>
      <c r="R8" s="155">
        <f t="shared" si="3"/>
        <v>2.1612150925401603E-2</v>
      </c>
      <c r="S8" s="171">
        <f t="shared" si="4"/>
        <v>0.97838784907459841</v>
      </c>
      <c r="T8" s="172">
        <f>R8*PRODUCT(S5:S7)*PRODUCT(S9:S19)</f>
        <v>1.0262922280123463E-2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71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>
        <f>COUNTIF(F6:F18,"IMP")</f>
        <v>1</v>
      </c>
      <c r="AI8" s="196">
        <f t="shared" si="9"/>
        <v>0.62435102673382414</v>
      </c>
      <c r="AK8" s="193">
        <f>IF(COUNTIF(F6:F18,"IMP")+COUNTIF(J6:J18,"IMP")=0,0,COUNTIF(J6:J18,"IMP")/(COUNTIF(F6:F18,"IMP")+COUNTIF(J6:J18,"IMP")))</f>
        <v>0</v>
      </c>
      <c r="AL8">
        <f>COUNTIF(J6:J18,"IMP")</f>
        <v>0</v>
      </c>
      <c r="AM8" s="197">
        <v>0.45</v>
      </c>
      <c r="AN8" s="198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71">
        <f t="shared" si="8"/>
        <v>0.97502595893064703</v>
      </c>
      <c r="AD9" s="172">
        <f>AB9*PRODUCT(AC5:AC8)*PRODUCT(AC10:AC19)</f>
        <v>1.8209530305581055E-2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5.549786904300659E-2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0.04</v>
      </c>
      <c r="AN9" s="198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32</v>
      </c>
      <c r="K10" s="161"/>
      <c r="L10" s="10"/>
      <c r="M10" s="10"/>
      <c r="O10" s="67">
        <f t="shared" si="1"/>
        <v>0.43357710189848903</v>
      </c>
      <c r="P10" s="199">
        <f>P3</f>
        <v>0.56999999999999995</v>
      </c>
      <c r="Q10" s="203">
        <f t="shared" si="2"/>
        <v>0.24713894808213871</v>
      </c>
      <c r="R10" s="155">
        <f t="shared" si="3"/>
        <v>0.24713894808213874</v>
      </c>
      <c r="S10" s="171">
        <f t="shared" si="4"/>
        <v>0.75286105191786123</v>
      </c>
      <c r="T10" s="172">
        <f>R10*PRODUCT(S5:S9)*PRODUCT(S11:S19)</f>
        <v>0.15251426369489451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71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>
        <f>COUNTIF(F11:F18,"RAP")</f>
        <v>5</v>
      </c>
      <c r="AI10" s="196">
        <f t="shared" si="9"/>
        <v>0.69372336303758242</v>
      </c>
      <c r="AK10" s="193">
        <f>IF(COUNTIF(F11:F18,"RAP")+COUNTIF(J11:J18,"RAP")=0,0,COUNTIF(J11:J18,"RAP")/(COUNTIF(F11:F18,"RAP")+COUNTIF(J11:J18,"RAP")))</f>
        <v>0</v>
      </c>
      <c r="AL10">
        <f>COUNTIF(J11:J18,"RAP")</f>
        <v>0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0.43357710189848903</v>
      </c>
      <c r="P11" s="199">
        <f>P3</f>
        <v>0.56999999999999995</v>
      </c>
      <c r="Q11" s="203">
        <f t="shared" si="2"/>
        <v>0.24713894808213871</v>
      </c>
      <c r="R11" s="155">
        <f t="shared" si="3"/>
        <v>0.24713894808213874</v>
      </c>
      <c r="S11" s="171">
        <f t="shared" si="4"/>
        <v>0.75286105191786123</v>
      </c>
      <c r="T11" s="172">
        <f>R11*PRODUCT(S5:S10)*PRODUCT(S12:S19)</f>
        <v>0.15251426369489449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71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>
        <f>COUNTIF(F11:F18,"RAP")</f>
        <v>5</v>
      </c>
      <c r="AI11" s="196">
        <f t="shared" si="9"/>
        <v>0.69372336303758242</v>
      </c>
      <c r="AK11" s="193">
        <f>IF(COUNTIF(F11:F18,"RAP")+COUNTIF(J11:J18,"RAP")=0,0,COUNTIF(J11:J18,"RAP")/(COUNTIF(F11:F18,"RAP")+COUNTIF(J11:J18,"RAP")))</f>
        <v>0</v>
      </c>
      <c r="AL11">
        <f>COUNTIF(J11:J18,"RAP")</f>
        <v>0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 t="s">
        <v>1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3.4686168151879117E-4</v>
      </c>
      <c r="P12" s="199">
        <f>P2</f>
        <v>0.45</v>
      </c>
      <c r="Q12" s="203">
        <f t="shared" si="2"/>
        <v>1.5608775668345603E-4</v>
      </c>
      <c r="R12" s="155">
        <f t="shared" si="3"/>
        <v>1.5608775668345603E-4</v>
      </c>
      <c r="S12" s="171">
        <f t="shared" si="4"/>
        <v>0.99984391224331659</v>
      </c>
      <c r="T12" s="172">
        <f>R12*PRODUCT(S5:S11)*PRODUCT(S13:S19)</f>
        <v>7.2530509965317694E-5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82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71">
        <f t="shared" si="8"/>
        <v>0.99984391224331659</v>
      </c>
      <c r="AD12" s="172">
        <f>AB12*PRODUCT(AC5:AC11)*PRODUCT(AC13:AC19)</f>
        <v>1.1098460301193453E-4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1.3874467260751647E-3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1E-3</v>
      </c>
      <c r="AN12" s="198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0.10405850445563736</v>
      </c>
      <c r="P13" s="199">
        <f>P3</f>
        <v>0.56999999999999995</v>
      </c>
      <c r="Q13" s="203">
        <f t="shared" si="2"/>
        <v>5.931334753971329E-2</v>
      </c>
      <c r="R13" s="155">
        <f t="shared" si="3"/>
        <v>5.931334753971329E-2</v>
      </c>
      <c r="S13" s="171">
        <f t="shared" si="4"/>
        <v>0.94068665246028671</v>
      </c>
      <c r="T13" s="172">
        <f>R13*PRODUCT(S5:S12)*PRODUCT(S14:S19)</f>
        <v>2.9294868474429969E-2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81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71">
        <f t="shared" si="8"/>
        <v>0.94068665246028671</v>
      </c>
      <c r="AD13" s="172">
        <f>AB13*PRODUCT(AC5:AC12)*PRODUCT(AC14:AC19)</f>
        <v>4.4826368234224867E-2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93">
        <f>B22</f>
        <v>0.5</v>
      </c>
      <c r="AH13">
        <v>1</v>
      </c>
      <c r="AI13" s="196">
        <f t="shared" si="9"/>
        <v>0.20811700891127471</v>
      </c>
      <c r="AK13" s="193">
        <f>C22</f>
        <v>0.5</v>
      </c>
      <c r="AL13">
        <v>1</v>
      </c>
      <c r="AM13" s="197">
        <v>0.15</v>
      </c>
      <c r="AN13" s="198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32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0.27748934521503299</v>
      </c>
      <c r="Z14" s="200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71">
        <f t="shared" si="8"/>
        <v>0.83350639287098027</v>
      </c>
      <c r="AD14" s="172">
        <f>AB14*PRODUCT(AC5:AC13)*PRODUCT(AC15:AC19)</f>
        <v>0.14200862684624208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93">
        <f>IF(AL14=0,1,B22)</f>
        <v>0.5</v>
      </c>
      <c r="AH14">
        <f>IF(COUNTIF(F6:F18,"CAB")&gt;0,1,0)</f>
        <v>0</v>
      </c>
      <c r="AI14" s="196">
        <f t="shared" si="9"/>
        <v>0.27748934521503299</v>
      </c>
      <c r="AK14" s="193">
        <f>IF(AH14=0,1,C22)</f>
        <v>1</v>
      </c>
      <c r="AL14">
        <f>IF(COUNTIF(J6:J18,"CAB")&gt;0,1,0)</f>
        <v>1</v>
      </c>
      <c r="AM14" s="197">
        <v>0.2</v>
      </c>
      <c r="AN14" s="198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6.9372336303758237E-3</v>
      </c>
      <c r="P15" s="199">
        <f>R3</f>
        <v>0.7</v>
      </c>
      <c r="Q15" s="203">
        <f t="shared" si="2"/>
        <v>4.8560635412630759E-3</v>
      </c>
      <c r="R15" s="155">
        <f t="shared" si="3"/>
        <v>4.8560635412630759E-3</v>
      </c>
      <c r="S15" s="171">
        <f t="shared" si="4"/>
        <v>0.99514393645873689</v>
      </c>
      <c r="T15" s="172">
        <f>R15*PRODUCT(S5:S14)*PRODUCT(S16:S19)</f>
        <v>2.2671620245610859E-3</v>
      </c>
      <c r="U15" s="172">
        <f>R15*R16*PRODUCT(S5:S14)*PRODUCT(S17:S19)+R15*R17*PRODUCT(S5:S14)*S16*PRODUCT(S18:S19)+R15*R18*PRODUCT(S5:S14)*S16*S17*S19+R15*R19*PRODUCT(S5:S14)*S16*S17*S18</f>
        <v>1.1529896044076568E-4</v>
      </c>
      <c r="W15" s="181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71">
        <f t="shared" si="8"/>
        <v>0.99514393645873689</v>
      </c>
      <c r="AD15" s="172">
        <f>AB15*PRODUCT(AC5:AC14)*PRODUCT(AC16:AC19)</f>
        <v>3.4691618379625966E-3</v>
      </c>
      <c r="AE15" s="172">
        <f>AB15*AB16*PRODUCT(AC5:AC14)*PRODUCT(AC17:AC19)+AB15*AB17*PRODUCT(AC5:AC14)*AC16*PRODUCT(AC18:AC19)+AB15*AB18*PRODUCT(AC5:AC14)*AC16*AC17*AC19+AB15*AB19*PRODUCT(AC5:AC14)*AC16*AC17*AC18</f>
        <v>2.3927656124197793E-4</v>
      </c>
      <c r="AG15" s="193">
        <f>IF(AL15=0,1,B22)</f>
        <v>0.5</v>
      </c>
      <c r="AH15">
        <v>1</v>
      </c>
      <c r="AI15" s="196">
        <f t="shared" si="9"/>
        <v>1.3874467260751647E-2</v>
      </c>
      <c r="AK15" s="193">
        <f>IF(AH15=0,1,C22)</f>
        <v>0.5</v>
      </c>
      <c r="AL15">
        <v>1</v>
      </c>
      <c r="AM15" s="197">
        <v>0.01</v>
      </c>
      <c r="AN15" s="198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32</v>
      </c>
      <c r="K16" s="161"/>
      <c r="L16" s="10"/>
      <c r="M16" s="10"/>
      <c r="O16" s="67">
        <f t="shared" si="1"/>
        <v>6.9372336303758237E-3</v>
      </c>
      <c r="P16" s="199">
        <v>0.15</v>
      </c>
      <c r="Q16" s="203">
        <f t="shared" si="2"/>
        <v>1.0405850445563735E-3</v>
      </c>
      <c r="R16" s="155">
        <f t="shared" si="3"/>
        <v>1.0405850445563735E-3</v>
      </c>
      <c r="S16" s="171">
        <f t="shared" si="4"/>
        <v>0.9989594149554436</v>
      </c>
      <c r="T16" s="172">
        <f>R16*PRODUCT(S5:S15)*PRODUCT(S17:S19)</f>
        <v>4.8396486553934493E-4</v>
      </c>
      <c r="U16" s="172">
        <f>R16*R17*PRODUCT(S5:S15)*PRODUCT(S18:S19)+R16*R18*PRODUCT(S5:S15)*S17*S19+R16*R19*PRODUCT(S5:S15)*S17*S18</f>
        <v>2.410842198275436E-5</v>
      </c>
      <c r="W16" s="182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71">
        <f t="shared" si="8"/>
        <v>0.9989594149554436</v>
      </c>
      <c r="AD16" s="172">
        <f>AB16*PRODUCT(AC5:AC15)*PRODUCT(AC17:AC19)</f>
        <v>7.405524723222345E-4</v>
      </c>
      <c r="AE16" s="172">
        <f>AB16*AB17*PRODUCT(AC5:AC15)*PRODUCT(AC18:AC19)+AB16*AB18*PRODUCT(AC5:AC15)*AC17*AC19+AB16*AB19*PRODUCT(AC5:AC15)*AC17*AC18</f>
        <v>5.0306301383884669E-5</v>
      </c>
      <c r="AG16" s="193">
        <f>C22</f>
        <v>0.5</v>
      </c>
      <c r="AH16">
        <v>1</v>
      </c>
      <c r="AI16" s="196">
        <f t="shared" si="9"/>
        <v>1.3874467260751647E-2</v>
      </c>
      <c r="AK16" s="193">
        <f>B22</f>
        <v>0.5</v>
      </c>
      <c r="AL16">
        <v>1</v>
      </c>
      <c r="AM16" s="197">
        <v>0.01</v>
      </c>
      <c r="AN16" s="198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8.3246803564509878E-2</v>
      </c>
      <c r="P17" s="199">
        <f>P3</f>
        <v>0.56999999999999995</v>
      </c>
      <c r="Q17" s="203">
        <f t="shared" si="2"/>
        <v>4.7450678031770624E-2</v>
      </c>
      <c r="R17" s="155">
        <f t="shared" si="3"/>
        <v>4.7450678031770631E-2</v>
      </c>
      <c r="S17" s="171">
        <f t="shared" si="4"/>
        <v>0.95254932196822939</v>
      </c>
      <c r="T17" s="172">
        <f>R17*PRODUCT(S5:S16)*PRODUCT(S18:S19)</f>
        <v>2.3144033489024975E-2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71">
        <f t="shared" si="8"/>
        <v>0.95254932196822939</v>
      </c>
      <c r="AD17" s="172">
        <f>AB17*PRODUCT(AC5:AC16)*PRODUCT(AC18:AC19)</f>
        <v>3.5414494811943441E-2</v>
      </c>
      <c r="AE17" s="172">
        <f>AB17*AB18*PRODUCT(AC5:AC16)*AC19+AB17*AB19*PRODUCT(AC5:AC16)*AC18</f>
        <v>6.4158198417808442E-4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0.16649360712901976</v>
      </c>
      <c r="AK17" s="193">
        <f>COUNTA(J14:J15)/(COUNTA(F14:F15)+COUNTA(J14:J15))</f>
        <v>0.5</v>
      </c>
      <c r="AL17">
        <f>COUNTA(J14:J15)</f>
        <v>2</v>
      </c>
      <c r="AM17" s="197">
        <v>0.12</v>
      </c>
      <c r="AN17" s="198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1</v>
      </c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71">
        <f t="shared" si="8"/>
        <v>0.98220599573808598</v>
      </c>
      <c r="AD18" s="172">
        <f>AB18*PRODUCT(AC5:AC17)*PRODUCT(AC19)</f>
        <v>1.2879446814367488E-2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0.20811700891127471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97">
        <v>0.15</v>
      </c>
      <c r="AN18" s="198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97">
        <v>0.6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0.46460523478336668</v>
      </c>
      <c r="T20" s="176">
        <f>SUM(T5:T19)</f>
        <v>0.39984887750786319</v>
      </c>
      <c r="U20" s="176">
        <f>SUM(U5:U19)</f>
        <v>0.11945107724756034</v>
      </c>
      <c r="V20" s="176">
        <f>1-S20-T20-U20</f>
        <v>1.6094810461209794E-2</v>
      </c>
      <c r="W20" s="21"/>
      <c r="X20" s="22"/>
      <c r="Y20" s="22"/>
      <c r="Z20" s="22"/>
      <c r="AA20" s="22"/>
      <c r="AB20" s="23"/>
      <c r="AC20" s="179">
        <f>PRODUCT(AC5:AC19)</f>
        <v>0.7109287879590982</v>
      </c>
      <c r="AD20" s="176">
        <f>SUM(AD5:AD19)</f>
        <v>0.25765916592565569</v>
      </c>
      <c r="AE20" s="176">
        <f>SUM(AE5:AE19)</f>
        <v>2.9854004866755851E-2</v>
      </c>
      <c r="AF20" s="176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302"/>
      <c r="Q1" s="302"/>
      <c r="R1" s="150">
        <v>0</v>
      </c>
      <c r="S1" s="151">
        <f>1+R1</f>
        <v>1</v>
      </c>
      <c r="AI1" s="156" t="s">
        <v>146</v>
      </c>
    </row>
    <row r="2" spans="1:70" x14ac:dyDescent="0.25">
      <c r="A2" s="153" t="s">
        <v>145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147</v>
      </c>
      <c r="R2" s="150">
        <v>0</v>
      </c>
      <c r="S2" s="151">
        <f>1+R2</f>
        <v>1</v>
      </c>
      <c r="Y2" t="s">
        <v>3</v>
      </c>
      <c r="Z2" s="191" t="s">
        <v>147</v>
      </c>
      <c r="AI2" s="13">
        <f>IF(B17="JC",IF(C17="JC",4,3),IF(C17="JC",3,2))</f>
        <v>2</v>
      </c>
    </row>
    <row r="3" spans="1:70" x14ac:dyDescent="0.25">
      <c r="A3" s="157" t="s">
        <v>4</v>
      </c>
      <c r="B3" s="301" t="s">
        <v>5</v>
      </c>
      <c r="C3" s="301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150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302"/>
      <c r="Q1" s="302"/>
      <c r="R1" s="150">
        <v>0</v>
      </c>
      <c r="S1" s="151">
        <f>1+R1</f>
        <v>1</v>
      </c>
      <c r="U1" s="156" t="s">
        <v>153</v>
      </c>
      <c r="V1">
        <f>IF(B17="JC",IF(C17="JC",2,1.5),IF(C17="JC",1.5,1))</f>
        <v>1</v>
      </c>
      <c r="AE1" s="156" t="s">
        <v>153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SI</v>
      </c>
      <c r="O2" t="s">
        <v>3</v>
      </c>
      <c r="P2" s="190" t="s">
        <v>147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147</v>
      </c>
      <c r="AE2">
        <f>IF(B17="JC",IF(C17="JC",3,1.75),IF(C17="JC",2.25,1))</f>
        <v>1</v>
      </c>
    </row>
    <row r="3" spans="1:70" x14ac:dyDescent="0.25">
      <c r="A3" s="157" t="s">
        <v>4</v>
      </c>
      <c r="B3" s="303" t="s">
        <v>5</v>
      </c>
      <c r="C3" s="303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148</v>
      </c>
      <c r="Q3" t="s">
        <v>8</v>
      </c>
      <c r="R3" s="190" t="s">
        <v>149</v>
      </c>
      <c r="Y3" t="s">
        <v>7</v>
      </c>
      <c r="Z3" s="191" t="s">
        <v>148</v>
      </c>
      <c r="AA3" t="s">
        <v>8</v>
      </c>
      <c r="AB3" s="191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151</v>
      </c>
      <c r="X7" s="15" t="s">
        <v>152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155</v>
      </c>
      <c r="L19" s="13" t="s">
        <v>155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2" t="s">
        <v>156</v>
      </c>
      <c r="Q1" s="302"/>
      <c r="R1" s="150">
        <v>-0.12364059050405626</v>
      </c>
      <c r="S1" s="151">
        <f>1+R1</f>
        <v>0.87635940949594371</v>
      </c>
      <c r="U1" s="156" t="s">
        <v>153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145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154</v>
      </c>
      <c r="M2" s="158" t="str">
        <f>IF(M1&lt;&gt;0,"SI","NO")</f>
        <v>NO</v>
      </c>
      <c r="O2" t="s">
        <v>3</v>
      </c>
      <c r="P2" s="160" t="s">
        <v>147</v>
      </c>
      <c r="R2" s="150">
        <v>7.3959748117051499E-2</v>
      </c>
      <c r="S2" s="151">
        <f>1+R2</f>
        <v>1.0739597481170515</v>
      </c>
      <c r="Y2" t="s">
        <v>3</v>
      </c>
      <c r="Z2" s="159" t="s">
        <v>147</v>
      </c>
    </row>
    <row r="3" spans="1:70" x14ac:dyDescent="0.25">
      <c r="A3" s="157" t="s">
        <v>4</v>
      </c>
      <c r="B3" s="303" t="s">
        <v>130</v>
      </c>
      <c r="C3" s="303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148</v>
      </c>
      <c r="Q3" t="s">
        <v>8</v>
      </c>
      <c r="R3" s="160" t="s">
        <v>149</v>
      </c>
      <c r="Y3" t="s">
        <v>7</v>
      </c>
      <c r="Z3" s="159" t="s">
        <v>148</v>
      </c>
      <c r="AA3" t="s">
        <v>8</v>
      </c>
      <c r="AB3" s="159" t="s">
        <v>149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159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151</v>
      </c>
      <c r="X7" s="15" t="s">
        <v>152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160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155</v>
      </c>
      <c r="L19" s="13" t="s">
        <v>155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VADER-Nano</vt:lpstr>
      <vt:lpstr>Nano-VADER</vt:lpstr>
      <vt:lpstr>VADER-Conjunto</vt:lpstr>
      <vt:lpstr>ColldeRates-LUKE</vt:lpstr>
      <vt:lpstr>SIMULADOR_v4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2021-03-04T12:33:11Z</dcterms:modified>
</cp:coreProperties>
</file>