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B8E5C82D-438F-49D4-8A0C-1DFE1F0A9626}" xr6:coauthVersionLast="44" xr6:coauthVersionMax="44" xr10:uidLastSave="{00000000-0000-0000-0000-000000000000}"/>
  <bookViews>
    <workbookView xWindow="28680" yWindow="-120" windowWidth="29040" windowHeight="15840" firstSheet="3" activeTab="3" xr2:uid="{00000000-000D-0000-FFFF-FFFF00000000}"/>
  </bookViews>
  <sheets>
    <sheet name="Apo_ManualNOEscrito&lt;T60" sheetId="17" r:id="rId1"/>
    <sheet name="Aportaciones_ManualNOEscrito" sheetId="1" r:id="rId2"/>
    <sheet name="Aglomeraciones" sheetId="2" r:id="rId3"/>
    <sheet name="Formaciones" sheetId="15" r:id="rId4"/>
    <sheet name="Reposicionamiento" sheetId="16" r:id="rId5"/>
    <sheet name="532CenBan" sheetId="14" r:id="rId6"/>
    <sheet name="541bibanda" sheetId="13" r:id="rId7"/>
    <sheet name="433CenBan" sheetId="18" r:id="rId8"/>
    <sheet name="442Simetrica" sheetId="12" r:id="rId9"/>
    <sheet name="442Bibanda" sheetId="10" r:id="rId10"/>
    <sheet name="253CenBan" sheetId="9" r:id="rId11"/>
    <sheet name="343CenBan" sheetId="8" r:id="rId12"/>
    <sheet name="352CenBan" sheetId="6" r:id="rId13"/>
    <sheet name="352bibanda" sheetId="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4" i="16" l="1"/>
  <c r="AJ5" i="16"/>
  <c r="AJ6" i="16"/>
  <c r="AJ7" i="16"/>
  <c r="AJ8" i="16"/>
  <c r="AJ9" i="16"/>
  <c r="AJ3" i="16"/>
  <c r="F12" i="2" l="1"/>
  <c r="G12" i="2"/>
  <c r="E12" i="2"/>
  <c r="F9" i="1" l="1"/>
  <c r="B26" i="18" l="1"/>
  <c r="B25" i="18"/>
  <c r="B23" i="18"/>
  <c r="B22" i="18"/>
  <c r="B21" i="18"/>
  <c r="H19" i="18"/>
  <c r="B18" i="18"/>
  <c r="BP13" i="18"/>
  <c r="F26" i="18" s="1"/>
  <c r="BN13" i="18"/>
  <c r="H26" i="18" s="1"/>
  <c r="BM13" i="18"/>
  <c r="BO13" i="18" s="1"/>
  <c r="I26" i="18" s="1"/>
  <c r="BK13" i="18"/>
  <c r="BJ13" i="18"/>
  <c r="BL13" i="18" s="1"/>
  <c r="BI13" i="18"/>
  <c r="BH13" i="18"/>
  <c r="BG13" i="18"/>
  <c r="BF13" i="18"/>
  <c r="BE13" i="18"/>
  <c r="BD13" i="18"/>
  <c r="BC13" i="18"/>
  <c r="BB13" i="18"/>
  <c r="BA13" i="18"/>
  <c r="AZ13" i="18"/>
  <c r="AY13" i="18"/>
  <c r="AW13" i="18"/>
  <c r="AV13" i="18"/>
  <c r="AX13" i="18" s="1"/>
  <c r="AU13" i="18"/>
  <c r="AS13" i="18"/>
  <c r="AR13" i="18"/>
  <c r="AT13" i="18" s="1"/>
  <c r="AP13" i="18"/>
  <c r="AO13" i="18"/>
  <c r="AQ13" i="18" s="1"/>
  <c r="AN13" i="18"/>
  <c r="AL13" i="18"/>
  <c r="AK13" i="18"/>
  <c r="AM13" i="18" s="1"/>
  <c r="AJ13" i="18"/>
  <c r="AI13" i="18"/>
  <c r="AH13" i="18"/>
  <c r="AG13" i="18"/>
  <c r="AF13" i="18"/>
  <c r="AD13" i="18"/>
  <c r="AC13" i="18"/>
  <c r="AB13" i="18"/>
  <c r="AA13" i="18"/>
  <c r="Z13" i="18"/>
  <c r="Y13" i="18"/>
  <c r="X13" i="18"/>
  <c r="W13" i="18"/>
  <c r="U13" i="18"/>
  <c r="T13" i="18"/>
  <c r="V13" i="18" s="1"/>
  <c r="R13" i="18"/>
  <c r="Q13" i="18"/>
  <c r="S13" i="18" s="1"/>
  <c r="P13" i="18"/>
  <c r="O13" i="18"/>
  <c r="N13" i="18"/>
  <c r="L26" i="18" s="1"/>
  <c r="M13" i="18"/>
  <c r="K26" i="18" s="1"/>
  <c r="L13" i="18"/>
  <c r="AE13" i="18" s="1"/>
  <c r="BP12" i="18"/>
  <c r="BN12" i="18"/>
  <c r="H25" i="18" s="1"/>
  <c r="BM12" i="18"/>
  <c r="BO12" i="18" s="1"/>
  <c r="I25" i="18" s="1"/>
  <c r="BK12" i="18"/>
  <c r="BJ12" i="18"/>
  <c r="BL12" i="18" s="1"/>
  <c r="BI12" i="18"/>
  <c r="BH12" i="18"/>
  <c r="BG12" i="18"/>
  <c r="BF12" i="18"/>
  <c r="BE12" i="18"/>
  <c r="BD12" i="18"/>
  <c r="BC12" i="18"/>
  <c r="BB12" i="18"/>
  <c r="BA12" i="18"/>
  <c r="AZ12" i="18"/>
  <c r="AY12" i="18"/>
  <c r="AW12" i="18"/>
  <c r="AV12" i="18"/>
  <c r="AX12" i="18" s="1"/>
  <c r="AU12" i="18"/>
  <c r="AS12" i="18"/>
  <c r="AR12" i="18"/>
  <c r="AT12" i="18" s="1"/>
  <c r="AP12" i="18"/>
  <c r="AO12" i="18"/>
  <c r="AQ12" i="18" s="1"/>
  <c r="AN12" i="18"/>
  <c r="AL12" i="18"/>
  <c r="AK12" i="18"/>
  <c r="AM12" i="18" s="1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U12" i="18"/>
  <c r="T12" i="18"/>
  <c r="V12" i="18" s="1"/>
  <c r="R12" i="18"/>
  <c r="Q12" i="18"/>
  <c r="S12" i="18" s="1"/>
  <c r="P12" i="18"/>
  <c r="O12" i="18"/>
  <c r="N12" i="18"/>
  <c r="M12" i="18"/>
  <c r="L12" i="18"/>
  <c r="BP11" i="18"/>
  <c r="BN11" i="18"/>
  <c r="BM11" i="18"/>
  <c r="BO11" i="18" s="1"/>
  <c r="BK11" i="18"/>
  <c r="BJ11" i="18"/>
  <c r="BL11" i="18" s="1"/>
  <c r="BI11" i="18"/>
  <c r="BH11" i="18"/>
  <c r="H24" i="18" s="1"/>
  <c r="BG11" i="18"/>
  <c r="I24" i="18" s="1"/>
  <c r="BF11" i="18"/>
  <c r="F24" i="18" s="1"/>
  <c r="BE11" i="18"/>
  <c r="D24" i="18" s="1"/>
  <c r="BD11" i="18"/>
  <c r="BC11" i="18"/>
  <c r="BB11" i="18"/>
  <c r="BA11" i="18"/>
  <c r="AZ11" i="18"/>
  <c r="AY11" i="18"/>
  <c r="E24" i="18" s="1"/>
  <c r="AW11" i="18"/>
  <c r="AV11" i="18"/>
  <c r="AX11" i="18" s="1"/>
  <c r="AU11" i="18"/>
  <c r="AS11" i="18"/>
  <c r="AR11" i="18"/>
  <c r="AT11" i="18" s="1"/>
  <c r="AP11" i="18"/>
  <c r="AO11" i="18"/>
  <c r="AQ11" i="18" s="1"/>
  <c r="AN11" i="18"/>
  <c r="AL11" i="18"/>
  <c r="AK11" i="18"/>
  <c r="AM11" i="18" s="1"/>
  <c r="AJ11" i="18"/>
  <c r="AI11" i="18"/>
  <c r="AH11" i="18"/>
  <c r="AG11" i="18"/>
  <c r="AF11" i="18"/>
  <c r="AD11" i="18"/>
  <c r="AC11" i="18"/>
  <c r="AB11" i="18"/>
  <c r="AA11" i="18"/>
  <c r="Z11" i="18"/>
  <c r="Y11" i="18"/>
  <c r="X11" i="18"/>
  <c r="W11" i="18"/>
  <c r="U11" i="18"/>
  <c r="T11" i="18"/>
  <c r="V11" i="18" s="1"/>
  <c r="R11" i="18"/>
  <c r="Q11" i="18"/>
  <c r="S11" i="18" s="1"/>
  <c r="P11" i="18"/>
  <c r="O11" i="18"/>
  <c r="N11" i="18"/>
  <c r="L24" i="18" s="1"/>
  <c r="M11" i="18"/>
  <c r="K24" i="18" s="1"/>
  <c r="L11" i="18"/>
  <c r="AE11" i="18" s="1"/>
  <c r="BP10" i="18"/>
  <c r="BN10" i="18"/>
  <c r="BM10" i="18"/>
  <c r="BO10" i="18" s="1"/>
  <c r="BK10" i="18"/>
  <c r="BJ10" i="18"/>
  <c r="BL10" i="18" s="1"/>
  <c r="BI10" i="18"/>
  <c r="BH10" i="18"/>
  <c r="BG10" i="18"/>
  <c r="BF10" i="18"/>
  <c r="BE10" i="18"/>
  <c r="BD10" i="18"/>
  <c r="BC10" i="18"/>
  <c r="BB10" i="18"/>
  <c r="BA10" i="18"/>
  <c r="AZ10" i="18"/>
  <c r="AY10" i="18"/>
  <c r="AW10" i="18"/>
  <c r="H23" i="18" s="1"/>
  <c r="AV10" i="18"/>
  <c r="AU10" i="18"/>
  <c r="AS10" i="18"/>
  <c r="D23" i="18" s="1"/>
  <c r="AR10" i="18"/>
  <c r="AP10" i="18"/>
  <c r="AO10" i="18"/>
  <c r="AQ10" i="18" s="1"/>
  <c r="AN10" i="18"/>
  <c r="AL10" i="18"/>
  <c r="AK10" i="18"/>
  <c r="AM10" i="18" s="1"/>
  <c r="AJ10" i="18"/>
  <c r="AI10" i="18"/>
  <c r="AH10" i="18"/>
  <c r="AG10" i="18"/>
  <c r="AF10" i="18"/>
  <c r="AD10" i="18"/>
  <c r="AC10" i="18"/>
  <c r="AB10" i="18"/>
  <c r="AA10" i="18"/>
  <c r="Z10" i="18"/>
  <c r="Y10" i="18"/>
  <c r="X10" i="18"/>
  <c r="W10" i="18"/>
  <c r="U10" i="18"/>
  <c r="T10" i="18"/>
  <c r="V10" i="18" s="1"/>
  <c r="R10" i="18"/>
  <c r="Q10" i="18"/>
  <c r="S10" i="18" s="1"/>
  <c r="P10" i="18"/>
  <c r="O10" i="18"/>
  <c r="N10" i="18"/>
  <c r="M10" i="18"/>
  <c r="L10" i="18"/>
  <c r="AE10" i="18" s="1"/>
  <c r="BP9" i="18"/>
  <c r="BN9" i="18"/>
  <c r="BM9" i="18"/>
  <c r="BO9" i="18" s="1"/>
  <c r="BK9" i="18"/>
  <c r="BJ9" i="18"/>
  <c r="BL9" i="18" s="1"/>
  <c r="BI9" i="18"/>
  <c r="BH9" i="18"/>
  <c r="BG9" i="18"/>
  <c r="BF9" i="18"/>
  <c r="BE9" i="18"/>
  <c r="BD9" i="18"/>
  <c r="BC9" i="18"/>
  <c r="BB9" i="18"/>
  <c r="BA9" i="18"/>
  <c r="AZ9" i="18"/>
  <c r="AY9" i="18"/>
  <c r="AW9" i="18"/>
  <c r="AV9" i="18"/>
  <c r="AX9" i="18" s="1"/>
  <c r="AU9" i="18"/>
  <c r="AS9" i="18"/>
  <c r="AR9" i="18"/>
  <c r="AT9" i="18" s="1"/>
  <c r="AP9" i="18"/>
  <c r="AO9" i="18"/>
  <c r="AQ9" i="18" s="1"/>
  <c r="AN9" i="18"/>
  <c r="AL9" i="18"/>
  <c r="AK9" i="18"/>
  <c r="AM9" i="18" s="1"/>
  <c r="AJ9" i="18"/>
  <c r="AI9" i="18"/>
  <c r="AH9" i="18"/>
  <c r="AG9" i="18"/>
  <c r="AF9" i="18"/>
  <c r="AD9" i="18"/>
  <c r="AC9" i="18"/>
  <c r="AB9" i="18"/>
  <c r="AA9" i="18"/>
  <c r="Z9" i="18"/>
  <c r="Y9" i="18"/>
  <c r="X9" i="18"/>
  <c r="W9" i="18"/>
  <c r="U9" i="18"/>
  <c r="T9" i="18"/>
  <c r="V9" i="18" s="1"/>
  <c r="R9" i="18"/>
  <c r="Q9" i="18"/>
  <c r="S9" i="18" s="1"/>
  <c r="P9" i="18"/>
  <c r="O9" i="18"/>
  <c r="N9" i="18"/>
  <c r="M9" i="18"/>
  <c r="L9" i="18"/>
  <c r="AE9" i="18" s="1"/>
  <c r="BP8" i="18"/>
  <c r="BN8" i="18"/>
  <c r="BM8" i="18"/>
  <c r="BO8" i="18" s="1"/>
  <c r="BK8" i="18"/>
  <c r="BJ8" i="18"/>
  <c r="BL8" i="18" s="1"/>
  <c r="BI8" i="18"/>
  <c r="BH8" i="18"/>
  <c r="BG8" i="18"/>
  <c r="BF8" i="18"/>
  <c r="BE8" i="18"/>
  <c r="BD8" i="18"/>
  <c r="BC8" i="18"/>
  <c r="BB8" i="18"/>
  <c r="BA8" i="18"/>
  <c r="AZ8" i="18"/>
  <c r="AY8" i="18"/>
  <c r="AW8" i="18"/>
  <c r="AV8" i="18"/>
  <c r="AU8" i="18"/>
  <c r="AS8" i="18"/>
  <c r="AR8" i="18"/>
  <c r="AP8" i="18"/>
  <c r="AO8" i="18"/>
  <c r="AQ8" i="18" s="1"/>
  <c r="AN8" i="18"/>
  <c r="AL8" i="18"/>
  <c r="AK8" i="18"/>
  <c r="AM8" i="18" s="1"/>
  <c r="AJ8" i="18"/>
  <c r="AI8" i="18"/>
  <c r="AH8" i="18"/>
  <c r="AG8" i="18"/>
  <c r="AF8" i="18"/>
  <c r="AD8" i="18"/>
  <c r="AC8" i="18"/>
  <c r="AB8" i="18"/>
  <c r="AA8" i="18"/>
  <c r="Z8" i="18"/>
  <c r="Y8" i="18"/>
  <c r="X8" i="18"/>
  <c r="W8" i="18"/>
  <c r="U8" i="18"/>
  <c r="T8" i="18"/>
  <c r="V8" i="18" s="1"/>
  <c r="R8" i="18"/>
  <c r="Q8" i="18"/>
  <c r="S8" i="18" s="1"/>
  <c r="P8" i="18"/>
  <c r="O8" i="18"/>
  <c r="N8" i="18"/>
  <c r="M8" i="18"/>
  <c r="K21" i="18" s="1"/>
  <c r="L8" i="18"/>
  <c r="AE8" i="18" s="1"/>
  <c r="BP7" i="18"/>
  <c r="BN7" i="18"/>
  <c r="BM7" i="18"/>
  <c r="BO7" i="18" s="1"/>
  <c r="BK7" i="18"/>
  <c r="BJ7" i="18"/>
  <c r="BL7" i="18" s="1"/>
  <c r="BI7" i="18"/>
  <c r="BH7" i="18"/>
  <c r="H20" i="18" s="1"/>
  <c r="BG7" i="18"/>
  <c r="G20" i="18" s="1"/>
  <c r="BF7" i="18"/>
  <c r="F20" i="18" s="1"/>
  <c r="BE7" i="18"/>
  <c r="D20" i="18" s="1"/>
  <c r="BD7" i="18"/>
  <c r="C20" i="18" s="1"/>
  <c r="BC7" i="18"/>
  <c r="BB7" i="18"/>
  <c r="BA7" i="18"/>
  <c r="AZ7" i="18"/>
  <c r="AY7" i="18"/>
  <c r="AW7" i="18"/>
  <c r="AV7" i="18"/>
  <c r="AX7" i="18" s="1"/>
  <c r="AU7" i="18"/>
  <c r="AS7" i="18"/>
  <c r="AR7" i="18"/>
  <c r="AT7" i="18" s="1"/>
  <c r="AP7" i="18"/>
  <c r="AO7" i="18"/>
  <c r="AQ7" i="18" s="1"/>
  <c r="AN7" i="18"/>
  <c r="AL7" i="18"/>
  <c r="AK7" i="18"/>
  <c r="AM7" i="18" s="1"/>
  <c r="AJ7" i="18"/>
  <c r="AI7" i="18"/>
  <c r="AH7" i="18"/>
  <c r="AG7" i="18"/>
  <c r="AF7" i="18"/>
  <c r="AD7" i="18"/>
  <c r="AC7" i="18"/>
  <c r="AB7" i="18"/>
  <c r="AA7" i="18"/>
  <c r="Z7" i="18"/>
  <c r="Y7" i="18"/>
  <c r="X7" i="18"/>
  <c r="W7" i="18"/>
  <c r="U7" i="18"/>
  <c r="T7" i="18"/>
  <c r="V7" i="18" s="1"/>
  <c r="R7" i="18"/>
  <c r="Q7" i="18"/>
  <c r="S7" i="18" s="1"/>
  <c r="P7" i="18"/>
  <c r="O7" i="18"/>
  <c r="N7" i="18"/>
  <c r="L20" i="18" s="1"/>
  <c r="M7" i="18"/>
  <c r="K20" i="18" s="1"/>
  <c r="L7" i="18"/>
  <c r="AE7" i="18" s="1"/>
  <c r="BP6" i="18"/>
  <c r="BN6" i="18"/>
  <c r="BM6" i="18"/>
  <c r="BO6" i="18" s="1"/>
  <c r="BK6" i="18"/>
  <c r="BJ6" i="18"/>
  <c r="BL6" i="18" s="1"/>
  <c r="BI6" i="18"/>
  <c r="BH6" i="18"/>
  <c r="BG6" i="18"/>
  <c r="BF6" i="18"/>
  <c r="BE6" i="18"/>
  <c r="BD6" i="18"/>
  <c r="BC6" i="18"/>
  <c r="BB6" i="18"/>
  <c r="BA6" i="18"/>
  <c r="AZ6" i="18"/>
  <c r="AY6" i="18"/>
  <c r="AW6" i="18"/>
  <c r="AV6" i="18"/>
  <c r="AX6" i="18" s="1"/>
  <c r="AU6" i="18"/>
  <c r="AS6" i="18"/>
  <c r="AR6" i="18"/>
  <c r="AT6" i="18" s="1"/>
  <c r="AP6" i="18"/>
  <c r="AO6" i="18"/>
  <c r="AQ6" i="18" s="1"/>
  <c r="AN6" i="18"/>
  <c r="AL6" i="18"/>
  <c r="AK6" i="18"/>
  <c r="AM6" i="18" s="1"/>
  <c r="AJ6" i="18"/>
  <c r="AI6" i="18"/>
  <c r="AH6" i="18"/>
  <c r="AG6" i="18"/>
  <c r="AF6" i="18"/>
  <c r="AD6" i="18"/>
  <c r="AC6" i="18"/>
  <c r="AB6" i="18"/>
  <c r="AA6" i="18"/>
  <c r="I19" i="18" s="1"/>
  <c r="Z6" i="18"/>
  <c r="F19" i="18" s="1"/>
  <c r="Y6" i="18"/>
  <c r="D19" i="18" s="1"/>
  <c r="X6" i="18"/>
  <c r="E19" i="18" s="1"/>
  <c r="W6" i="18"/>
  <c r="U6" i="18"/>
  <c r="T6" i="18"/>
  <c r="V6" i="18" s="1"/>
  <c r="R6" i="18"/>
  <c r="Q6" i="18"/>
  <c r="S6" i="18" s="1"/>
  <c r="P6" i="18"/>
  <c r="O6" i="18"/>
  <c r="N6" i="18"/>
  <c r="L19" i="18" s="1"/>
  <c r="M6" i="18"/>
  <c r="K19" i="18" s="1"/>
  <c r="L6" i="18"/>
  <c r="AE6" i="18" s="1"/>
  <c r="BP5" i="18"/>
  <c r="BN5" i="18"/>
  <c r="BM5" i="18"/>
  <c r="BO5" i="18" s="1"/>
  <c r="BK5" i="18"/>
  <c r="BJ5" i="18"/>
  <c r="BL5" i="18" s="1"/>
  <c r="BI5" i="18"/>
  <c r="BH5" i="18"/>
  <c r="BG5" i="18"/>
  <c r="BF5" i="18"/>
  <c r="BE5" i="18"/>
  <c r="BD5" i="18"/>
  <c r="BC5" i="18"/>
  <c r="BB5" i="18"/>
  <c r="BA5" i="18"/>
  <c r="AZ5" i="18"/>
  <c r="AY5" i="18"/>
  <c r="AW5" i="18"/>
  <c r="AV5" i="18"/>
  <c r="AX5" i="18" s="1"/>
  <c r="AU5" i="18"/>
  <c r="AS5" i="18"/>
  <c r="AR5" i="18"/>
  <c r="AT5" i="18" s="1"/>
  <c r="AP5" i="18"/>
  <c r="AO5" i="18"/>
  <c r="AQ5" i="18" s="1"/>
  <c r="AN5" i="18"/>
  <c r="AL5" i="18"/>
  <c r="AK5" i="18"/>
  <c r="AM5" i="18" s="1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F18" i="18" s="1"/>
  <c r="U5" i="18"/>
  <c r="D18" i="18" s="1"/>
  <c r="T5" i="18"/>
  <c r="R5" i="18"/>
  <c r="Q5" i="18"/>
  <c r="S5" i="18" s="1"/>
  <c r="P5" i="18"/>
  <c r="O5" i="18"/>
  <c r="N5" i="18"/>
  <c r="L18" i="18" s="1"/>
  <c r="M5" i="18"/>
  <c r="K18" i="18" s="1"/>
  <c r="L5" i="18"/>
  <c r="J18" i="18" s="1"/>
  <c r="BP4" i="18"/>
  <c r="BN4" i="18"/>
  <c r="BM4" i="18"/>
  <c r="BO4" i="18" s="1"/>
  <c r="BK4" i="18"/>
  <c r="BJ4" i="18"/>
  <c r="BL4" i="18" s="1"/>
  <c r="BI4" i="18"/>
  <c r="BH4" i="18"/>
  <c r="BG4" i="18"/>
  <c r="BF4" i="18"/>
  <c r="BE4" i="18"/>
  <c r="BD4" i="18"/>
  <c r="BC4" i="18"/>
  <c r="BB4" i="18"/>
  <c r="BA4" i="18"/>
  <c r="AZ4" i="18"/>
  <c r="AY4" i="18"/>
  <c r="AW4" i="18"/>
  <c r="AV4" i="18"/>
  <c r="AX4" i="18" s="1"/>
  <c r="AU4" i="18"/>
  <c r="AS4" i="18"/>
  <c r="AR4" i="18"/>
  <c r="AT4" i="18" s="1"/>
  <c r="AP4" i="18"/>
  <c r="AO4" i="18"/>
  <c r="AQ4" i="18" s="1"/>
  <c r="AN4" i="18"/>
  <c r="AL4" i="18"/>
  <c r="AK4" i="18"/>
  <c r="AM4" i="18" s="1"/>
  <c r="AJ4" i="18"/>
  <c r="AI4" i="18"/>
  <c r="AH4" i="18"/>
  <c r="AG4" i="18"/>
  <c r="AF4" i="18"/>
  <c r="AD4" i="18"/>
  <c r="AC4" i="18"/>
  <c r="AB4" i="18"/>
  <c r="AA4" i="18"/>
  <c r="G17" i="18" s="1"/>
  <c r="Z4" i="18"/>
  <c r="F17" i="18" s="1"/>
  <c r="Y4" i="18"/>
  <c r="D17" i="18" s="1"/>
  <c r="X4" i="18"/>
  <c r="C17" i="18" s="1"/>
  <c r="W4" i="18"/>
  <c r="U4" i="18"/>
  <c r="T4" i="18"/>
  <c r="V4" i="18" s="1"/>
  <c r="R4" i="18"/>
  <c r="Q4" i="18"/>
  <c r="S4" i="18" s="1"/>
  <c r="P4" i="18"/>
  <c r="O4" i="18"/>
  <c r="N4" i="18"/>
  <c r="L17" i="18" s="1"/>
  <c r="M4" i="18"/>
  <c r="K17" i="18" s="1"/>
  <c r="L4" i="18"/>
  <c r="J17" i="18" s="1"/>
  <c r="BP3" i="18"/>
  <c r="BN3" i="18"/>
  <c r="BM3" i="18"/>
  <c r="BO3" i="18" s="1"/>
  <c r="BK3" i="18"/>
  <c r="BJ3" i="18"/>
  <c r="BL3" i="18" s="1"/>
  <c r="BI3" i="18"/>
  <c r="BH3" i="18"/>
  <c r="BG3" i="18"/>
  <c r="BF3" i="18"/>
  <c r="BE3" i="18"/>
  <c r="BD3" i="18"/>
  <c r="BC3" i="18"/>
  <c r="BB3" i="18"/>
  <c r="BA3" i="18"/>
  <c r="AZ3" i="18"/>
  <c r="AY3" i="18"/>
  <c r="AW3" i="18"/>
  <c r="AV3" i="18"/>
  <c r="AX3" i="18" s="1"/>
  <c r="AU3" i="18"/>
  <c r="AS3" i="18"/>
  <c r="AR3" i="18"/>
  <c r="AT3" i="18" s="1"/>
  <c r="AP3" i="18"/>
  <c r="AO3" i="18"/>
  <c r="AQ3" i="18" s="1"/>
  <c r="AN3" i="18"/>
  <c r="AL3" i="18"/>
  <c r="AK3" i="18"/>
  <c r="AM3" i="18" s="1"/>
  <c r="AJ3" i="18"/>
  <c r="AI3" i="18"/>
  <c r="AH3" i="18"/>
  <c r="AG3" i="18"/>
  <c r="AF3" i="18"/>
  <c r="AD3" i="18"/>
  <c r="AC3" i="18"/>
  <c r="AB3" i="18"/>
  <c r="AA3" i="18"/>
  <c r="Z3" i="18"/>
  <c r="Y3" i="18"/>
  <c r="X3" i="18"/>
  <c r="W3" i="18"/>
  <c r="U3" i="18"/>
  <c r="T3" i="18"/>
  <c r="V3" i="18" s="1"/>
  <c r="R3" i="18"/>
  <c r="D16" i="18" s="1"/>
  <c r="Q3" i="18"/>
  <c r="C16" i="18" s="1"/>
  <c r="P3" i="18"/>
  <c r="O3" i="18"/>
  <c r="N3" i="18"/>
  <c r="L16" i="18" s="1"/>
  <c r="M3" i="18"/>
  <c r="K16" i="18" s="1"/>
  <c r="L3" i="18"/>
  <c r="AE3" i="18" s="1"/>
  <c r="C18" i="18" l="1"/>
  <c r="E18" i="18" s="1"/>
  <c r="H21" i="18"/>
  <c r="H27" i="18" s="1"/>
  <c r="H28" i="18" s="1"/>
  <c r="D22" i="18"/>
  <c r="C21" i="18"/>
  <c r="L23" i="18"/>
  <c r="D21" i="18"/>
  <c r="L21" i="18"/>
  <c r="F21" i="18"/>
  <c r="G21" i="18"/>
  <c r="I21" i="18" s="1"/>
  <c r="J22" i="18"/>
  <c r="AE4" i="18"/>
  <c r="S3" i="18"/>
  <c r="E16" i="18" s="1"/>
  <c r="V5" i="18"/>
  <c r="G25" i="18"/>
  <c r="AT8" i="18"/>
  <c r="AX8" i="18"/>
  <c r="K22" i="18"/>
  <c r="K23" i="18"/>
  <c r="F23" i="18"/>
  <c r="L25" i="18"/>
  <c r="F25" i="18"/>
  <c r="L22" i="18"/>
  <c r="L27" i="18" s="1"/>
  <c r="I23" i="18"/>
  <c r="G23" i="18" s="1"/>
  <c r="AX10" i="18"/>
  <c r="F22" i="18"/>
  <c r="G26" i="18"/>
  <c r="E22" i="18"/>
  <c r="C22" i="18" s="1"/>
  <c r="E23" i="18"/>
  <c r="AT10" i="18"/>
  <c r="J19" i="18"/>
  <c r="K25" i="18"/>
  <c r="H37" i="16"/>
  <c r="H38" i="16" s="1"/>
  <c r="G37" i="16"/>
  <c r="I37" i="16" s="1"/>
  <c r="I38" i="16" s="1"/>
  <c r="H34" i="16"/>
  <c r="H35" i="16" s="1"/>
  <c r="H31" i="16"/>
  <c r="H32" i="16" s="1"/>
  <c r="G34" i="16"/>
  <c r="G35" i="16" s="1"/>
  <c r="I36" i="16"/>
  <c r="I35" i="16"/>
  <c r="G31" i="16"/>
  <c r="G32" i="16" s="1"/>
  <c r="F37" i="16"/>
  <c r="F38" i="16" s="1"/>
  <c r="F34" i="16"/>
  <c r="F36" i="16" s="1"/>
  <c r="F31" i="16"/>
  <c r="F32" i="16" s="1"/>
  <c r="I29" i="16"/>
  <c r="I30" i="16"/>
  <c r="D29" i="16"/>
  <c r="D30" i="16"/>
  <c r="H28" i="16"/>
  <c r="H29" i="16" s="1"/>
  <c r="G28" i="16"/>
  <c r="G29" i="16" s="1"/>
  <c r="F28" i="16"/>
  <c r="F30" i="16" s="1"/>
  <c r="C28" i="16"/>
  <c r="C29" i="16" s="1"/>
  <c r="B28" i="16"/>
  <c r="B30" i="16" s="1"/>
  <c r="J10" i="16"/>
  <c r="J13" i="16"/>
  <c r="J3" i="16"/>
  <c r="E31" i="16"/>
  <c r="E32" i="16"/>
  <c r="E33" i="16"/>
  <c r="E34" i="16"/>
  <c r="E35" i="16"/>
  <c r="E36" i="16"/>
  <c r="E37" i="16"/>
  <c r="E38" i="16"/>
  <c r="E39" i="16"/>
  <c r="H25" i="16"/>
  <c r="H26" i="16" s="1"/>
  <c r="G25" i="16"/>
  <c r="G27" i="16" s="1"/>
  <c r="F25" i="16"/>
  <c r="F26" i="16" s="1"/>
  <c r="C25" i="16"/>
  <c r="C26" i="16" s="1"/>
  <c r="B25" i="16"/>
  <c r="B27" i="16" s="1"/>
  <c r="G26" i="16"/>
  <c r="H19" i="16"/>
  <c r="H21" i="16" s="1"/>
  <c r="H22" i="16"/>
  <c r="H23" i="16" s="1"/>
  <c r="G22" i="16"/>
  <c r="G23" i="16" s="1"/>
  <c r="F22" i="16"/>
  <c r="F24" i="16" s="1"/>
  <c r="C22" i="16"/>
  <c r="C23" i="16" s="1"/>
  <c r="B22" i="16"/>
  <c r="B23" i="16" s="1"/>
  <c r="G24" i="16"/>
  <c r="G19" i="16"/>
  <c r="I19" i="16" s="1"/>
  <c r="F19" i="16"/>
  <c r="F20" i="16" s="1"/>
  <c r="C19" i="16"/>
  <c r="C21" i="16" s="1"/>
  <c r="B19" i="16"/>
  <c r="B21" i="16" s="1"/>
  <c r="H18" i="16"/>
  <c r="G18" i="16"/>
  <c r="F18" i="16"/>
  <c r="C18" i="16"/>
  <c r="B18" i="16"/>
  <c r="H17" i="16"/>
  <c r="G17" i="16"/>
  <c r="F17" i="16"/>
  <c r="C17" i="16"/>
  <c r="B17" i="16"/>
  <c r="H16" i="16"/>
  <c r="G16" i="16"/>
  <c r="F16" i="16"/>
  <c r="C16" i="16"/>
  <c r="B16" i="16"/>
  <c r="F13" i="16"/>
  <c r="F15" i="16" s="1"/>
  <c r="F10" i="16"/>
  <c r="F12" i="16" s="1"/>
  <c r="D13" i="16"/>
  <c r="D15" i="16" s="1"/>
  <c r="C13" i="16"/>
  <c r="C14" i="16" s="1"/>
  <c r="B13" i="16"/>
  <c r="B15" i="16" s="1"/>
  <c r="I15" i="16"/>
  <c r="H15" i="16"/>
  <c r="G15" i="16"/>
  <c r="I14" i="16"/>
  <c r="H14" i="16"/>
  <c r="G14" i="16"/>
  <c r="I12" i="16"/>
  <c r="H12" i="16"/>
  <c r="G12" i="16"/>
  <c r="I11" i="16"/>
  <c r="H11" i="16"/>
  <c r="G11" i="16"/>
  <c r="F11" i="16"/>
  <c r="C10" i="16"/>
  <c r="C12" i="16" s="1"/>
  <c r="D10" i="16"/>
  <c r="D11" i="16" s="1"/>
  <c r="B10" i="16"/>
  <c r="B12" i="16" s="1"/>
  <c r="D8" i="16"/>
  <c r="H8" i="16"/>
  <c r="I8" i="16"/>
  <c r="D9" i="16"/>
  <c r="H9" i="16"/>
  <c r="I9" i="16"/>
  <c r="G7" i="16"/>
  <c r="J7" i="16" s="1"/>
  <c r="F7" i="16"/>
  <c r="F8" i="16" s="1"/>
  <c r="C7" i="16"/>
  <c r="B7" i="16"/>
  <c r="B8" i="16" s="1"/>
  <c r="G6" i="16"/>
  <c r="J6" i="16" s="1"/>
  <c r="F6" i="16"/>
  <c r="C6" i="16"/>
  <c r="B6" i="16"/>
  <c r="G5" i="16"/>
  <c r="F5" i="16"/>
  <c r="C5" i="16"/>
  <c r="B5" i="16"/>
  <c r="G4" i="16"/>
  <c r="J4" i="16" s="1"/>
  <c r="F4" i="16"/>
  <c r="C4" i="16"/>
  <c r="E4" i="16" s="1"/>
  <c r="C3" i="16"/>
  <c r="D3" i="16"/>
  <c r="B3" i="16"/>
  <c r="H34" i="17"/>
  <c r="B32" i="17"/>
  <c r="H31" i="17"/>
  <c r="B29" i="17"/>
  <c r="H28" i="17"/>
  <c r="B25" i="17"/>
  <c r="B8" i="17"/>
  <c r="B6" i="17"/>
  <c r="J19" i="15"/>
  <c r="K19" i="15"/>
  <c r="L19" i="15"/>
  <c r="G31" i="15"/>
  <c r="E31" i="15"/>
  <c r="G30" i="15"/>
  <c r="E30" i="15"/>
  <c r="G11" i="15"/>
  <c r="E11" i="15"/>
  <c r="G17" i="15"/>
  <c r="E17" i="15"/>
  <c r="L32" i="15"/>
  <c r="K32" i="15"/>
  <c r="J32" i="15"/>
  <c r="L33" i="15"/>
  <c r="K33" i="15"/>
  <c r="J33" i="15"/>
  <c r="L29" i="15"/>
  <c r="K29" i="15"/>
  <c r="J29" i="15"/>
  <c r="L30" i="15"/>
  <c r="K30" i="15"/>
  <c r="J30" i="15"/>
  <c r="L24" i="15"/>
  <c r="K24" i="15"/>
  <c r="J24" i="15"/>
  <c r="L16" i="15"/>
  <c r="K16" i="15"/>
  <c r="J16" i="15"/>
  <c r="L28" i="15"/>
  <c r="K28" i="15"/>
  <c r="J28" i="15"/>
  <c r="L31" i="15"/>
  <c r="K31" i="15"/>
  <c r="J31" i="15"/>
  <c r="L26" i="15"/>
  <c r="K26" i="15"/>
  <c r="J26" i="15"/>
  <c r="L25" i="15"/>
  <c r="K25" i="15"/>
  <c r="J25" i="15"/>
  <c r="L27" i="15"/>
  <c r="K27" i="15"/>
  <c r="J27" i="15"/>
  <c r="L17" i="15"/>
  <c r="K17" i="15"/>
  <c r="J17" i="15"/>
  <c r="L12" i="15"/>
  <c r="K12" i="15"/>
  <c r="J12" i="15"/>
  <c r="L9" i="15"/>
  <c r="K9" i="15"/>
  <c r="J9" i="15"/>
  <c r="L23" i="15"/>
  <c r="J23" i="15"/>
  <c r="L11" i="15"/>
  <c r="J11" i="15"/>
  <c r="L6" i="15"/>
  <c r="J6" i="15"/>
  <c r="L22" i="15"/>
  <c r="J22" i="15"/>
  <c r="L10" i="15"/>
  <c r="J10" i="15"/>
  <c r="L8" i="15"/>
  <c r="J8" i="15"/>
  <c r="L2" i="15"/>
  <c r="J2" i="15"/>
  <c r="L21" i="15"/>
  <c r="J21" i="15"/>
  <c r="G29" i="15"/>
  <c r="E29" i="15"/>
  <c r="G10" i="15"/>
  <c r="E10" i="15"/>
  <c r="G5" i="15"/>
  <c r="E5" i="15"/>
  <c r="G16" i="15"/>
  <c r="E16" i="15"/>
  <c r="G2" i="15"/>
  <c r="E2" i="15"/>
  <c r="G9" i="15"/>
  <c r="E9" i="15"/>
  <c r="P31" i="15"/>
  <c r="O31" i="15"/>
  <c r="N31" i="15"/>
  <c r="P26" i="15"/>
  <c r="O26" i="15"/>
  <c r="N26" i="15"/>
  <c r="P25" i="15"/>
  <c r="O25" i="15"/>
  <c r="N25" i="15"/>
  <c r="P32" i="15"/>
  <c r="O32" i="15"/>
  <c r="N32" i="15"/>
  <c r="P23" i="15"/>
  <c r="O23" i="15"/>
  <c r="N23" i="15"/>
  <c r="P30" i="15"/>
  <c r="O30" i="15"/>
  <c r="N30" i="15"/>
  <c r="P11" i="15"/>
  <c r="O11" i="15"/>
  <c r="N11" i="15"/>
  <c r="P24" i="15"/>
  <c r="O24" i="15"/>
  <c r="N24" i="15"/>
  <c r="P6" i="15"/>
  <c r="O6" i="15"/>
  <c r="N6" i="15"/>
  <c r="P33" i="15"/>
  <c r="O33" i="15"/>
  <c r="N33" i="15"/>
  <c r="P22" i="15"/>
  <c r="O22" i="15"/>
  <c r="N22" i="15"/>
  <c r="P15" i="15"/>
  <c r="O15" i="15"/>
  <c r="N15" i="15"/>
  <c r="P29" i="15"/>
  <c r="O29" i="15"/>
  <c r="N29" i="15"/>
  <c r="P10" i="15"/>
  <c r="O10" i="15"/>
  <c r="N10" i="15"/>
  <c r="P5" i="15"/>
  <c r="O5" i="15"/>
  <c r="N5" i="15"/>
  <c r="P14" i="15"/>
  <c r="O14" i="15"/>
  <c r="N14" i="15"/>
  <c r="P21" i="15"/>
  <c r="O21" i="15"/>
  <c r="N21" i="15"/>
  <c r="P13" i="15"/>
  <c r="O13" i="15"/>
  <c r="N13" i="15"/>
  <c r="P27" i="15"/>
  <c r="N27" i="15"/>
  <c r="P17" i="15"/>
  <c r="N17" i="15"/>
  <c r="P12" i="15"/>
  <c r="N12" i="15"/>
  <c r="P16" i="15"/>
  <c r="N16" i="15"/>
  <c r="P28" i="15"/>
  <c r="N28" i="15"/>
  <c r="P8" i="15"/>
  <c r="N8" i="15"/>
  <c r="P2" i="15"/>
  <c r="N2" i="15"/>
  <c r="P7" i="15"/>
  <c r="N7" i="15"/>
  <c r="L7" i="15"/>
  <c r="J7" i="15"/>
  <c r="P3" i="15"/>
  <c r="N3" i="15"/>
  <c r="L4" i="15"/>
  <c r="J4" i="15"/>
  <c r="L20" i="15"/>
  <c r="K20" i="15"/>
  <c r="J20" i="15"/>
  <c r="L18" i="15"/>
  <c r="K18" i="15"/>
  <c r="J18" i="15"/>
  <c r="D27" i="18" l="1"/>
  <c r="D28" i="18" s="1"/>
  <c r="D29" i="18" s="1"/>
  <c r="Q19" i="15"/>
  <c r="C27" i="18"/>
  <c r="C28" i="18" s="1"/>
  <c r="C30" i="18" s="1"/>
  <c r="K27" i="18"/>
  <c r="U20" i="16"/>
  <c r="S28" i="16"/>
  <c r="U28" i="16" s="1"/>
  <c r="U9" i="16"/>
  <c r="U18" i="16"/>
  <c r="T16" i="16"/>
  <c r="T8" i="16"/>
  <c r="T4" i="16"/>
  <c r="T5" i="16"/>
  <c r="T24" i="16"/>
  <c r="T9" i="16"/>
  <c r="T18" i="16"/>
  <c r="U17" i="16"/>
  <c r="U8" i="16"/>
  <c r="S29" i="16"/>
  <c r="S8" i="16"/>
  <c r="S3" i="16"/>
  <c r="U21" i="16"/>
  <c r="S9" i="16"/>
  <c r="S19" i="16"/>
  <c r="U19" i="16" s="1"/>
  <c r="S4" i="16"/>
  <c r="U4" i="16" s="1"/>
  <c r="V4" i="16" s="1"/>
  <c r="S13" i="16"/>
  <c r="U13" i="16" s="1"/>
  <c r="S18" i="16"/>
  <c r="S21" i="16"/>
  <c r="S10" i="16"/>
  <c r="U10" i="16" s="1"/>
  <c r="S5" i="16"/>
  <c r="U5" i="16" s="1"/>
  <c r="S17" i="16"/>
  <c r="S20" i="16"/>
  <c r="H39" i="16"/>
  <c r="J27" i="18"/>
  <c r="O10" i="16"/>
  <c r="O4" i="16"/>
  <c r="O7" i="16"/>
  <c r="O15" i="16"/>
  <c r="O22" i="16"/>
  <c r="O8" i="16"/>
  <c r="O19" i="16"/>
  <c r="O9" i="16"/>
  <c r="O5" i="16"/>
  <c r="O24" i="16"/>
  <c r="O27" i="16"/>
  <c r="O23" i="16"/>
  <c r="O16" i="16"/>
  <c r="O14" i="16"/>
  <c r="Q28" i="15"/>
  <c r="U29" i="16"/>
  <c r="P15" i="16"/>
  <c r="N4" i="16"/>
  <c r="P4" i="16" s="1"/>
  <c r="Q4" i="16" s="1"/>
  <c r="P16" i="16"/>
  <c r="P8" i="16"/>
  <c r="N24" i="16"/>
  <c r="P24" i="16" s="1"/>
  <c r="N16" i="16"/>
  <c r="P9" i="16"/>
  <c r="N8" i="16"/>
  <c r="N9" i="16"/>
  <c r="N7" i="16"/>
  <c r="P7" i="16" s="1"/>
  <c r="N5" i="16"/>
  <c r="P5" i="16" s="1"/>
  <c r="N22" i="16"/>
  <c r="P22" i="16" s="1"/>
  <c r="Q22" i="16" s="1"/>
  <c r="N23" i="16"/>
  <c r="N14" i="16"/>
  <c r="P14" i="16" s="1"/>
  <c r="Q14" i="16" s="1"/>
  <c r="P23" i="16"/>
  <c r="N15" i="16"/>
  <c r="G39" i="16"/>
  <c r="H36" i="16"/>
  <c r="J5" i="16"/>
  <c r="U3" i="16"/>
  <c r="T3" i="16"/>
  <c r="G38" i="16"/>
  <c r="J38" i="16" s="1"/>
  <c r="I22" i="16"/>
  <c r="I24" i="16" s="1"/>
  <c r="F29" i="16"/>
  <c r="E16" i="16"/>
  <c r="J34" i="16"/>
  <c r="H20" i="16"/>
  <c r="E5" i="16"/>
  <c r="E6" i="16"/>
  <c r="E7" i="16"/>
  <c r="B11" i="16"/>
  <c r="N3" i="16" s="1"/>
  <c r="J16" i="16"/>
  <c r="C11" i="16"/>
  <c r="O3" i="16" s="1"/>
  <c r="D22" i="16"/>
  <c r="E22" i="16" s="1"/>
  <c r="B24" i="16"/>
  <c r="N28" i="16" s="1"/>
  <c r="P28" i="16" s="1"/>
  <c r="E10" i="16"/>
  <c r="E3" i="16"/>
  <c r="J14" i="16"/>
  <c r="J15" i="16"/>
  <c r="E17" i="16"/>
  <c r="J18" i="16"/>
  <c r="R18" i="16"/>
  <c r="R10" i="16"/>
  <c r="R21" i="16"/>
  <c r="R19" i="16"/>
  <c r="R17" i="16"/>
  <c r="R13" i="16"/>
  <c r="R4" i="16"/>
  <c r="R20" i="16"/>
  <c r="J11" i="16"/>
  <c r="G9" i="16"/>
  <c r="J9" i="16" s="1"/>
  <c r="J12" i="16"/>
  <c r="E18" i="16"/>
  <c r="F23" i="16"/>
  <c r="R23" i="16" s="1"/>
  <c r="B26" i="16"/>
  <c r="C30" i="16"/>
  <c r="E30" i="16" s="1"/>
  <c r="F21" i="16"/>
  <c r="B9" i="16"/>
  <c r="F9" i="16"/>
  <c r="G8" i="16"/>
  <c r="J8" i="16" s="1"/>
  <c r="D12" i="16"/>
  <c r="E12" i="16" s="1"/>
  <c r="J17" i="16"/>
  <c r="C20" i="16"/>
  <c r="F39" i="16"/>
  <c r="J19" i="16"/>
  <c r="I20" i="16"/>
  <c r="I21" i="16"/>
  <c r="J29" i="16"/>
  <c r="C8" i="16"/>
  <c r="E8" i="16" s="1"/>
  <c r="G30" i="16"/>
  <c r="F33" i="16"/>
  <c r="R6" i="16" s="1"/>
  <c r="G20" i="16"/>
  <c r="E13" i="16"/>
  <c r="F35" i="16"/>
  <c r="G33" i="16"/>
  <c r="S23" i="16" s="1"/>
  <c r="C9" i="16"/>
  <c r="F14" i="16"/>
  <c r="D19" i="16"/>
  <c r="B20" i="16"/>
  <c r="E28" i="16"/>
  <c r="B29" i="16"/>
  <c r="E29" i="16" s="1"/>
  <c r="I31" i="16"/>
  <c r="J31" i="16" s="1"/>
  <c r="G36" i="16"/>
  <c r="J36" i="16" s="1"/>
  <c r="G21" i="16"/>
  <c r="B14" i="16"/>
  <c r="J28" i="16"/>
  <c r="H30" i="16"/>
  <c r="F27" i="18"/>
  <c r="F28" i="18" s="1"/>
  <c r="F29" i="18" s="1"/>
  <c r="F30" i="18" s="1"/>
  <c r="G27" i="18"/>
  <c r="G28" i="18" s="1"/>
  <c r="G29" i="18" s="1"/>
  <c r="H30" i="18"/>
  <c r="H29" i="18"/>
  <c r="E27" i="18"/>
  <c r="E28" i="18" s="1"/>
  <c r="I27" i="18"/>
  <c r="I28" i="18" s="1"/>
  <c r="I39" i="16"/>
  <c r="J39" i="16" s="1"/>
  <c r="J37" i="16"/>
  <c r="H33" i="16"/>
  <c r="T23" i="16" s="1"/>
  <c r="J35" i="16"/>
  <c r="F27" i="16"/>
  <c r="R29" i="16" s="1"/>
  <c r="D25" i="16"/>
  <c r="E25" i="16" s="1"/>
  <c r="I25" i="16"/>
  <c r="J25" i="16" s="1"/>
  <c r="C27" i="16"/>
  <c r="H27" i="16"/>
  <c r="C24" i="16"/>
  <c r="O25" i="16" s="1"/>
  <c r="H24" i="16"/>
  <c r="T21" i="16" s="1"/>
  <c r="D14" i="16"/>
  <c r="C15" i="16"/>
  <c r="E15" i="16" s="1"/>
  <c r="Q4" i="15"/>
  <c r="Q15" i="15"/>
  <c r="Q6" i="15"/>
  <c r="Q16" i="15"/>
  <c r="Q33" i="15"/>
  <c r="Q7" i="15"/>
  <c r="Q8" i="15"/>
  <c r="Q25" i="15"/>
  <c r="Q18" i="15"/>
  <c r="Q20" i="15"/>
  <c r="Q3" i="15"/>
  <c r="Q13" i="15"/>
  <c r="Q14" i="15"/>
  <c r="Q23" i="15"/>
  <c r="Q5" i="15"/>
  <c r="Q2" i="15"/>
  <c r="Q10" i="15"/>
  <c r="Q17" i="15"/>
  <c r="Q30" i="15"/>
  <c r="Q26" i="15"/>
  <c r="Q32" i="15"/>
  <c r="Q21" i="15"/>
  <c r="Q22" i="15"/>
  <c r="Q9" i="15"/>
  <c r="Q12" i="15"/>
  <c r="Q24" i="15"/>
  <c r="Q11" i="15"/>
  <c r="Q27" i="15"/>
  <c r="Q29" i="15"/>
  <c r="Q31" i="15"/>
  <c r="B26" i="14"/>
  <c r="B24" i="14"/>
  <c r="B25" i="14"/>
  <c r="B23" i="14"/>
  <c r="B22" i="14"/>
  <c r="B21" i="14"/>
  <c r="H19" i="14"/>
  <c r="B18" i="14"/>
  <c r="K16" i="14"/>
  <c r="BP13" i="14"/>
  <c r="BN13" i="14"/>
  <c r="H26" i="14" s="1"/>
  <c r="BM13" i="14"/>
  <c r="G26" i="14" s="1"/>
  <c r="BK13" i="14"/>
  <c r="BJ13" i="14"/>
  <c r="BL13" i="14" s="1"/>
  <c r="BI13" i="14"/>
  <c r="BH13" i="14"/>
  <c r="BG13" i="14"/>
  <c r="BF13" i="14"/>
  <c r="BE13" i="14"/>
  <c r="BD13" i="14"/>
  <c r="BC13" i="14"/>
  <c r="BB13" i="14"/>
  <c r="BA13" i="14"/>
  <c r="AZ13" i="14"/>
  <c r="AY13" i="14"/>
  <c r="AW13" i="14"/>
  <c r="AV13" i="14"/>
  <c r="AX13" i="14" s="1"/>
  <c r="AU13" i="14"/>
  <c r="AS13" i="14"/>
  <c r="AR13" i="14"/>
  <c r="AT13" i="14" s="1"/>
  <c r="AP13" i="14"/>
  <c r="AO13" i="14"/>
  <c r="AQ13" i="14" s="1"/>
  <c r="AN13" i="14"/>
  <c r="AL13" i="14"/>
  <c r="AK13" i="14"/>
  <c r="AM13" i="14" s="1"/>
  <c r="AJ13" i="14"/>
  <c r="AI13" i="14"/>
  <c r="AH13" i="14"/>
  <c r="AG13" i="14"/>
  <c r="AF13" i="14"/>
  <c r="AD13" i="14"/>
  <c r="AC13" i="14"/>
  <c r="AB13" i="14"/>
  <c r="AA13" i="14"/>
  <c r="Z13" i="14"/>
  <c r="Y13" i="14"/>
  <c r="X13" i="14"/>
  <c r="W13" i="14"/>
  <c r="U13" i="14"/>
  <c r="T13" i="14"/>
  <c r="V13" i="14" s="1"/>
  <c r="R13" i="14"/>
  <c r="Q13" i="14"/>
  <c r="S13" i="14" s="1"/>
  <c r="P13" i="14"/>
  <c r="O13" i="14"/>
  <c r="N13" i="14"/>
  <c r="M13" i="14"/>
  <c r="L13" i="14"/>
  <c r="AE13" i="14" s="1"/>
  <c r="BP12" i="14"/>
  <c r="BN12" i="14"/>
  <c r="BM12" i="14"/>
  <c r="BO12" i="14" s="1"/>
  <c r="BK12" i="14"/>
  <c r="BJ12" i="14"/>
  <c r="BL12" i="14" s="1"/>
  <c r="BI12" i="14"/>
  <c r="BH12" i="14"/>
  <c r="BG12" i="14"/>
  <c r="BF12" i="14"/>
  <c r="BE12" i="14"/>
  <c r="BD12" i="14"/>
  <c r="BC12" i="14"/>
  <c r="BB12" i="14"/>
  <c r="BA12" i="14"/>
  <c r="AZ12" i="14"/>
  <c r="AY12" i="14"/>
  <c r="AW12" i="14"/>
  <c r="AV12" i="14"/>
  <c r="AX12" i="14" s="1"/>
  <c r="AU12" i="14"/>
  <c r="AS12" i="14"/>
  <c r="AR12" i="14"/>
  <c r="AT12" i="14" s="1"/>
  <c r="AP12" i="14"/>
  <c r="AO12" i="14"/>
  <c r="AQ12" i="14" s="1"/>
  <c r="AN12" i="14"/>
  <c r="AL12" i="14"/>
  <c r="AK12" i="14"/>
  <c r="AM12" i="14" s="1"/>
  <c r="AJ12" i="14"/>
  <c r="AI12" i="14"/>
  <c r="AH12" i="14"/>
  <c r="AG12" i="14"/>
  <c r="AF12" i="14"/>
  <c r="AD12" i="14"/>
  <c r="AC12" i="14"/>
  <c r="AB12" i="14"/>
  <c r="AA12" i="14"/>
  <c r="Z12" i="14"/>
  <c r="Y12" i="14"/>
  <c r="X12" i="14"/>
  <c r="W12" i="14"/>
  <c r="U12" i="14"/>
  <c r="D25" i="14" s="1"/>
  <c r="T12" i="14"/>
  <c r="V12" i="14" s="1"/>
  <c r="R12" i="14"/>
  <c r="Q12" i="14"/>
  <c r="S12" i="14" s="1"/>
  <c r="P12" i="14"/>
  <c r="O12" i="14"/>
  <c r="N12" i="14"/>
  <c r="M12" i="14"/>
  <c r="L12" i="14"/>
  <c r="J25" i="14" s="1"/>
  <c r="BP11" i="14"/>
  <c r="F24" i="14" s="1"/>
  <c r="BN11" i="14"/>
  <c r="H24" i="14" s="1"/>
  <c r="BM11" i="14"/>
  <c r="BO11" i="14" s="1"/>
  <c r="I24" i="14" s="1"/>
  <c r="BK11" i="14"/>
  <c r="BJ11" i="14"/>
  <c r="BL11" i="14" s="1"/>
  <c r="BI11" i="14"/>
  <c r="BH11" i="14"/>
  <c r="BG11" i="14"/>
  <c r="BF11" i="14"/>
  <c r="BE11" i="14"/>
  <c r="BD11" i="14"/>
  <c r="BC11" i="14"/>
  <c r="BB11" i="14"/>
  <c r="BA11" i="14"/>
  <c r="AZ11" i="14"/>
  <c r="AY11" i="14"/>
  <c r="AW11" i="14"/>
  <c r="AV11" i="14"/>
  <c r="AX11" i="14" s="1"/>
  <c r="AU11" i="14"/>
  <c r="AS11" i="14"/>
  <c r="AR11" i="14"/>
  <c r="AT11" i="14" s="1"/>
  <c r="AP11" i="14"/>
  <c r="AO11" i="14"/>
  <c r="AQ11" i="14" s="1"/>
  <c r="AN11" i="14"/>
  <c r="AL11" i="14"/>
  <c r="AK11" i="14"/>
  <c r="AM11" i="14" s="1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U11" i="14"/>
  <c r="T11" i="14"/>
  <c r="V11" i="14" s="1"/>
  <c r="R11" i="14"/>
  <c r="Q11" i="14"/>
  <c r="S11" i="14" s="1"/>
  <c r="P11" i="14"/>
  <c r="O11" i="14"/>
  <c r="N11" i="14"/>
  <c r="L24" i="14" s="1"/>
  <c r="M11" i="14"/>
  <c r="K24" i="14" s="1"/>
  <c r="L11" i="14"/>
  <c r="BP10" i="14"/>
  <c r="BN10" i="14"/>
  <c r="BM10" i="14"/>
  <c r="BO10" i="14" s="1"/>
  <c r="BK10" i="14"/>
  <c r="BJ10" i="14"/>
  <c r="BL10" i="14" s="1"/>
  <c r="BI10" i="14"/>
  <c r="BH10" i="14"/>
  <c r="BG10" i="14"/>
  <c r="BF10" i="14"/>
  <c r="BE10" i="14"/>
  <c r="BD10" i="14"/>
  <c r="BC10" i="14"/>
  <c r="BB10" i="14"/>
  <c r="BA10" i="14"/>
  <c r="AZ10" i="14"/>
  <c r="AY10" i="14"/>
  <c r="AW10" i="14"/>
  <c r="AV10" i="14"/>
  <c r="AX10" i="14" s="1"/>
  <c r="AU10" i="14"/>
  <c r="AS10" i="14"/>
  <c r="AR10" i="14"/>
  <c r="AT10" i="14" s="1"/>
  <c r="AP10" i="14"/>
  <c r="AO10" i="14"/>
  <c r="AQ10" i="14" s="1"/>
  <c r="AN10" i="14"/>
  <c r="AL10" i="14"/>
  <c r="AK10" i="14"/>
  <c r="AM10" i="14" s="1"/>
  <c r="AJ10" i="14"/>
  <c r="AI10" i="14"/>
  <c r="AH10" i="14"/>
  <c r="AG10" i="14"/>
  <c r="AF10" i="14"/>
  <c r="AD10" i="14"/>
  <c r="AC10" i="14"/>
  <c r="AB10" i="14"/>
  <c r="AA10" i="14"/>
  <c r="Z10" i="14"/>
  <c r="Y10" i="14"/>
  <c r="X10" i="14"/>
  <c r="W10" i="14"/>
  <c r="U10" i="14"/>
  <c r="T10" i="14"/>
  <c r="V10" i="14" s="1"/>
  <c r="R10" i="14"/>
  <c r="Q10" i="14"/>
  <c r="S10" i="14" s="1"/>
  <c r="P10" i="14"/>
  <c r="O10" i="14"/>
  <c r="N10" i="14"/>
  <c r="M10" i="14"/>
  <c r="L10" i="14"/>
  <c r="AE10" i="14" s="1"/>
  <c r="BP9" i="14"/>
  <c r="BN9" i="14"/>
  <c r="BM9" i="14"/>
  <c r="BO9" i="14" s="1"/>
  <c r="BK9" i="14"/>
  <c r="BJ9" i="14"/>
  <c r="BL9" i="14" s="1"/>
  <c r="BI9" i="14"/>
  <c r="BH9" i="14"/>
  <c r="BG9" i="14"/>
  <c r="BF9" i="14"/>
  <c r="BE9" i="14"/>
  <c r="BD9" i="14"/>
  <c r="BC9" i="14"/>
  <c r="BB9" i="14"/>
  <c r="BA9" i="14"/>
  <c r="AZ9" i="14"/>
  <c r="AY9" i="14"/>
  <c r="AW9" i="14"/>
  <c r="AV9" i="14"/>
  <c r="AX9" i="14" s="1"/>
  <c r="AU9" i="14"/>
  <c r="AS9" i="14"/>
  <c r="AR9" i="14"/>
  <c r="AT9" i="14" s="1"/>
  <c r="AP9" i="14"/>
  <c r="AO9" i="14"/>
  <c r="AQ9" i="14" s="1"/>
  <c r="AN9" i="14"/>
  <c r="AL9" i="14"/>
  <c r="AK9" i="14"/>
  <c r="AM9" i="14" s="1"/>
  <c r="AJ9" i="14"/>
  <c r="AI9" i="14"/>
  <c r="AH9" i="14"/>
  <c r="AG9" i="14"/>
  <c r="AF9" i="14"/>
  <c r="AD9" i="14"/>
  <c r="AC9" i="14"/>
  <c r="AB9" i="14"/>
  <c r="AA9" i="14"/>
  <c r="Z9" i="14"/>
  <c r="Y9" i="14"/>
  <c r="X9" i="14"/>
  <c r="W9" i="14"/>
  <c r="F22" i="14" s="1"/>
  <c r="U9" i="14"/>
  <c r="T9" i="14"/>
  <c r="V9" i="14" s="1"/>
  <c r="R9" i="14"/>
  <c r="Q9" i="14"/>
  <c r="S9" i="14" s="1"/>
  <c r="P9" i="14"/>
  <c r="O9" i="14"/>
  <c r="N9" i="14"/>
  <c r="M9" i="14"/>
  <c r="K22" i="14" s="1"/>
  <c r="L9" i="14"/>
  <c r="AE9" i="14" s="1"/>
  <c r="BP8" i="14"/>
  <c r="BN8" i="14"/>
  <c r="BM8" i="14"/>
  <c r="BO8" i="14" s="1"/>
  <c r="BK8" i="14"/>
  <c r="BJ8" i="14"/>
  <c r="BL8" i="14" s="1"/>
  <c r="BI8" i="14"/>
  <c r="BH8" i="14"/>
  <c r="BG8" i="14"/>
  <c r="BF8" i="14"/>
  <c r="BE8" i="14"/>
  <c r="BD8" i="14"/>
  <c r="BC8" i="14"/>
  <c r="BB8" i="14"/>
  <c r="BA8" i="14"/>
  <c r="F21" i="14" s="1"/>
  <c r="AZ8" i="14"/>
  <c r="D21" i="14" s="1"/>
  <c r="AY8" i="14"/>
  <c r="AW8" i="14"/>
  <c r="AV8" i="14"/>
  <c r="AX8" i="14" s="1"/>
  <c r="AU8" i="14"/>
  <c r="AS8" i="14"/>
  <c r="AR8" i="14"/>
  <c r="AT8" i="14" s="1"/>
  <c r="AP8" i="14"/>
  <c r="AO8" i="14"/>
  <c r="AQ8" i="14" s="1"/>
  <c r="AN8" i="14"/>
  <c r="AL8" i="14"/>
  <c r="AK8" i="14"/>
  <c r="AM8" i="14" s="1"/>
  <c r="AJ8" i="14"/>
  <c r="AI8" i="14"/>
  <c r="AH8" i="14"/>
  <c r="AG8" i="14"/>
  <c r="AF8" i="14"/>
  <c r="AD8" i="14"/>
  <c r="AC8" i="14"/>
  <c r="AB8" i="14"/>
  <c r="AA8" i="14"/>
  <c r="Z8" i="14"/>
  <c r="Y8" i="14"/>
  <c r="X8" i="14"/>
  <c r="W8" i="14"/>
  <c r="U8" i="14"/>
  <c r="T8" i="14"/>
  <c r="V8" i="14" s="1"/>
  <c r="R8" i="14"/>
  <c r="Q8" i="14"/>
  <c r="S8" i="14" s="1"/>
  <c r="P8" i="14"/>
  <c r="O8" i="14"/>
  <c r="N8" i="14"/>
  <c r="L21" i="14" s="1"/>
  <c r="M8" i="14"/>
  <c r="K21" i="14" s="1"/>
  <c r="L8" i="14"/>
  <c r="AE8" i="14" s="1"/>
  <c r="BP7" i="14"/>
  <c r="BN7" i="14"/>
  <c r="BM7" i="14"/>
  <c r="BO7" i="14" s="1"/>
  <c r="BK7" i="14"/>
  <c r="BJ7" i="14"/>
  <c r="BL7" i="14" s="1"/>
  <c r="BI7" i="14"/>
  <c r="BH7" i="14"/>
  <c r="H20" i="14" s="1"/>
  <c r="BG7" i="14"/>
  <c r="G20" i="14" s="1"/>
  <c r="BF7" i="14"/>
  <c r="F20" i="14" s="1"/>
  <c r="BE7" i="14"/>
  <c r="D20" i="14" s="1"/>
  <c r="BD7" i="14"/>
  <c r="C20" i="14" s="1"/>
  <c r="BC7" i="14"/>
  <c r="BB7" i="14"/>
  <c r="BA7" i="14"/>
  <c r="AZ7" i="14"/>
  <c r="AY7" i="14"/>
  <c r="AW7" i="14"/>
  <c r="AV7" i="14"/>
  <c r="AX7" i="14" s="1"/>
  <c r="AU7" i="14"/>
  <c r="AS7" i="14"/>
  <c r="AR7" i="14"/>
  <c r="AT7" i="14" s="1"/>
  <c r="AP7" i="14"/>
  <c r="AO7" i="14"/>
  <c r="AQ7" i="14" s="1"/>
  <c r="AN7" i="14"/>
  <c r="AL7" i="14"/>
  <c r="AK7" i="14"/>
  <c r="AM7" i="14" s="1"/>
  <c r="AJ7" i="14"/>
  <c r="AI7" i="14"/>
  <c r="AH7" i="14"/>
  <c r="AG7" i="14"/>
  <c r="AF7" i="14"/>
  <c r="AD7" i="14"/>
  <c r="AC7" i="14"/>
  <c r="AB7" i="14"/>
  <c r="AA7" i="14"/>
  <c r="Z7" i="14"/>
  <c r="Y7" i="14"/>
  <c r="X7" i="14"/>
  <c r="W7" i="14"/>
  <c r="U7" i="14"/>
  <c r="T7" i="14"/>
  <c r="V7" i="14" s="1"/>
  <c r="R7" i="14"/>
  <c r="Q7" i="14"/>
  <c r="S7" i="14" s="1"/>
  <c r="P7" i="14"/>
  <c r="O7" i="14"/>
  <c r="N7" i="14"/>
  <c r="L20" i="14" s="1"/>
  <c r="M7" i="14"/>
  <c r="K20" i="14" s="1"/>
  <c r="L7" i="14"/>
  <c r="AE7" i="14" s="1"/>
  <c r="BP6" i="14"/>
  <c r="BN6" i="14"/>
  <c r="BM6" i="14"/>
  <c r="BO6" i="14" s="1"/>
  <c r="BK6" i="14"/>
  <c r="BJ6" i="14"/>
  <c r="BL6" i="14" s="1"/>
  <c r="BI6" i="14"/>
  <c r="BH6" i="14"/>
  <c r="BG6" i="14"/>
  <c r="BF6" i="14"/>
  <c r="BE6" i="14"/>
  <c r="BD6" i="14"/>
  <c r="BC6" i="14"/>
  <c r="BB6" i="14"/>
  <c r="BA6" i="14"/>
  <c r="AZ6" i="14"/>
  <c r="AY6" i="14"/>
  <c r="AW6" i="14"/>
  <c r="AV6" i="14"/>
  <c r="AX6" i="14" s="1"/>
  <c r="AU6" i="14"/>
  <c r="AS6" i="14"/>
  <c r="AR6" i="14"/>
  <c r="AT6" i="14" s="1"/>
  <c r="AP6" i="14"/>
  <c r="AO6" i="14"/>
  <c r="AQ6" i="14" s="1"/>
  <c r="AN6" i="14"/>
  <c r="AL6" i="14"/>
  <c r="AK6" i="14"/>
  <c r="AM6" i="14" s="1"/>
  <c r="AJ6" i="14"/>
  <c r="AI6" i="14"/>
  <c r="AH6" i="14"/>
  <c r="AG6" i="14"/>
  <c r="AF6" i="14"/>
  <c r="AD6" i="14"/>
  <c r="AC6" i="14"/>
  <c r="AB6" i="14"/>
  <c r="AA6" i="14"/>
  <c r="I19" i="14" s="1"/>
  <c r="Z6" i="14"/>
  <c r="F19" i="14" s="1"/>
  <c r="Y6" i="14"/>
  <c r="D19" i="14" s="1"/>
  <c r="X6" i="14"/>
  <c r="E19" i="14" s="1"/>
  <c r="W6" i="14"/>
  <c r="U6" i="14"/>
  <c r="T6" i="14"/>
  <c r="V6" i="14" s="1"/>
  <c r="R6" i="14"/>
  <c r="Q6" i="14"/>
  <c r="S6" i="14" s="1"/>
  <c r="P6" i="14"/>
  <c r="O6" i="14"/>
  <c r="N6" i="14"/>
  <c r="L19" i="14" s="1"/>
  <c r="M6" i="14"/>
  <c r="K19" i="14" s="1"/>
  <c r="L6" i="14"/>
  <c r="J19" i="14" s="1"/>
  <c r="BP5" i="14"/>
  <c r="BN5" i="14"/>
  <c r="BM5" i="14"/>
  <c r="BO5" i="14" s="1"/>
  <c r="BK5" i="14"/>
  <c r="BJ5" i="14"/>
  <c r="BL5" i="14" s="1"/>
  <c r="BI5" i="14"/>
  <c r="BH5" i="14"/>
  <c r="BG5" i="14"/>
  <c r="BF5" i="14"/>
  <c r="BE5" i="14"/>
  <c r="BD5" i="14"/>
  <c r="BC5" i="14"/>
  <c r="BB5" i="14"/>
  <c r="BA5" i="14"/>
  <c r="AZ5" i="14"/>
  <c r="AY5" i="14"/>
  <c r="AW5" i="14"/>
  <c r="AV5" i="14"/>
  <c r="AX5" i="14" s="1"/>
  <c r="AU5" i="14"/>
  <c r="AS5" i="14"/>
  <c r="AR5" i="14"/>
  <c r="AT5" i="14" s="1"/>
  <c r="AP5" i="14"/>
  <c r="AO5" i="14"/>
  <c r="AQ5" i="14" s="1"/>
  <c r="AN5" i="14"/>
  <c r="AL5" i="14"/>
  <c r="AK5" i="14"/>
  <c r="AM5" i="14" s="1"/>
  <c r="AJ5" i="14"/>
  <c r="AI5" i="14"/>
  <c r="AH5" i="14"/>
  <c r="AG5" i="14"/>
  <c r="AF5" i="14"/>
  <c r="AD5" i="14"/>
  <c r="AC5" i="14"/>
  <c r="AB5" i="14"/>
  <c r="AA5" i="14"/>
  <c r="Z5" i="14"/>
  <c r="Y5" i="14"/>
  <c r="X5" i="14"/>
  <c r="W5" i="14"/>
  <c r="U5" i="14"/>
  <c r="T5" i="14"/>
  <c r="C18" i="14" s="1"/>
  <c r="E18" i="14" s="1"/>
  <c r="R5" i="14"/>
  <c r="Q5" i="14"/>
  <c r="S5" i="14" s="1"/>
  <c r="P5" i="14"/>
  <c r="O5" i="14"/>
  <c r="N5" i="14"/>
  <c r="L18" i="14" s="1"/>
  <c r="M5" i="14"/>
  <c r="L5" i="14"/>
  <c r="BP4" i="14"/>
  <c r="BN4" i="14"/>
  <c r="BM4" i="14"/>
  <c r="BO4" i="14" s="1"/>
  <c r="BK4" i="14"/>
  <c r="BJ4" i="14"/>
  <c r="BL4" i="14" s="1"/>
  <c r="BI4" i="14"/>
  <c r="BH4" i="14"/>
  <c r="BG4" i="14"/>
  <c r="BF4" i="14"/>
  <c r="BE4" i="14"/>
  <c r="BD4" i="14"/>
  <c r="BC4" i="14"/>
  <c r="BB4" i="14"/>
  <c r="BA4" i="14"/>
  <c r="AZ4" i="14"/>
  <c r="AY4" i="14"/>
  <c r="AW4" i="14"/>
  <c r="AV4" i="14"/>
  <c r="AX4" i="14" s="1"/>
  <c r="AU4" i="14"/>
  <c r="AS4" i="14"/>
  <c r="AR4" i="14"/>
  <c r="AT4" i="14" s="1"/>
  <c r="AP4" i="14"/>
  <c r="AO4" i="14"/>
  <c r="AQ4" i="14" s="1"/>
  <c r="AN4" i="14"/>
  <c r="AL4" i="14"/>
  <c r="AK4" i="14"/>
  <c r="AM4" i="14" s="1"/>
  <c r="AJ4" i="14"/>
  <c r="AI4" i="14"/>
  <c r="AH4" i="14"/>
  <c r="AG4" i="14"/>
  <c r="AF4" i="14"/>
  <c r="AD4" i="14"/>
  <c r="AC4" i="14"/>
  <c r="AB4" i="14"/>
  <c r="AA4" i="14"/>
  <c r="G17" i="14" s="1"/>
  <c r="Z4" i="14"/>
  <c r="F17" i="14" s="1"/>
  <c r="Y4" i="14"/>
  <c r="D17" i="14" s="1"/>
  <c r="X4" i="14"/>
  <c r="C17" i="14" s="1"/>
  <c r="W4" i="14"/>
  <c r="U4" i="14"/>
  <c r="T4" i="14"/>
  <c r="V4" i="14" s="1"/>
  <c r="R4" i="14"/>
  <c r="Q4" i="14"/>
  <c r="S4" i="14" s="1"/>
  <c r="P4" i="14"/>
  <c r="O4" i="14"/>
  <c r="N4" i="14"/>
  <c r="L17" i="14" s="1"/>
  <c r="M4" i="14"/>
  <c r="K17" i="14" s="1"/>
  <c r="L4" i="14"/>
  <c r="J17" i="14" s="1"/>
  <c r="BP3" i="14"/>
  <c r="BN3" i="14"/>
  <c r="BM3" i="14"/>
  <c r="BO3" i="14" s="1"/>
  <c r="BK3" i="14"/>
  <c r="BJ3" i="14"/>
  <c r="BL3" i="14" s="1"/>
  <c r="BI3" i="14"/>
  <c r="BH3" i="14"/>
  <c r="BG3" i="14"/>
  <c r="BF3" i="14"/>
  <c r="BE3" i="14"/>
  <c r="BD3" i="14"/>
  <c r="BC3" i="14"/>
  <c r="BB3" i="14"/>
  <c r="BA3" i="14"/>
  <c r="AZ3" i="14"/>
  <c r="AY3" i="14"/>
  <c r="C21" i="14" s="1"/>
  <c r="AW3" i="14"/>
  <c r="AV3" i="14"/>
  <c r="AX3" i="14" s="1"/>
  <c r="AU3" i="14"/>
  <c r="AS3" i="14"/>
  <c r="AR3" i="14"/>
  <c r="AT3" i="14" s="1"/>
  <c r="AP3" i="14"/>
  <c r="AO3" i="14"/>
  <c r="AQ3" i="14" s="1"/>
  <c r="AN3" i="14"/>
  <c r="AL3" i="14"/>
  <c r="AK3" i="14"/>
  <c r="AM3" i="14" s="1"/>
  <c r="AJ3" i="14"/>
  <c r="AI3" i="14"/>
  <c r="AH3" i="14"/>
  <c r="AG3" i="14"/>
  <c r="AF3" i="14"/>
  <c r="AD3" i="14"/>
  <c r="AC3" i="14"/>
  <c r="AB3" i="14"/>
  <c r="AA3" i="14"/>
  <c r="Z3" i="14"/>
  <c r="Y3" i="14"/>
  <c r="X3" i="14"/>
  <c r="W3" i="14"/>
  <c r="U3" i="14"/>
  <c r="T3" i="14"/>
  <c r="V3" i="14" s="1"/>
  <c r="R3" i="14"/>
  <c r="D16" i="14" s="1"/>
  <c r="Q3" i="14"/>
  <c r="C16" i="14" s="1"/>
  <c r="P3" i="14"/>
  <c r="O3" i="14"/>
  <c r="N3" i="14"/>
  <c r="L16" i="14" s="1"/>
  <c r="M3" i="14"/>
  <c r="L3" i="14"/>
  <c r="AE3" i="14" s="1"/>
  <c r="B18" i="13"/>
  <c r="B22" i="13"/>
  <c r="B25" i="13"/>
  <c r="B23" i="13"/>
  <c r="B21" i="13"/>
  <c r="H19" i="13"/>
  <c r="BP13" i="13"/>
  <c r="F26" i="13" s="1"/>
  <c r="BN13" i="13"/>
  <c r="H26" i="13" s="1"/>
  <c r="BM13" i="13"/>
  <c r="BO13" i="13" s="1"/>
  <c r="I26" i="13" s="1"/>
  <c r="BK13" i="13"/>
  <c r="BJ13" i="13"/>
  <c r="BL13" i="13" s="1"/>
  <c r="BI13" i="13"/>
  <c r="BH13" i="13"/>
  <c r="BG13" i="13"/>
  <c r="BF13" i="13"/>
  <c r="BE13" i="13"/>
  <c r="BD13" i="13"/>
  <c r="BC13" i="13"/>
  <c r="BB13" i="13"/>
  <c r="BA13" i="13"/>
  <c r="AZ13" i="13"/>
  <c r="AY13" i="13"/>
  <c r="AW13" i="13"/>
  <c r="AV13" i="13"/>
  <c r="AX13" i="13" s="1"/>
  <c r="AU13" i="13"/>
  <c r="AS13" i="13"/>
  <c r="AR13" i="13"/>
  <c r="AT13" i="13" s="1"/>
  <c r="AP13" i="13"/>
  <c r="AO13" i="13"/>
  <c r="AQ13" i="13" s="1"/>
  <c r="AN13" i="13"/>
  <c r="AL13" i="13"/>
  <c r="AK13" i="13"/>
  <c r="AM13" i="13" s="1"/>
  <c r="AJ13" i="13"/>
  <c r="AI13" i="13"/>
  <c r="AH13" i="13"/>
  <c r="AG13" i="13"/>
  <c r="AF13" i="13"/>
  <c r="AD13" i="13"/>
  <c r="AC13" i="13"/>
  <c r="AB13" i="13"/>
  <c r="AA13" i="13"/>
  <c r="Z13" i="13"/>
  <c r="Y13" i="13"/>
  <c r="X13" i="13"/>
  <c r="W13" i="13"/>
  <c r="U13" i="13"/>
  <c r="T13" i="13"/>
  <c r="V13" i="13" s="1"/>
  <c r="R13" i="13"/>
  <c r="Q13" i="13"/>
  <c r="S13" i="13" s="1"/>
  <c r="P13" i="13"/>
  <c r="O13" i="13"/>
  <c r="N13" i="13"/>
  <c r="L26" i="13" s="1"/>
  <c r="M13" i="13"/>
  <c r="K26" i="13" s="1"/>
  <c r="L13" i="13"/>
  <c r="AE13" i="13" s="1"/>
  <c r="BP12" i="13"/>
  <c r="BN12" i="13"/>
  <c r="H25" i="13" s="1"/>
  <c r="BM12" i="13"/>
  <c r="G25" i="13" s="1"/>
  <c r="BK12" i="13"/>
  <c r="BJ12" i="13"/>
  <c r="BL12" i="13" s="1"/>
  <c r="BI12" i="13"/>
  <c r="BH12" i="13"/>
  <c r="BG12" i="13"/>
  <c r="BF12" i="13"/>
  <c r="BE12" i="13"/>
  <c r="BD12" i="13"/>
  <c r="BC12" i="13"/>
  <c r="BB12" i="13"/>
  <c r="BA12" i="13"/>
  <c r="AZ12" i="13"/>
  <c r="AY12" i="13"/>
  <c r="AW12" i="13"/>
  <c r="AV12" i="13"/>
  <c r="AX12" i="13" s="1"/>
  <c r="AU12" i="13"/>
  <c r="AS12" i="13"/>
  <c r="AR12" i="13"/>
  <c r="AT12" i="13" s="1"/>
  <c r="AP12" i="13"/>
  <c r="AO12" i="13"/>
  <c r="AQ12" i="13" s="1"/>
  <c r="AN12" i="13"/>
  <c r="AL12" i="13"/>
  <c r="AK12" i="13"/>
  <c r="AM12" i="13" s="1"/>
  <c r="AJ12" i="13"/>
  <c r="AI12" i="13"/>
  <c r="AH12" i="13"/>
  <c r="AG12" i="13"/>
  <c r="AF12" i="13"/>
  <c r="AD12" i="13"/>
  <c r="AC12" i="13"/>
  <c r="AB12" i="13"/>
  <c r="AA12" i="13"/>
  <c r="Z12" i="13"/>
  <c r="Y12" i="13"/>
  <c r="X12" i="13"/>
  <c r="W12" i="13"/>
  <c r="U12" i="13"/>
  <c r="D25" i="13" s="1"/>
  <c r="T12" i="13"/>
  <c r="V12" i="13" s="1"/>
  <c r="C25" i="13" s="1"/>
  <c r="E25" i="13" s="1"/>
  <c r="R12" i="13"/>
  <c r="Q12" i="13"/>
  <c r="S12" i="13" s="1"/>
  <c r="P12" i="13"/>
  <c r="O12" i="13"/>
  <c r="N12" i="13"/>
  <c r="L25" i="13" s="1"/>
  <c r="M12" i="13"/>
  <c r="K25" i="13" s="1"/>
  <c r="L12" i="13"/>
  <c r="AE12" i="13" s="1"/>
  <c r="BP11" i="13"/>
  <c r="BN11" i="13"/>
  <c r="BM11" i="13"/>
  <c r="BO11" i="13" s="1"/>
  <c r="BK11" i="13"/>
  <c r="BJ11" i="13"/>
  <c r="BL11" i="13" s="1"/>
  <c r="BI11" i="13"/>
  <c r="BH11" i="13"/>
  <c r="H24" i="13" s="1"/>
  <c r="BG11" i="13"/>
  <c r="I24" i="13" s="1"/>
  <c r="BF11" i="13"/>
  <c r="F24" i="13" s="1"/>
  <c r="BE11" i="13"/>
  <c r="D24" i="13" s="1"/>
  <c r="BD11" i="13"/>
  <c r="BC11" i="13"/>
  <c r="BB11" i="13"/>
  <c r="BA11" i="13"/>
  <c r="AZ11" i="13"/>
  <c r="AY11" i="13"/>
  <c r="E24" i="13" s="1"/>
  <c r="AW11" i="13"/>
  <c r="AV11" i="13"/>
  <c r="AX11" i="13" s="1"/>
  <c r="AU11" i="13"/>
  <c r="AS11" i="13"/>
  <c r="AR11" i="13"/>
  <c r="AT11" i="13" s="1"/>
  <c r="AP11" i="13"/>
  <c r="AO11" i="13"/>
  <c r="AQ11" i="13" s="1"/>
  <c r="AN11" i="13"/>
  <c r="AL11" i="13"/>
  <c r="AK11" i="13"/>
  <c r="AM11" i="13" s="1"/>
  <c r="AJ11" i="13"/>
  <c r="AI11" i="13"/>
  <c r="AH11" i="13"/>
  <c r="AG11" i="13"/>
  <c r="AF11" i="13"/>
  <c r="AD11" i="13"/>
  <c r="AC11" i="13"/>
  <c r="AB11" i="13"/>
  <c r="AA11" i="13"/>
  <c r="Z11" i="13"/>
  <c r="Y11" i="13"/>
  <c r="X11" i="13"/>
  <c r="W11" i="13"/>
  <c r="U11" i="13"/>
  <c r="T11" i="13"/>
  <c r="V11" i="13" s="1"/>
  <c r="R11" i="13"/>
  <c r="Q11" i="13"/>
  <c r="S11" i="13" s="1"/>
  <c r="P11" i="13"/>
  <c r="O11" i="13"/>
  <c r="N11" i="13"/>
  <c r="L24" i="13" s="1"/>
  <c r="M11" i="13"/>
  <c r="K24" i="13" s="1"/>
  <c r="L11" i="13"/>
  <c r="AE11" i="13" s="1"/>
  <c r="BP10" i="13"/>
  <c r="BN10" i="13"/>
  <c r="BM10" i="13"/>
  <c r="BO10" i="13" s="1"/>
  <c r="BK10" i="13"/>
  <c r="BJ10" i="13"/>
  <c r="BL10" i="13" s="1"/>
  <c r="BI10" i="13"/>
  <c r="BH10" i="13"/>
  <c r="BG10" i="13"/>
  <c r="BF10" i="13"/>
  <c r="BE10" i="13"/>
  <c r="BD10" i="13"/>
  <c r="BC10" i="13"/>
  <c r="H23" i="13" s="1"/>
  <c r="BB10" i="13"/>
  <c r="I23" i="13" s="1"/>
  <c r="BA10" i="13"/>
  <c r="F23" i="13" s="1"/>
  <c r="AZ10" i="13"/>
  <c r="D23" i="13" s="1"/>
  <c r="AY10" i="13"/>
  <c r="E23" i="13" s="1"/>
  <c r="AW10" i="13"/>
  <c r="AV10" i="13"/>
  <c r="AU10" i="13"/>
  <c r="AS10" i="13"/>
  <c r="AR10" i="13"/>
  <c r="AP10" i="13"/>
  <c r="AO10" i="13"/>
  <c r="AQ10" i="13" s="1"/>
  <c r="AN10" i="13"/>
  <c r="AL10" i="13"/>
  <c r="AK10" i="13"/>
  <c r="AM10" i="13" s="1"/>
  <c r="AJ10" i="13"/>
  <c r="AI10" i="13"/>
  <c r="AH10" i="13"/>
  <c r="AG10" i="13"/>
  <c r="AF10" i="13"/>
  <c r="AD10" i="13"/>
  <c r="AC10" i="13"/>
  <c r="AB10" i="13"/>
  <c r="AA10" i="13"/>
  <c r="Z10" i="13"/>
  <c r="Y10" i="13"/>
  <c r="X10" i="13"/>
  <c r="W10" i="13"/>
  <c r="U10" i="13"/>
  <c r="T10" i="13"/>
  <c r="V10" i="13" s="1"/>
  <c r="R10" i="13"/>
  <c r="Q10" i="13"/>
  <c r="S10" i="13" s="1"/>
  <c r="P10" i="13"/>
  <c r="O10" i="13"/>
  <c r="N10" i="13"/>
  <c r="M10" i="13"/>
  <c r="K23" i="13" s="1"/>
  <c r="L10" i="13"/>
  <c r="AE10" i="13" s="1"/>
  <c r="BP9" i="13"/>
  <c r="BN9" i="13"/>
  <c r="BM9" i="13"/>
  <c r="BO9" i="13" s="1"/>
  <c r="BK9" i="13"/>
  <c r="BJ9" i="13"/>
  <c r="BL9" i="13" s="1"/>
  <c r="BI9" i="13"/>
  <c r="BH9" i="13"/>
  <c r="BG9" i="13"/>
  <c r="BF9" i="13"/>
  <c r="BE9" i="13"/>
  <c r="BD9" i="13"/>
  <c r="BC9" i="13"/>
  <c r="BB9" i="13"/>
  <c r="BA9" i="13"/>
  <c r="AZ9" i="13"/>
  <c r="AY9" i="13"/>
  <c r="AW9" i="13"/>
  <c r="AV9" i="13"/>
  <c r="AX9" i="13" s="1"/>
  <c r="AU9" i="13"/>
  <c r="AS9" i="13"/>
  <c r="AR9" i="13"/>
  <c r="AT9" i="13" s="1"/>
  <c r="AP9" i="13"/>
  <c r="AO9" i="13"/>
  <c r="AQ9" i="13" s="1"/>
  <c r="AN9" i="13"/>
  <c r="AL9" i="13"/>
  <c r="AK9" i="13"/>
  <c r="AM9" i="13" s="1"/>
  <c r="AJ9" i="13"/>
  <c r="AI9" i="13"/>
  <c r="AH9" i="13"/>
  <c r="AG9" i="13"/>
  <c r="AF9" i="13"/>
  <c r="AD9" i="13"/>
  <c r="AC9" i="13"/>
  <c r="AB9" i="13"/>
  <c r="AA9" i="13"/>
  <c r="Z9" i="13"/>
  <c r="Y9" i="13"/>
  <c r="X9" i="13"/>
  <c r="W9" i="13"/>
  <c r="U9" i="13"/>
  <c r="T9" i="13"/>
  <c r="R9" i="13"/>
  <c r="Q9" i="13"/>
  <c r="S9" i="13" s="1"/>
  <c r="P9" i="13"/>
  <c r="O9" i="13"/>
  <c r="N9" i="13"/>
  <c r="M9" i="13"/>
  <c r="L9" i="13"/>
  <c r="AE9" i="13" s="1"/>
  <c r="BP8" i="13"/>
  <c r="BN8" i="13"/>
  <c r="BM8" i="13"/>
  <c r="BO8" i="13" s="1"/>
  <c r="BK8" i="13"/>
  <c r="BJ8" i="13"/>
  <c r="BL8" i="13" s="1"/>
  <c r="BI8" i="13"/>
  <c r="BH8" i="13"/>
  <c r="BG8" i="13"/>
  <c r="BF8" i="13"/>
  <c r="BE8" i="13"/>
  <c r="BD8" i="13"/>
  <c r="BC8" i="13"/>
  <c r="H21" i="13" s="1"/>
  <c r="BB8" i="13"/>
  <c r="BA8" i="13"/>
  <c r="F21" i="13" s="1"/>
  <c r="AZ8" i="13"/>
  <c r="D21" i="13" s="1"/>
  <c r="AY8" i="13"/>
  <c r="AW8" i="13"/>
  <c r="AV8" i="13"/>
  <c r="AU8" i="13"/>
  <c r="AS8" i="13"/>
  <c r="AR8" i="13"/>
  <c r="AP8" i="13"/>
  <c r="AO8" i="13"/>
  <c r="AQ8" i="13" s="1"/>
  <c r="AN8" i="13"/>
  <c r="AL8" i="13"/>
  <c r="AK8" i="13"/>
  <c r="AM8" i="13" s="1"/>
  <c r="AJ8" i="13"/>
  <c r="AI8" i="13"/>
  <c r="AH8" i="13"/>
  <c r="AG8" i="13"/>
  <c r="AF8" i="13"/>
  <c r="AD8" i="13"/>
  <c r="AC8" i="13"/>
  <c r="AB8" i="13"/>
  <c r="AA8" i="13"/>
  <c r="Z8" i="13"/>
  <c r="Y8" i="13"/>
  <c r="X8" i="13"/>
  <c r="W8" i="13"/>
  <c r="U8" i="13"/>
  <c r="T8" i="13"/>
  <c r="V8" i="13" s="1"/>
  <c r="R8" i="13"/>
  <c r="Q8" i="13"/>
  <c r="S8" i="13" s="1"/>
  <c r="P8" i="13"/>
  <c r="O8" i="13"/>
  <c r="N8" i="13"/>
  <c r="L21" i="13" s="1"/>
  <c r="M8" i="13"/>
  <c r="K21" i="13" s="1"/>
  <c r="L8" i="13"/>
  <c r="AE8" i="13" s="1"/>
  <c r="BP7" i="13"/>
  <c r="BN7" i="13"/>
  <c r="BM7" i="13"/>
  <c r="BO7" i="13" s="1"/>
  <c r="BK7" i="13"/>
  <c r="BJ7" i="13"/>
  <c r="BL7" i="13" s="1"/>
  <c r="BI7" i="13"/>
  <c r="BH7" i="13"/>
  <c r="H20" i="13" s="1"/>
  <c r="BG7" i="13"/>
  <c r="G20" i="13" s="1"/>
  <c r="BF7" i="13"/>
  <c r="F20" i="13" s="1"/>
  <c r="BE7" i="13"/>
  <c r="D20" i="13" s="1"/>
  <c r="BD7" i="13"/>
  <c r="C20" i="13" s="1"/>
  <c r="BC7" i="13"/>
  <c r="BB7" i="13"/>
  <c r="BA7" i="13"/>
  <c r="AZ7" i="13"/>
  <c r="AY7" i="13"/>
  <c r="AW7" i="13"/>
  <c r="AV7" i="13"/>
  <c r="AX7" i="13" s="1"/>
  <c r="AU7" i="13"/>
  <c r="AS7" i="13"/>
  <c r="AR7" i="13"/>
  <c r="AT7" i="13" s="1"/>
  <c r="AP7" i="13"/>
  <c r="AO7" i="13"/>
  <c r="AQ7" i="13" s="1"/>
  <c r="AN7" i="13"/>
  <c r="AL7" i="13"/>
  <c r="AK7" i="13"/>
  <c r="AM7" i="13" s="1"/>
  <c r="AJ7" i="13"/>
  <c r="AI7" i="13"/>
  <c r="AH7" i="13"/>
  <c r="AG7" i="13"/>
  <c r="AF7" i="13"/>
  <c r="AD7" i="13"/>
  <c r="AC7" i="13"/>
  <c r="AB7" i="13"/>
  <c r="AA7" i="13"/>
  <c r="Z7" i="13"/>
  <c r="Y7" i="13"/>
  <c r="X7" i="13"/>
  <c r="W7" i="13"/>
  <c r="U7" i="13"/>
  <c r="T7" i="13"/>
  <c r="V7" i="13" s="1"/>
  <c r="R7" i="13"/>
  <c r="Q7" i="13"/>
  <c r="S7" i="13" s="1"/>
  <c r="P7" i="13"/>
  <c r="O7" i="13"/>
  <c r="N7" i="13"/>
  <c r="L20" i="13" s="1"/>
  <c r="M7" i="13"/>
  <c r="K20" i="13" s="1"/>
  <c r="L7" i="13"/>
  <c r="AE7" i="13" s="1"/>
  <c r="BP6" i="13"/>
  <c r="BN6" i="13"/>
  <c r="BM6" i="13"/>
  <c r="BO6" i="13" s="1"/>
  <c r="BK6" i="13"/>
  <c r="BJ6" i="13"/>
  <c r="BL6" i="13" s="1"/>
  <c r="BI6" i="13"/>
  <c r="BH6" i="13"/>
  <c r="BG6" i="13"/>
  <c r="BF6" i="13"/>
  <c r="BE6" i="13"/>
  <c r="BD6" i="13"/>
  <c r="BC6" i="13"/>
  <c r="BB6" i="13"/>
  <c r="BA6" i="13"/>
  <c r="AZ6" i="13"/>
  <c r="AY6" i="13"/>
  <c r="AW6" i="13"/>
  <c r="AV6" i="13"/>
  <c r="AX6" i="13" s="1"/>
  <c r="AU6" i="13"/>
  <c r="AS6" i="13"/>
  <c r="AR6" i="13"/>
  <c r="AT6" i="13" s="1"/>
  <c r="AP6" i="13"/>
  <c r="AO6" i="13"/>
  <c r="AQ6" i="13" s="1"/>
  <c r="AN6" i="13"/>
  <c r="AL6" i="13"/>
  <c r="AK6" i="13"/>
  <c r="AM6" i="13" s="1"/>
  <c r="AJ6" i="13"/>
  <c r="AI6" i="13"/>
  <c r="AH6" i="13"/>
  <c r="AG6" i="13"/>
  <c r="AF6" i="13"/>
  <c r="AD6" i="13"/>
  <c r="AC6" i="13"/>
  <c r="AB6" i="13"/>
  <c r="AA6" i="13"/>
  <c r="I19" i="13" s="1"/>
  <c r="Z6" i="13"/>
  <c r="F19" i="13" s="1"/>
  <c r="Y6" i="13"/>
  <c r="D19" i="13" s="1"/>
  <c r="X6" i="13"/>
  <c r="E19" i="13" s="1"/>
  <c r="W6" i="13"/>
  <c r="U6" i="13"/>
  <c r="T6" i="13"/>
  <c r="V6" i="13" s="1"/>
  <c r="R6" i="13"/>
  <c r="Q6" i="13"/>
  <c r="S6" i="13" s="1"/>
  <c r="P6" i="13"/>
  <c r="O6" i="13"/>
  <c r="N6" i="13"/>
  <c r="L19" i="13" s="1"/>
  <c r="M6" i="13"/>
  <c r="K19" i="13" s="1"/>
  <c r="L6" i="13"/>
  <c r="AE6" i="13" s="1"/>
  <c r="BP5" i="13"/>
  <c r="BN5" i="13"/>
  <c r="BM5" i="13"/>
  <c r="BO5" i="13" s="1"/>
  <c r="BK5" i="13"/>
  <c r="BJ5" i="13"/>
  <c r="BL5" i="13" s="1"/>
  <c r="BI5" i="13"/>
  <c r="BH5" i="13"/>
  <c r="BG5" i="13"/>
  <c r="BF5" i="13"/>
  <c r="BE5" i="13"/>
  <c r="BD5" i="13"/>
  <c r="BC5" i="13"/>
  <c r="BB5" i="13"/>
  <c r="BA5" i="13"/>
  <c r="AZ5" i="13"/>
  <c r="AY5" i="13"/>
  <c r="AW5" i="13"/>
  <c r="AV5" i="13"/>
  <c r="AX5" i="13" s="1"/>
  <c r="AU5" i="13"/>
  <c r="AS5" i="13"/>
  <c r="AR5" i="13"/>
  <c r="AT5" i="13" s="1"/>
  <c r="AP5" i="13"/>
  <c r="AO5" i="13"/>
  <c r="AQ5" i="13" s="1"/>
  <c r="AN5" i="13"/>
  <c r="AL5" i="13"/>
  <c r="AK5" i="13"/>
  <c r="AM5" i="13" s="1"/>
  <c r="AJ5" i="13"/>
  <c r="AI5" i="13"/>
  <c r="AH5" i="13"/>
  <c r="AG5" i="13"/>
  <c r="AF5" i="13"/>
  <c r="AD5" i="13"/>
  <c r="AC5" i="13"/>
  <c r="AB5" i="13"/>
  <c r="AA5" i="13"/>
  <c r="Z5" i="13"/>
  <c r="Y5" i="13"/>
  <c r="X5" i="13"/>
  <c r="W5" i="13"/>
  <c r="U5" i="13"/>
  <c r="T5" i="13"/>
  <c r="V5" i="13" s="1"/>
  <c r="R5" i="13"/>
  <c r="Q5" i="13"/>
  <c r="S5" i="13" s="1"/>
  <c r="P5" i="13"/>
  <c r="O5" i="13"/>
  <c r="N5" i="13"/>
  <c r="M5" i="13"/>
  <c r="L5" i="13"/>
  <c r="AE5" i="13" s="1"/>
  <c r="BP4" i="13"/>
  <c r="BN4" i="13"/>
  <c r="BM4" i="13"/>
  <c r="BO4" i="13" s="1"/>
  <c r="BK4" i="13"/>
  <c r="BJ4" i="13"/>
  <c r="BL4" i="13" s="1"/>
  <c r="BI4" i="13"/>
  <c r="BH4" i="13"/>
  <c r="BG4" i="13"/>
  <c r="BF4" i="13"/>
  <c r="BE4" i="13"/>
  <c r="BD4" i="13"/>
  <c r="BC4" i="13"/>
  <c r="BB4" i="13"/>
  <c r="BA4" i="13"/>
  <c r="AZ4" i="13"/>
  <c r="AY4" i="13"/>
  <c r="AW4" i="13"/>
  <c r="AV4" i="13"/>
  <c r="AX4" i="13" s="1"/>
  <c r="AU4" i="13"/>
  <c r="AS4" i="13"/>
  <c r="AR4" i="13"/>
  <c r="AT4" i="13" s="1"/>
  <c r="AP4" i="13"/>
  <c r="AO4" i="13"/>
  <c r="AQ4" i="13" s="1"/>
  <c r="AN4" i="13"/>
  <c r="AL4" i="13"/>
  <c r="AK4" i="13"/>
  <c r="AM4" i="13" s="1"/>
  <c r="AJ4" i="13"/>
  <c r="AI4" i="13"/>
  <c r="AH4" i="13"/>
  <c r="AG4" i="13"/>
  <c r="AF4" i="13"/>
  <c r="AD4" i="13"/>
  <c r="AC4" i="13"/>
  <c r="AB4" i="13"/>
  <c r="AA4" i="13"/>
  <c r="G17" i="13" s="1"/>
  <c r="Z4" i="13"/>
  <c r="F17" i="13" s="1"/>
  <c r="Y4" i="13"/>
  <c r="D17" i="13" s="1"/>
  <c r="X4" i="13"/>
  <c r="C17" i="13" s="1"/>
  <c r="W4" i="13"/>
  <c r="U4" i="13"/>
  <c r="T4" i="13"/>
  <c r="V4" i="13" s="1"/>
  <c r="R4" i="13"/>
  <c r="Q4" i="13"/>
  <c r="S4" i="13" s="1"/>
  <c r="P4" i="13"/>
  <c r="O4" i="13"/>
  <c r="N4" i="13"/>
  <c r="L17" i="13" s="1"/>
  <c r="M4" i="13"/>
  <c r="K17" i="13" s="1"/>
  <c r="L4" i="13"/>
  <c r="AE4" i="13" s="1"/>
  <c r="BP3" i="13"/>
  <c r="BN3" i="13"/>
  <c r="BM3" i="13"/>
  <c r="BO3" i="13" s="1"/>
  <c r="BK3" i="13"/>
  <c r="BJ3" i="13"/>
  <c r="BL3" i="13" s="1"/>
  <c r="BI3" i="13"/>
  <c r="BH3" i="13"/>
  <c r="BG3" i="13"/>
  <c r="BF3" i="13"/>
  <c r="BE3" i="13"/>
  <c r="BD3" i="13"/>
  <c r="BC3" i="13"/>
  <c r="BB3" i="13"/>
  <c r="BA3" i="13"/>
  <c r="AZ3" i="13"/>
  <c r="AY3" i="13"/>
  <c r="AW3" i="13"/>
  <c r="AV3" i="13"/>
  <c r="AX3" i="13" s="1"/>
  <c r="AU3" i="13"/>
  <c r="AS3" i="13"/>
  <c r="AR3" i="13"/>
  <c r="AT3" i="13" s="1"/>
  <c r="AP3" i="13"/>
  <c r="AO3" i="13"/>
  <c r="AQ3" i="13" s="1"/>
  <c r="AN3" i="13"/>
  <c r="AL3" i="13"/>
  <c r="AK3" i="13"/>
  <c r="AM3" i="13" s="1"/>
  <c r="AJ3" i="13"/>
  <c r="AI3" i="13"/>
  <c r="AH3" i="13"/>
  <c r="AG3" i="13"/>
  <c r="AF3" i="13"/>
  <c r="AD3" i="13"/>
  <c r="AC3" i="13"/>
  <c r="AB3" i="13"/>
  <c r="AA3" i="13"/>
  <c r="Z3" i="13"/>
  <c r="Y3" i="13"/>
  <c r="X3" i="13"/>
  <c r="W3" i="13"/>
  <c r="U3" i="13"/>
  <c r="T3" i="13"/>
  <c r="V3" i="13" s="1"/>
  <c r="R3" i="13"/>
  <c r="D16" i="13" s="1"/>
  <c r="Q3" i="13"/>
  <c r="C16" i="13" s="1"/>
  <c r="P3" i="13"/>
  <c r="O3" i="13"/>
  <c r="N3" i="13"/>
  <c r="L16" i="13" s="1"/>
  <c r="M3" i="13"/>
  <c r="K16" i="13" s="1"/>
  <c r="L3" i="13"/>
  <c r="AE3" i="13" s="1"/>
  <c r="D30" i="18" l="1"/>
  <c r="J17" i="13"/>
  <c r="F25" i="14"/>
  <c r="Q23" i="16"/>
  <c r="Q9" i="16"/>
  <c r="O20" i="16"/>
  <c r="T26" i="16"/>
  <c r="L18" i="13"/>
  <c r="R33" i="16"/>
  <c r="L23" i="14"/>
  <c r="K25" i="14"/>
  <c r="K26" i="14"/>
  <c r="R22" i="16"/>
  <c r="O17" i="16"/>
  <c r="N11" i="16"/>
  <c r="L26" i="14"/>
  <c r="R26" i="16"/>
  <c r="O34" i="16"/>
  <c r="K23" i="14"/>
  <c r="O13" i="16"/>
  <c r="P12" i="16"/>
  <c r="O31" i="16"/>
  <c r="O12" i="16"/>
  <c r="T7" i="16"/>
  <c r="T14" i="16"/>
  <c r="P11" i="16"/>
  <c r="Q7" i="16"/>
  <c r="R27" i="16"/>
  <c r="T15" i="16"/>
  <c r="C29" i="18"/>
  <c r="S7" i="16"/>
  <c r="U7" i="16" s="1"/>
  <c r="U15" i="16"/>
  <c r="U16" i="16"/>
  <c r="V16" i="16" s="1"/>
  <c r="G21" i="13"/>
  <c r="E23" i="14"/>
  <c r="L25" i="14"/>
  <c r="N13" i="16"/>
  <c r="P13" i="16" s="1"/>
  <c r="Q13" i="16" s="1"/>
  <c r="N10" i="16"/>
  <c r="P10" i="16" s="1"/>
  <c r="Q10" i="16" s="1"/>
  <c r="Q15" i="16"/>
  <c r="R31" i="16"/>
  <c r="O6" i="16"/>
  <c r="O1" i="16" s="1"/>
  <c r="O30" i="16"/>
  <c r="O29" i="16"/>
  <c r="O21" i="16"/>
  <c r="S27" i="16"/>
  <c r="S30" i="16"/>
  <c r="U30" i="16" s="1"/>
  <c r="U25" i="16"/>
  <c r="T20" i="16"/>
  <c r="V20" i="16" s="1"/>
  <c r="T28" i="16"/>
  <c r="V28" i="16" s="1"/>
  <c r="T31" i="16"/>
  <c r="T12" i="16"/>
  <c r="S32" i="16"/>
  <c r="U32" i="16" s="1"/>
  <c r="U34" i="16"/>
  <c r="U11" i="16"/>
  <c r="S16" i="16"/>
  <c r="S24" i="16"/>
  <c r="U24" i="16" s="1"/>
  <c r="V24" i="16" s="1"/>
  <c r="N31" i="16"/>
  <c r="N19" i="16"/>
  <c r="P19" i="16" s="1"/>
  <c r="Q19" i="16" s="1"/>
  <c r="S14" i="16"/>
  <c r="U14" i="16" s="1"/>
  <c r="C18" i="13"/>
  <c r="J22" i="13"/>
  <c r="AE4" i="14"/>
  <c r="J18" i="14"/>
  <c r="D18" i="14"/>
  <c r="F23" i="14"/>
  <c r="P27" i="16"/>
  <c r="N34" i="16"/>
  <c r="Q24" i="16"/>
  <c r="N21" i="16"/>
  <c r="R28" i="16"/>
  <c r="R34" i="16"/>
  <c r="Q5" i="16"/>
  <c r="O26" i="16"/>
  <c r="O11" i="16"/>
  <c r="Q11" i="16" s="1"/>
  <c r="T22" i="16"/>
  <c r="S22" i="16"/>
  <c r="U22" i="16" s="1"/>
  <c r="V22" i="16" s="1"/>
  <c r="S12" i="16"/>
  <c r="V21" i="16"/>
  <c r="V8" i="16"/>
  <c r="T25" i="16"/>
  <c r="T33" i="16"/>
  <c r="T10" i="16"/>
  <c r="T29" i="16"/>
  <c r="V29" i="16" s="1"/>
  <c r="N18" i="16"/>
  <c r="N17" i="16"/>
  <c r="P17" i="16"/>
  <c r="C21" i="13"/>
  <c r="D18" i="13"/>
  <c r="E22" i="13"/>
  <c r="K18" i="14"/>
  <c r="AE6" i="14"/>
  <c r="I23" i="14"/>
  <c r="N12" i="16"/>
  <c r="Q12" i="16" s="1"/>
  <c r="N20" i="16"/>
  <c r="P20" i="16"/>
  <c r="Q20" i="16" s="1"/>
  <c r="Q8" i="16"/>
  <c r="N26" i="16"/>
  <c r="P26" i="16" s="1"/>
  <c r="R24" i="16"/>
  <c r="O32" i="16"/>
  <c r="O28" i="16"/>
  <c r="Q28" i="16" s="1"/>
  <c r="S31" i="16"/>
  <c r="S11" i="16"/>
  <c r="S1" i="16" s="1"/>
  <c r="T6" i="16"/>
  <c r="T32" i="16"/>
  <c r="U27" i="16"/>
  <c r="S33" i="16"/>
  <c r="AE12" i="14"/>
  <c r="Q16" i="16"/>
  <c r="D23" i="14"/>
  <c r="U23" i="16"/>
  <c r="V23" i="16" s="1"/>
  <c r="S15" i="16"/>
  <c r="S6" i="16"/>
  <c r="U6" i="16" s="1"/>
  <c r="G18" i="13"/>
  <c r="F18" i="13"/>
  <c r="D22" i="13"/>
  <c r="H23" i="14"/>
  <c r="I25" i="14"/>
  <c r="T30" i="16"/>
  <c r="T34" i="16"/>
  <c r="T17" i="16"/>
  <c r="P25" i="16"/>
  <c r="P21" i="16"/>
  <c r="N32" i="16"/>
  <c r="P32" i="16" s="1"/>
  <c r="Q32" i="16" s="1"/>
  <c r="N29" i="16"/>
  <c r="P34" i="16"/>
  <c r="Q34" i="16" s="1"/>
  <c r="N33" i="16"/>
  <c r="R32" i="16"/>
  <c r="R30" i="16"/>
  <c r="O33" i="16"/>
  <c r="O18" i="16"/>
  <c r="V5" i="16"/>
  <c r="S26" i="16"/>
  <c r="U26" i="16" s="1"/>
  <c r="V26" i="16" s="1"/>
  <c r="V17" i="16"/>
  <c r="T11" i="16"/>
  <c r="V18" i="16"/>
  <c r="J25" i="13"/>
  <c r="L22" i="14"/>
  <c r="L27" i="14" s="1"/>
  <c r="P33" i="16"/>
  <c r="N27" i="16"/>
  <c r="U12" i="16"/>
  <c r="K18" i="13"/>
  <c r="I22" i="13"/>
  <c r="F22" i="13"/>
  <c r="D22" i="14"/>
  <c r="C25" i="14"/>
  <c r="E25" i="14" s="1"/>
  <c r="H25" i="14"/>
  <c r="N6" i="16"/>
  <c r="P6" i="16" s="1"/>
  <c r="N25" i="16"/>
  <c r="N30" i="16"/>
  <c r="P30" i="16" s="1"/>
  <c r="Q30" i="16" s="1"/>
  <c r="P29" i="16"/>
  <c r="U33" i="16"/>
  <c r="R25" i="16"/>
  <c r="S25" i="16"/>
  <c r="V10" i="16"/>
  <c r="S34" i="16"/>
  <c r="T27" i="16"/>
  <c r="T13" i="16"/>
  <c r="V13" i="16" s="1"/>
  <c r="T19" i="16"/>
  <c r="V19" i="16" s="1"/>
  <c r="V9" i="16"/>
  <c r="L23" i="13"/>
  <c r="V3" i="16"/>
  <c r="E9" i="16"/>
  <c r="I23" i="16"/>
  <c r="J23" i="16" s="1"/>
  <c r="J22" i="16"/>
  <c r="J24" i="16"/>
  <c r="E14" i="16"/>
  <c r="J30" i="16"/>
  <c r="E11" i="16"/>
  <c r="P3" i="16"/>
  <c r="R7" i="16"/>
  <c r="R5" i="16"/>
  <c r="R9" i="16"/>
  <c r="R16" i="16"/>
  <c r="D24" i="16"/>
  <c r="D23" i="16"/>
  <c r="R8" i="16"/>
  <c r="R3" i="16"/>
  <c r="R11" i="16"/>
  <c r="R12" i="16"/>
  <c r="R14" i="16"/>
  <c r="R15" i="16"/>
  <c r="E19" i="16"/>
  <c r="D20" i="16"/>
  <c r="E20" i="16" s="1"/>
  <c r="D21" i="16"/>
  <c r="E21" i="16" s="1"/>
  <c r="J21" i="16"/>
  <c r="I32" i="16"/>
  <c r="J32" i="16" s="1"/>
  <c r="I33" i="16"/>
  <c r="J33" i="16" s="1"/>
  <c r="J20" i="16"/>
  <c r="G30" i="18"/>
  <c r="I30" i="18"/>
  <c r="I29" i="18"/>
  <c r="E29" i="18"/>
  <c r="E30" i="18"/>
  <c r="I27" i="16"/>
  <c r="J27" i="16" s="1"/>
  <c r="I26" i="16"/>
  <c r="J26" i="16" s="1"/>
  <c r="D27" i="16"/>
  <c r="E27" i="16" s="1"/>
  <c r="D26" i="16"/>
  <c r="E26" i="16" s="1"/>
  <c r="G24" i="14"/>
  <c r="F26" i="14"/>
  <c r="G23" i="14"/>
  <c r="C23" i="14"/>
  <c r="S3" i="14"/>
  <c r="E16" i="14" s="1"/>
  <c r="F18" i="14"/>
  <c r="H21" i="14"/>
  <c r="K27" i="14"/>
  <c r="G21" i="14"/>
  <c r="G25" i="14"/>
  <c r="J22" i="14"/>
  <c r="J27" i="14" s="1"/>
  <c r="AE5" i="14"/>
  <c r="BO13" i="14"/>
  <c r="I26" i="14" s="1"/>
  <c r="E22" i="14"/>
  <c r="C22" i="14" s="1"/>
  <c r="V5" i="14"/>
  <c r="K22" i="13"/>
  <c r="K27" i="13" s="1"/>
  <c r="L22" i="13"/>
  <c r="S3" i="13"/>
  <c r="E16" i="13" s="1"/>
  <c r="BO12" i="13"/>
  <c r="I25" i="13" s="1"/>
  <c r="AT8" i="13"/>
  <c r="AX8" i="13"/>
  <c r="V9" i="13"/>
  <c r="H27" i="13"/>
  <c r="H28" i="13" s="1"/>
  <c r="J18" i="13"/>
  <c r="F25" i="13"/>
  <c r="G26" i="13"/>
  <c r="AT10" i="13"/>
  <c r="AX10" i="13"/>
  <c r="J19" i="13"/>
  <c r="R1" i="16" l="1"/>
  <c r="Q33" i="16"/>
  <c r="Q17" i="16"/>
  <c r="V7" i="16"/>
  <c r="L27" i="13"/>
  <c r="Q25" i="16"/>
  <c r="V32" i="16"/>
  <c r="V6" i="16"/>
  <c r="T1" i="16"/>
  <c r="Q27" i="16"/>
  <c r="V14" i="16"/>
  <c r="U31" i="16"/>
  <c r="V31" i="16" s="1"/>
  <c r="I27" i="13"/>
  <c r="I28" i="13" s="1"/>
  <c r="I29" i="13" s="1"/>
  <c r="G27" i="13"/>
  <c r="G28" i="13" s="1"/>
  <c r="G29" i="13" s="1"/>
  <c r="D27" i="13"/>
  <c r="D28" i="13" s="1"/>
  <c r="D30" i="13" s="1"/>
  <c r="D27" i="14"/>
  <c r="D28" i="14" s="1"/>
  <c r="D29" i="14" s="1"/>
  <c r="Q3" i="16"/>
  <c r="Q21" i="16"/>
  <c r="N1" i="16"/>
  <c r="V33" i="16"/>
  <c r="Q29" i="16"/>
  <c r="V15" i="16"/>
  <c r="H27" i="14"/>
  <c r="H28" i="14" s="1"/>
  <c r="H29" i="14" s="1"/>
  <c r="V27" i="16"/>
  <c r="V25" i="16"/>
  <c r="E24" i="16"/>
  <c r="P31" i="16"/>
  <c r="Q31" i="16" s="1"/>
  <c r="P18" i="16"/>
  <c r="Q18" i="16" s="1"/>
  <c r="V12" i="16"/>
  <c r="V11" i="16"/>
  <c r="V30" i="16"/>
  <c r="J27" i="13"/>
  <c r="Q6" i="16"/>
  <c r="Q26" i="16"/>
  <c r="V34" i="16"/>
  <c r="E23" i="16"/>
  <c r="C27" i="14"/>
  <c r="C28" i="14" s="1"/>
  <c r="C30" i="14" s="1"/>
  <c r="F27" i="14"/>
  <c r="F28" i="14" s="1"/>
  <c r="F29" i="14" s="1"/>
  <c r="F30" i="14" s="1"/>
  <c r="I27" i="14"/>
  <c r="I28" i="14" s="1"/>
  <c r="I29" i="14" s="1"/>
  <c r="G27" i="14"/>
  <c r="G28" i="14" s="1"/>
  <c r="G30" i="14" s="1"/>
  <c r="E27" i="14"/>
  <c r="E28" i="14" s="1"/>
  <c r="C27" i="13"/>
  <c r="C28" i="13" s="1"/>
  <c r="C29" i="13" s="1"/>
  <c r="E27" i="13"/>
  <c r="E28" i="13" s="1"/>
  <c r="E30" i="13" s="1"/>
  <c r="F27" i="13"/>
  <c r="F28" i="13" s="1"/>
  <c r="F29" i="13" s="1"/>
  <c r="F30" i="13" s="1"/>
  <c r="H30" i="13"/>
  <c r="H29" i="13"/>
  <c r="V1" i="16" l="1"/>
  <c r="U1" i="16"/>
  <c r="I30" i="13"/>
  <c r="G30" i="13"/>
  <c r="H30" i="14"/>
  <c r="D29" i="13"/>
  <c r="D30" i="14"/>
  <c r="P1" i="16"/>
  <c r="Q1" i="16"/>
  <c r="C29" i="14"/>
  <c r="I30" i="14"/>
  <c r="G29" i="14"/>
  <c r="E30" i="14"/>
  <c r="E29" i="14"/>
  <c r="C30" i="13"/>
  <c r="E29" i="13"/>
  <c r="AR4" i="12" l="1"/>
  <c r="AT4" i="12" s="1"/>
  <c r="AS4" i="12"/>
  <c r="AU4" i="12"/>
  <c r="AV4" i="12"/>
  <c r="AX4" i="12" s="1"/>
  <c r="AW4" i="12"/>
  <c r="AR5" i="12"/>
  <c r="AT5" i="12" s="1"/>
  <c r="AS5" i="12"/>
  <c r="AU5" i="12"/>
  <c r="AV5" i="12"/>
  <c r="AX5" i="12" s="1"/>
  <c r="AW5" i="12"/>
  <c r="AR6" i="12"/>
  <c r="AT6" i="12" s="1"/>
  <c r="AS6" i="12"/>
  <c r="AU6" i="12"/>
  <c r="AV6" i="12"/>
  <c r="AX6" i="12" s="1"/>
  <c r="AW6" i="12"/>
  <c r="AR7" i="12"/>
  <c r="AT7" i="12" s="1"/>
  <c r="AS7" i="12"/>
  <c r="AU7" i="12"/>
  <c r="AV7" i="12"/>
  <c r="AX7" i="12" s="1"/>
  <c r="AW7" i="12"/>
  <c r="AR8" i="12"/>
  <c r="C21" i="12" s="1"/>
  <c r="AS8" i="12"/>
  <c r="AU8" i="12"/>
  <c r="AV8" i="12"/>
  <c r="AX8" i="12" s="1"/>
  <c r="AW8" i="12"/>
  <c r="AR9" i="12"/>
  <c r="AT9" i="12" s="1"/>
  <c r="AS9" i="12"/>
  <c r="AU9" i="12"/>
  <c r="AV9" i="12"/>
  <c r="AX9" i="12" s="1"/>
  <c r="AW9" i="12"/>
  <c r="AR10" i="12"/>
  <c r="AT10" i="12" s="1"/>
  <c r="AS10" i="12"/>
  <c r="AU10" i="12"/>
  <c r="AV10" i="12"/>
  <c r="AX10" i="12" s="1"/>
  <c r="AW10" i="12"/>
  <c r="AR11" i="12"/>
  <c r="AT11" i="12" s="1"/>
  <c r="AS11" i="12"/>
  <c r="AU11" i="12"/>
  <c r="AV11" i="12"/>
  <c r="AX11" i="12" s="1"/>
  <c r="AW11" i="12"/>
  <c r="AR12" i="12"/>
  <c r="AT12" i="12" s="1"/>
  <c r="AS12" i="12"/>
  <c r="AU12" i="12"/>
  <c r="AV12" i="12"/>
  <c r="AX12" i="12" s="1"/>
  <c r="AW12" i="12"/>
  <c r="AR13" i="12"/>
  <c r="AT13" i="12" s="1"/>
  <c r="AS13" i="12"/>
  <c r="AU13" i="12"/>
  <c r="AV13" i="12"/>
  <c r="AX13" i="12" s="1"/>
  <c r="AW13" i="12"/>
  <c r="AW3" i="12"/>
  <c r="AV3" i="12"/>
  <c r="AU3" i="12"/>
  <c r="AS3" i="12"/>
  <c r="AR3" i="12"/>
  <c r="B26" i="12"/>
  <c r="B25" i="12"/>
  <c r="B23" i="12"/>
  <c r="B22" i="12"/>
  <c r="B21" i="12"/>
  <c r="H19" i="12"/>
  <c r="B18" i="12"/>
  <c r="BP13" i="12"/>
  <c r="BN13" i="12"/>
  <c r="H26" i="12" s="1"/>
  <c r="BM13" i="12"/>
  <c r="G26" i="12" s="1"/>
  <c r="BK13" i="12"/>
  <c r="BJ13" i="12"/>
  <c r="BL13" i="12" s="1"/>
  <c r="BI13" i="12"/>
  <c r="BH13" i="12"/>
  <c r="BG13" i="12"/>
  <c r="BF13" i="12"/>
  <c r="BE13" i="12"/>
  <c r="BD13" i="12"/>
  <c r="BC13" i="12"/>
  <c r="BB13" i="12"/>
  <c r="BA13" i="12"/>
  <c r="AZ13" i="12"/>
  <c r="AY13" i="12"/>
  <c r="AP13" i="12"/>
  <c r="AO13" i="12"/>
  <c r="AQ13" i="12" s="1"/>
  <c r="AN13" i="12"/>
  <c r="AL13" i="12"/>
  <c r="AK13" i="12"/>
  <c r="AM13" i="12" s="1"/>
  <c r="AJ13" i="12"/>
  <c r="AI13" i="12"/>
  <c r="AH13" i="12"/>
  <c r="AG13" i="12"/>
  <c r="AF13" i="12"/>
  <c r="AD13" i="12"/>
  <c r="AC13" i="12"/>
  <c r="AB13" i="12"/>
  <c r="AA13" i="12"/>
  <c r="Z13" i="12"/>
  <c r="Y13" i="12"/>
  <c r="X13" i="12"/>
  <c r="W13" i="12"/>
  <c r="U13" i="12"/>
  <c r="T13" i="12"/>
  <c r="V13" i="12" s="1"/>
  <c r="R13" i="12"/>
  <c r="Q13" i="12"/>
  <c r="S13" i="12" s="1"/>
  <c r="P13" i="12"/>
  <c r="O13" i="12"/>
  <c r="N13" i="12"/>
  <c r="L26" i="12" s="1"/>
  <c r="M13" i="12"/>
  <c r="K26" i="12" s="1"/>
  <c r="L13" i="12"/>
  <c r="AE13" i="12" s="1"/>
  <c r="BP12" i="12"/>
  <c r="BN12" i="12"/>
  <c r="BM12" i="12"/>
  <c r="BO12" i="12" s="1"/>
  <c r="I25" i="12" s="1"/>
  <c r="BK12" i="12"/>
  <c r="BJ12" i="12"/>
  <c r="BL12" i="12" s="1"/>
  <c r="BI12" i="12"/>
  <c r="BH12" i="12"/>
  <c r="BG12" i="12"/>
  <c r="BF12" i="12"/>
  <c r="BE12" i="12"/>
  <c r="BD12" i="12"/>
  <c r="BC12" i="12"/>
  <c r="BB12" i="12"/>
  <c r="BA12" i="12"/>
  <c r="AZ12" i="12"/>
  <c r="AY12" i="12"/>
  <c r="AP12" i="12"/>
  <c r="AO12" i="12"/>
  <c r="AQ12" i="12" s="1"/>
  <c r="AN12" i="12"/>
  <c r="AL12" i="12"/>
  <c r="AK12" i="12"/>
  <c r="AM12" i="12" s="1"/>
  <c r="AJ12" i="12"/>
  <c r="AI12" i="12"/>
  <c r="AH12" i="12"/>
  <c r="AG12" i="12"/>
  <c r="AF12" i="12"/>
  <c r="AD12" i="12"/>
  <c r="AC12" i="12"/>
  <c r="AB12" i="12"/>
  <c r="AA12" i="12"/>
  <c r="Z12" i="12"/>
  <c r="Y12" i="12"/>
  <c r="X12" i="12"/>
  <c r="W12" i="12"/>
  <c r="U12" i="12"/>
  <c r="T12" i="12"/>
  <c r="V12" i="12" s="1"/>
  <c r="R12" i="12"/>
  <c r="Q12" i="12"/>
  <c r="S12" i="12" s="1"/>
  <c r="P12" i="12"/>
  <c r="O12" i="12"/>
  <c r="N12" i="12"/>
  <c r="M12" i="12"/>
  <c r="L12" i="12"/>
  <c r="AE12" i="12" s="1"/>
  <c r="BP11" i="12"/>
  <c r="BN11" i="12"/>
  <c r="BM11" i="12"/>
  <c r="BO11" i="12" s="1"/>
  <c r="BK11" i="12"/>
  <c r="BJ11" i="12"/>
  <c r="BL11" i="12" s="1"/>
  <c r="BI11" i="12"/>
  <c r="BH11" i="12"/>
  <c r="H24" i="12" s="1"/>
  <c r="BG11" i="12"/>
  <c r="I24" i="12" s="1"/>
  <c r="BF11" i="12"/>
  <c r="F24" i="12" s="1"/>
  <c r="BE11" i="12"/>
  <c r="D24" i="12" s="1"/>
  <c r="BD11" i="12"/>
  <c r="BC11" i="12"/>
  <c r="BB11" i="12"/>
  <c r="BA11" i="12"/>
  <c r="AZ11" i="12"/>
  <c r="AY11" i="12"/>
  <c r="E24" i="12" s="1"/>
  <c r="AP11" i="12"/>
  <c r="AO11" i="12"/>
  <c r="AQ11" i="12" s="1"/>
  <c r="AN11" i="12"/>
  <c r="AL11" i="12"/>
  <c r="AK11" i="12"/>
  <c r="AM11" i="12" s="1"/>
  <c r="AJ11" i="12"/>
  <c r="AI11" i="12"/>
  <c r="AH11" i="12"/>
  <c r="AG11" i="12"/>
  <c r="AF11" i="12"/>
  <c r="AD11" i="12"/>
  <c r="AC11" i="12"/>
  <c r="AB11" i="12"/>
  <c r="AA11" i="12"/>
  <c r="Z11" i="12"/>
  <c r="Y11" i="12"/>
  <c r="X11" i="12"/>
  <c r="W11" i="12"/>
  <c r="U11" i="12"/>
  <c r="T11" i="12"/>
  <c r="V11" i="12" s="1"/>
  <c r="R11" i="12"/>
  <c r="Q11" i="12"/>
  <c r="S11" i="12" s="1"/>
  <c r="P11" i="12"/>
  <c r="O11" i="12"/>
  <c r="N11" i="12"/>
  <c r="L24" i="12" s="1"/>
  <c r="M11" i="12"/>
  <c r="K24" i="12" s="1"/>
  <c r="L11" i="12"/>
  <c r="AE11" i="12" s="1"/>
  <c r="BP10" i="12"/>
  <c r="BN10" i="12"/>
  <c r="BM10" i="12"/>
  <c r="BO10" i="12" s="1"/>
  <c r="BK10" i="12"/>
  <c r="BJ10" i="12"/>
  <c r="BL10" i="12" s="1"/>
  <c r="BI10" i="12"/>
  <c r="BH10" i="12"/>
  <c r="BG10" i="12"/>
  <c r="BF10" i="12"/>
  <c r="BE10" i="12"/>
  <c r="BD10" i="12"/>
  <c r="BC10" i="12"/>
  <c r="BB10" i="12"/>
  <c r="BA10" i="12"/>
  <c r="AZ10" i="12"/>
  <c r="AY10" i="12"/>
  <c r="AP10" i="12"/>
  <c r="AO10" i="12"/>
  <c r="AQ10" i="12" s="1"/>
  <c r="AN10" i="12"/>
  <c r="AL10" i="12"/>
  <c r="AK10" i="12"/>
  <c r="AM10" i="12" s="1"/>
  <c r="AJ10" i="12"/>
  <c r="AI10" i="12"/>
  <c r="AH10" i="12"/>
  <c r="AG10" i="12"/>
  <c r="AF10" i="12"/>
  <c r="AD10" i="12"/>
  <c r="AC10" i="12"/>
  <c r="AB10" i="12"/>
  <c r="AA10" i="12"/>
  <c r="Z10" i="12"/>
  <c r="Y10" i="12"/>
  <c r="X10" i="12"/>
  <c r="W10" i="12"/>
  <c r="U10" i="12"/>
  <c r="T10" i="12"/>
  <c r="V10" i="12" s="1"/>
  <c r="R10" i="12"/>
  <c r="Q10" i="12"/>
  <c r="S10" i="12" s="1"/>
  <c r="P10" i="12"/>
  <c r="O10" i="12"/>
  <c r="N10" i="12"/>
  <c r="M10" i="12"/>
  <c r="L10" i="12"/>
  <c r="AE10" i="12" s="1"/>
  <c r="BP9" i="12"/>
  <c r="BN9" i="12"/>
  <c r="BM9" i="12"/>
  <c r="BO9" i="12" s="1"/>
  <c r="BK9" i="12"/>
  <c r="BJ9" i="12"/>
  <c r="BL9" i="12" s="1"/>
  <c r="BI9" i="12"/>
  <c r="BH9" i="12"/>
  <c r="BG9" i="12"/>
  <c r="BF9" i="12"/>
  <c r="BE9" i="12"/>
  <c r="BD9" i="12"/>
  <c r="BC9" i="12"/>
  <c r="BB9" i="12"/>
  <c r="BA9" i="12"/>
  <c r="AZ9" i="12"/>
  <c r="AY9" i="12"/>
  <c r="AP9" i="12"/>
  <c r="AO9" i="12"/>
  <c r="AQ9" i="12" s="1"/>
  <c r="AN9" i="12"/>
  <c r="AL9" i="12"/>
  <c r="AK9" i="12"/>
  <c r="AM9" i="12" s="1"/>
  <c r="AJ9" i="12"/>
  <c r="AI9" i="12"/>
  <c r="AH9" i="12"/>
  <c r="AG9" i="12"/>
  <c r="AF9" i="12"/>
  <c r="AD9" i="12"/>
  <c r="AC9" i="12"/>
  <c r="AB9" i="12"/>
  <c r="AA9" i="12"/>
  <c r="Z9" i="12"/>
  <c r="Y9" i="12"/>
  <c r="X9" i="12"/>
  <c r="W9" i="12"/>
  <c r="U9" i="12"/>
  <c r="T9" i="12"/>
  <c r="V9" i="12" s="1"/>
  <c r="R9" i="12"/>
  <c r="Q9" i="12"/>
  <c r="S9" i="12" s="1"/>
  <c r="P9" i="12"/>
  <c r="O9" i="12"/>
  <c r="N9" i="12"/>
  <c r="L22" i="12" s="1"/>
  <c r="M9" i="12"/>
  <c r="L9" i="12"/>
  <c r="BP8" i="12"/>
  <c r="BN8" i="12"/>
  <c r="BM8" i="12"/>
  <c r="BO8" i="12" s="1"/>
  <c r="BK8" i="12"/>
  <c r="BJ8" i="12"/>
  <c r="BL8" i="12" s="1"/>
  <c r="BI8" i="12"/>
  <c r="BH8" i="12"/>
  <c r="BG8" i="12"/>
  <c r="BF8" i="12"/>
  <c r="BE8" i="12"/>
  <c r="BD8" i="12"/>
  <c r="BC8" i="12"/>
  <c r="BB8" i="12"/>
  <c r="BA8" i="12"/>
  <c r="AZ8" i="12"/>
  <c r="AY8" i="12"/>
  <c r="AP8" i="12"/>
  <c r="AO8" i="12"/>
  <c r="AQ8" i="12" s="1"/>
  <c r="AN8" i="12"/>
  <c r="AL8" i="12"/>
  <c r="AK8" i="12"/>
  <c r="AM8" i="12" s="1"/>
  <c r="AJ8" i="12"/>
  <c r="AI8" i="12"/>
  <c r="AH8" i="12"/>
  <c r="AG8" i="12"/>
  <c r="AF8" i="12"/>
  <c r="AD8" i="12"/>
  <c r="AC8" i="12"/>
  <c r="AB8" i="12"/>
  <c r="AA8" i="12"/>
  <c r="Z8" i="12"/>
  <c r="Y8" i="12"/>
  <c r="X8" i="12"/>
  <c r="W8" i="12"/>
  <c r="U8" i="12"/>
  <c r="T8" i="12"/>
  <c r="V8" i="12" s="1"/>
  <c r="R8" i="12"/>
  <c r="Q8" i="12"/>
  <c r="S8" i="12" s="1"/>
  <c r="P8" i="12"/>
  <c r="O8" i="12"/>
  <c r="N8" i="12"/>
  <c r="M8" i="12"/>
  <c r="L8" i="12"/>
  <c r="AE8" i="12" s="1"/>
  <c r="BP7" i="12"/>
  <c r="BN7" i="12"/>
  <c r="BM7" i="12"/>
  <c r="BO7" i="12" s="1"/>
  <c r="BK7" i="12"/>
  <c r="BJ7" i="12"/>
  <c r="BL7" i="12" s="1"/>
  <c r="BI7" i="12"/>
  <c r="BH7" i="12"/>
  <c r="H20" i="12" s="1"/>
  <c r="BG7" i="12"/>
  <c r="G20" i="12" s="1"/>
  <c r="BF7" i="12"/>
  <c r="F20" i="12" s="1"/>
  <c r="BE7" i="12"/>
  <c r="D20" i="12" s="1"/>
  <c r="BD7" i="12"/>
  <c r="C20" i="12" s="1"/>
  <c r="BC7" i="12"/>
  <c r="BB7" i="12"/>
  <c r="BA7" i="12"/>
  <c r="AZ7" i="12"/>
  <c r="AY7" i="12"/>
  <c r="AP7" i="12"/>
  <c r="AO7" i="12"/>
  <c r="AQ7" i="12" s="1"/>
  <c r="AN7" i="12"/>
  <c r="AL7" i="12"/>
  <c r="AK7" i="12"/>
  <c r="AM7" i="12" s="1"/>
  <c r="AJ7" i="12"/>
  <c r="AI7" i="12"/>
  <c r="AH7" i="12"/>
  <c r="AG7" i="12"/>
  <c r="AF7" i="12"/>
  <c r="AD7" i="12"/>
  <c r="AC7" i="12"/>
  <c r="AB7" i="12"/>
  <c r="AA7" i="12"/>
  <c r="Z7" i="12"/>
  <c r="Y7" i="12"/>
  <c r="X7" i="12"/>
  <c r="W7" i="12"/>
  <c r="U7" i="12"/>
  <c r="T7" i="12"/>
  <c r="V7" i="12" s="1"/>
  <c r="R7" i="12"/>
  <c r="Q7" i="12"/>
  <c r="S7" i="12" s="1"/>
  <c r="P7" i="12"/>
  <c r="O7" i="12"/>
  <c r="N7" i="12"/>
  <c r="L20" i="12" s="1"/>
  <c r="M7" i="12"/>
  <c r="K20" i="12" s="1"/>
  <c r="L7" i="12"/>
  <c r="AE7" i="12" s="1"/>
  <c r="BP6" i="12"/>
  <c r="BN6" i="12"/>
  <c r="BM6" i="12"/>
  <c r="BO6" i="12" s="1"/>
  <c r="BK6" i="12"/>
  <c r="BJ6" i="12"/>
  <c r="BL6" i="12" s="1"/>
  <c r="BI6" i="12"/>
  <c r="BH6" i="12"/>
  <c r="BG6" i="12"/>
  <c r="BF6" i="12"/>
  <c r="BE6" i="12"/>
  <c r="BD6" i="12"/>
  <c r="BC6" i="12"/>
  <c r="BB6" i="12"/>
  <c r="BA6" i="12"/>
  <c r="AZ6" i="12"/>
  <c r="AY6" i="12"/>
  <c r="AP6" i="12"/>
  <c r="AO6" i="12"/>
  <c r="AQ6" i="12" s="1"/>
  <c r="AN6" i="12"/>
  <c r="AL6" i="12"/>
  <c r="AK6" i="12"/>
  <c r="AM6" i="12" s="1"/>
  <c r="AJ6" i="12"/>
  <c r="AI6" i="12"/>
  <c r="AH6" i="12"/>
  <c r="AG6" i="12"/>
  <c r="AF6" i="12"/>
  <c r="AD6" i="12"/>
  <c r="AC6" i="12"/>
  <c r="AB6" i="12"/>
  <c r="AA6" i="12"/>
  <c r="I19" i="12" s="1"/>
  <c r="Z6" i="12"/>
  <c r="F19" i="12" s="1"/>
  <c r="Y6" i="12"/>
  <c r="D19" i="12" s="1"/>
  <c r="X6" i="12"/>
  <c r="E19" i="12" s="1"/>
  <c r="W6" i="12"/>
  <c r="U6" i="12"/>
  <c r="T6" i="12"/>
  <c r="V6" i="12" s="1"/>
  <c r="R6" i="12"/>
  <c r="Q6" i="12"/>
  <c r="S6" i="12" s="1"/>
  <c r="P6" i="12"/>
  <c r="O6" i="12"/>
  <c r="N6" i="12"/>
  <c r="L19" i="12" s="1"/>
  <c r="M6" i="12"/>
  <c r="K19" i="12" s="1"/>
  <c r="L6" i="12"/>
  <c r="AE6" i="12" s="1"/>
  <c r="BP5" i="12"/>
  <c r="BN5" i="12"/>
  <c r="BM5" i="12"/>
  <c r="BO5" i="12" s="1"/>
  <c r="BK5" i="12"/>
  <c r="BJ5" i="12"/>
  <c r="BL5" i="12" s="1"/>
  <c r="BI5" i="12"/>
  <c r="BH5" i="12"/>
  <c r="BG5" i="12"/>
  <c r="BF5" i="12"/>
  <c r="BE5" i="12"/>
  <c r="BD5" i="12"/>
  <c r="BC5" i="12"/>
  <c r="BB5" i="12"/>
  <c r="BA5" i="12"/>
  <c r="AZ5" i="12"/>
  <c r="AY5" i="12"/>
  <c r="AP5" i="12"/>
  <c r="AO5" i="12"/>
  <c r="AQ5" i="12" s="1"/>
  <c r="AN5" i="12"/>
  <c r="AL5" i="12"/>
  <c r="AK5" i="12"/>
  <c r="AM5" i="12" s="1"/>
  <c r="AJ5" i="12"/>
  <c r="AI5" i="12"/>
  <c r="AH5" i="12"/>
  <c r="AG5" i="12"/>
  <c r="AF5" i="12"/>
  <c r="AD5" i="12"/>
  <c r="AC5" i="12"/>
  <c r="AB5" i="12"/>
  <c r="AA5" i="12"/>
  <c r="Z5" i="12"/>
  <c r="Y5" i="12"/>
  <c r="X5" i="12"/>
  <c r="W5" i="12"/>
  <c r="U5" i="12"/>
  <c r="D18" i="12" s="1"/>
  <c r="T5" i="12"/>
  <c r="V5" i="12" s="1"/>
  <c r="R5" i="12"/>
  <c r="Q5" i="12"/>
  <c r="S5" i="12" s="1"/>
  <c r="P5" i="12"/>
  <c r="O5" i="12"/>
  <c r="N5" i="12"/>
  <c r="M5" i="12"/>
  <c r="L5" i="12"/>
  <c r="J18" i="12" s="1"/>
  <c r="BP4" i="12"/>
  <c r="BN4" i="12"/>
  <c r="BM4" i="12"/>
  <c r="BO4" i="12" s="1"/>
  <c r="BK4" i="12"/>
  <c r="BJ4" i="12"/>
  <c r="BL4" i="12" s="1"/>
  <c r="BI4" i="12"/>
  <c r="BH4" i="12"/>
  <c r="BG4" i="12"/>
  <c r="BF4" i="12"/>
  <c r="BE4" i="12"/>
  <c r="BD4" i="12"/>
  <c r="BC4" i="12"/>
  <c r="BB4" i="12"/>
  <c r="BA4" i="12"/>
  <c r="AZ4" i="12"/>
  <c r="AY4" i="12"/>
  <c r="AP4" i="12"/>
  <c r="AO4" i="12"/>
  <c r="AQ4" i="12" s="1"/>
  <c r="AN4" i="12"/>
  <c r="AL4" i="12"/>
  <c r="AK4" i="12"/>
  <c r="AM4" i="12" s="1"/>
  <c r="AJ4" i="12"/>
  <c r="AI4" i="12"/>
  <c r="AH4" i="12"/>
  <c r="AG4" i="12"/>
  <c r="AF4" i="12"/>
  <c r="AD4" i="12"/>
  <c r="AC4" i="12"/>
  <c r="AB4" i="12"/>
  <c r="AA4" i="12"/>
  <c r="G17" i="12" s="1"/>
  <c r="Z4" i="12"/>
  <c r="F17" i="12" s="1"/>
  <c r="Y4" i="12"/>
  <c r="D17" i="12" s="1"/>
  <c r="X4" i="12"/>
  <c r="C17" i="12" s="1"/>
  <c r="W4" i="12"/>
  <c r="U4" i="12"/>
  <c r="T4" i="12"/>
  <c r="V4" i="12" s="1"/>
  <c r="R4" i="12"/>
  <c r="Q4" i="12"/>
  <c r="S4" i="12" s="1"/>
  <c r="P4" i="12"/>
  <c r="O4" i="12"/>
  <c r="N4" i="12"/>
  <c r="L17" i="12" s="1"/>
  <c r="M4" i="12"/>
  <c r="K17" i="12" s="1"/>
  <c r="L4" i="12"/>
  <c r="AE4" i="12" s="1"/>
  <c r="BP3" i="12"/>
  <c r="BN3" i="12"/>
  <c r="BM3" i="12"/>
  <c r="BO3" i="12" s="1"/>
  <c r="BK3" i="12"/>
  <c r="BJ3" i="12"/>
  <c r="BL3" i="12" s="1"/>
  <c r="BI3" i="12"/>
  <c r="BH3" i="12"/>
  <c r="BG3" i="12"/>
  <c r="BF3" i="12"/>
  <c r="BE3" i="12"/>
  <c r="BD3" i="12"/>
  <c r="BC3" i="12"/>
  <c r="BB3" i="12"/>
  <c r="BA3" i="12"/>
  <c r="AZ3" i="12"/>
  <c r="AY3" i="12"/>
  <c r="AP3" i="12"/>
  <c r="AO3" i="12"/>
  <c r="AQ3" i="12" s="1"/>
  <c r="AN3" i="12"/>
  <c r="AL3" i="12"/>
  <c r="AK3" i="12"/>
  <c r="AM3" i="12" s="1"/>
  <c r="AJ3" i="12"/>
  <c r="AI3" i="12"/>
  <c r="AH3" i="12"/>
  <c r="AG3" i="12"/>
  <c r="AF3" i="12"/>
  <c r="AD3" i="12"/>
  <c r="AC3" i="12"/>
  <c r="AB3" i="12"/>
  <c r="AA3" i="12"/>
  <c r="Z3" i="12"/>
  <c r="Y3" i="12"/>
  <c r="X3" i="12"/>
  <c r="W3" i="12"/>
  <c r="U3" i="12"/>
  <c r="T3" i="12"/>
  <c r="V3" i="12" s="1"/>
  <c r="R3" i="12"/>
  <c r="D16" i="12" s="1"/>
  <c r="Q3" i="12"/>
  <c r="C16" i="12" s="1"/>
  <c r="P3" i="12"/>
  <c r="O3" i="12"/>
  <c r="N3" i="12"/>
  <c r="L16" i="12" s="1"/>
  <c r="M3" i="12"/>
  <c r="K16" i="12" s="1"/>
  <c r="L3" i="12"/>
  <c r="AE3" i="12" s="1"/>
  <c r="B23" i="10"/>
  <c r="B21" i="10"/>
  <c r="B22" i="10"/>
  <c r="B18" i="10"/>
  <c r="B26" i="10"/>
  <c r="B25" i="10"/>
  <c r="H19" i="10"/>
  <c r="BI13" i="10"/>
  <c r="F26" i="10" s="1"/>
  <c r="BG13" i="10"/>
  <c r="H26" i="10" s="1"/>
  <c r="BF13" i="10"/>
  <c r="BH13" i="10" s="1"/>
  <c r="I26" i="10" s="1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P13" i="10"/>
  <c r="AO13" i="10"/>
  <c r="AQ13" i="10" s="1"/>
  <c r="AN13" i="10"/>
  <c r="AL13" i="10"/>
  <c r="AK13" i="10"/>
  <c r="AM13" i="10" s="1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U13" i="10"/>
  <c r="T13" i="10"/>
  <c r="V13" i="10" s="1"/>
  <c r="R13" i="10"/>
  <c r="Q13" i="10"/>
  <c r="S13" i="10" s="1"/>
  <c r="P13" i="10"/>
  <c r="O13" i="10"/>
  <c r="N13" i="10"/>
  <c r="L26" i="10" s="1"/>
  <c r="M13" i="10"/>
  <c r="K26" i="10" s="1"/>
  <c r="L13" i="10"/>
  <c r="BI12" i="10"/>
  <c r="BG12" i="10"/>
  <c r="BF12" i="10"/>
  <c r="BH12" i="10" s="1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P12" i="10"/>
  <c r="AO12" i="10"/>
  <c r="AQ12" i="10" s="1"/>
  <c r="AN12" i="10"/>
  <c r="AL12" i="10"/>
  <c r="AK12" i="10"/>
  <c r="AM12" i="10" s="1"/>
  <c r="AJ12" i="10"/>
  <c r="AI12" i="10"/>
  <c r="AH12" i="10"/>
  <c r="AG12" i="10"/>
  <c r="AF12" i="10"/>
  <c r="AD12" i="10"/>
  <c r="AC12" i="10"/>
  <c r="AB12" i="10"/>
  <c r="AA12" i="10"/>
  <c r="Z12" i="10"/>
  <c r="Y12" i="10"/>
  <c r="X12" i="10"/>
  <c r="W12" i="10"/>
  <c r="U12" i="10"/>
  <c r="T12" i="10"/>
  <c r="V12" i="10" s="1"/>
  <c r="R12" i="10"/>
  <c r="Q12" i="10"/>
  <c r="S12" i="10" s="1"/>
  <c r="P12" i="10"/>
  <c r="O12" i="10"/>
  <c r="N12" i="10"/>
  <c r="M12" i="10"/>
  <c r="L12" i="10"/>
  <c r="AE12" i="10" s="1"/>
  <c r="BI11" i="10"/>
  <c r="BG11" i="10"/>
  <c r="BF11" i="10"/>
  <c r="BH11" i="10" s="1"/>
  <c r="BD11" i="10"/>
  <c r="BC11" i="10"/>
  <c r="BE11" i="10" s="1"/>
  <c r="BB11" i="10"/>
  <c r="BA11" i="10"/>
  <c r="H24" i="10" s="1"/>
  <c r="AZ11" i="10"/>
  <c r="I24" i="10" s="1"/>
  <c r="AY11" i="10"/>
  <c r="F24" i="10" s="1"/>
  <c r="AX11" i="10"/>
  <c r="D24" i="10" s="1"/>
  <c r="AW11" i="10"/>
  <c r="AV11" i="10"/>
  <c r="AU11" i="10"/>
  <c r="AT11" i="10"/>
  <c r="AS11" i="10"/>
  <c r="AR11" i="10"/>
  <c r="E24" i="10" s="1"/>
  <c r="AP11" i="10"/>
  <c r="AO11" i="10"/>
  <c r="AQ11" i="10" s="1"/>
  <c r="AN11" i="10"/>
  <c r="AL11" i="10"/>
  <c r="AK11" i="10"/>
  <c r="AM11" i="10" s="1"/>
  <c r="AJ11" i="10"/>
  <c r="AI11" i="10"/>
  <c r="AH11" i="10"/>
  <c r="AG11" i="10"/>
  <c r="AF11" i="10"/>
  <c r="AD11" i="10"/>
  <c r="AC11" i="10"/>
  <c r="AB11" i="10"/>
  <c r="AA11" i="10"/>
  <c r="Z11" i="10"/>
  <c r="Y11" i="10"/>
  <c r="X11" i="10"/>
  <c r="W11" i="10"/>
  <c r="U11" i="10"/>
  <c r="T11" i="10"/>
  <c r="V11" i="10" s="1"/>
  <c r="R11" i="10"/>
  <c r="Q11" i="10"/>
  <c r="S11" i="10" s="1"/>
  <c r="P11" i="10"/>
  <c r="O11" i="10"/>
  <c r="N11" i="10"/>
  <c r="L24" i="10" s="1"/>
  <c r="M11" i="10"/>
  <c r="K24" i="10" s="1"/>
  <c r="L11" i="10"/>
  <c r="AE11" i="10" s="1"/>
  <c r="BI10" i="10"/>
  <c r="BG10" i="10"/>
  <c r="BF10" i="10"/>
  <c r="BH10" i="10" s="1"/>
  <c r="BD10" i="10"/>
  <c r="BC10" i="10"/>
  <c r="BE10" i="10" s="1"/>
  <c r="BB10" i="10"/>
  <c r="BA10" i="10"/>
  <c r="AZ10" i="10"/>
  <c r="AY10" i="10"/>
  <c r="AX10" i="10"/>
  <c r="AW10" i="10"/>
  <c r="AV10" i="10"/>
  <c r="AU10" i="10"/>
  <c r="AT10" i="10"/>
  <c r="AS10" i="10"/>
  <c r="D23" i="10" s="1"/>
  <c r="AR10" i="10"/>
  <c r="AP10" i="10"/>
  <c r="AO10" i="10"/>
  <c r="AQ10" i="10" s="1"/>
  <c r="AN10" i="10"/>
  <c r="AL10" i="10"/>
  <c r="AK10" i="10"/>
  <c r="AM10" i="10" s="1"/>
  <c r="AJ10" i="10"/>
  <c r="AI10" i="10"/>
  <c r="AH10" i="10"/>
  <c r="AG10" i="10"/>
  <c r="AF10" i="10"/>
  <c r="AD10" i="10"/>
  <c r="AC10" i="10"/>
  <c r="AB10" i="10"/>
  <c r="AA10" i="10"/>
  <c r="Z10" i="10"/>
  <c r="Y10" i="10"/>
  <c r="X10" i="10"/>
  <c r="W10" i="10"/>
  <c r="U10" i="10"/>
  <c r="T10" i="10"/>
  <c r="V10" i="10" s="1"/>
  <c r="R10" i="10"/>
  <c r="Q10" i="10"/>
  <c r="S10" i="10" s="1"/>
  <c r="P10" i="10"/>
  <c r="O10" i="10"/>
  <c r="N10" i="10"/>
  <c r="M10" i="10"/>
  <c r="K23" i="10" s="1"/>
  <c r="L10" i="10"/>
  <c r="AE10" i="10" s="1"/>
  <c r="BI9" i="10"/>
  <c r="BG9" i="10"/>
  <c r="BF9" i="10"/>
  <c r="BH9" i="10" s="1"/>
  <c r="BD9" i="10"/>
  <c r="BC9" i="10"/>
  <c r="BE9" i="10" s="1"/>
  <c r="BB9" i="10"/>
  <c r="BA9" i="10"/>
  <c r="AZ9" i="10"/>
  <c r="AY9" i="10"/>
  <c r="AX9" i="10"/>
  <c r="AW9" i="10"/>
  <c r="AV9" i="10"/>
  <c r="AU9" i="10"/>
  <c r="AT9" i="10"/>
  <c r="AS9" i="10"/>
  <c r="AR9" i="10"/>
  <c r="AP9" i="10"/>
  <c r="AO9" i="10"/>
  <c r="AQ9" i="10" s="1"/>
  <c r="AN9" i="10"/>
  <c r="AL9" i="10"/>
  <c r="AK9" i="10"/>
  <c r="AM9" i="10" s="1"/>
  <c r="AJ9" i="10"/>
  <c r="AI9" i="10"/>
  <c r="AH9" i="10"/>
  <c r="AG9" i="10"/>
  <c r="AF9" i="10"/>
  <c r="AD9" i="10"/>
  <c r="AC9" i="10"/>
  <c r="AB9" i="10"/>
  <c r="E22" i="10" s="1"/>
  <c r="AA9" i="10"/>
  <c r="Z9" i="10"/>
  <c r="Y9" i="10"/>
  <c r="X9" i="10"/>
  <c r="W9" i="10"/>
  <c r="U9" i="10"/>
  <c r="T9" i="10"/>
  <c r="V9" i="10" s="1"/>
  <c r="R9" i="10"/>
  <c r="Q9" i="10"/>
  <c r="S9" i="10" s="1"/>
  <c r="P9" i="10"/>
  <c r="O9" i="10"/>
  <c r="N9" i="10"/>
  <c r="M9" i="10"/>
  <c r="L9" i="10"/>
  <c r="AE9" i="10" s="1"/>
  <c r="BI8" i="10"/>
  <c r="BG8" i="10"/>
  <c r="BF8" i="10"/>
  <c r="BH8" i="10" s="1"/>
  <c r="BD8" i="10"/>
  <c r="BC8" i="10"/>
  <c r="BE8" i="10" s="1"/>
  <c r="BB8" i="10"/>
  <c r="BA8" i="10"/>
  <c r="AZ8" i="10"/>
  <c r="AY8" i="10"/>
  <c r="AX8" i="10"/>
  <c r="AW8" i="10"/>
  <c r="AV8" i="10"/>
  <c r="AU8" i="10"/>
  <c r="AT8" i="10"/>
  <c r="AS8" i="10"/>
  <c r="AR8" i="10"/>
  <c r="AP8" i="10"/>
  <c r="AO8" i="10"/>
  <c r="AQ8" i="10" s="1"/>
  <c r="AN8" i="10"/>
  <c r="AL8" i="10"/>
  <c r="AK8" i="10"/>
  <c r="AM8" i="10" s="1"/>
  <c r="AJ8" i="10"/>
  <c r="AI8" i="10"/>
  <c r="AH8" i="10"/>
  <c r="AG8" i="10"/>
  <c r="AF8" i="10"/>
  <c r="AD8" i="10"/>
  <c r="AC8" i="10"/>
  <c r="AB8" i="10"/>
  <c r="AA8" i="10"/>
  <c r="Z8" i="10"/>
  <c r="Y8" i="10"/>
  <c r="X8" i="10"/>
  <c r="W8" i="10"/>
  <c r="U8" i="10"/>
  <c r="T8" i="10"/>
  <c r="V8" i="10" s="1"/>
  <c r="R8" i="10"/>
  <c r="Q8" i="10"/>
  <c r="S8" i="10" s="1"/>
  <c r="P8" i="10"/>
  <c r="O8" i="10"/>
  <c r="N8" i="10"/>
  <c r="L21" i="10" s="1"/>
  <c r="M8" i="10"/>
  <c r="L8" i="10"/>
  <c r="AE8" i="10" s="1"/>
  <c r="BI7" i="10"/>
  <c r="BG7" i="10"/>
  <c r="BF7" i="10"/>
  <c r="BH7" i="10" s="1"/>
  <c r="BD7" i="10"/>
  <c r="BC7" i="10"/>
  <c r="BE7" i="10" s="1"/>
  <c r="BB7" i="10"/>
  <c r="BA7" i="10"/>
  <c r="H20" i="10" s="1"/>
  <c r="AZ7" i="10"/>
  <c r="G20" i="10" s="1"/>
  <c r="AY7" i="10"/>
  <c r="F20" i="10" s="1"/>
  <c r="AX7" i="10"/>
  <c r="D20" i="10" s="1"/>
  <c r="AW7" i="10"/>
  <c r="C20" i="10" s="1"/>
  <c r="AV7" i="10"/>
  <c r="AU7" i="10"/>
  <c r="AT7" i="10"/>
  <c r="AS7" i="10"/>
  <c r="AR7" i="10"/>
  <c r="AP7" i="10"/>
  <c r="AO7" i="10"/>
  <c r="AQ7" i="10" s="1"/>
  <c r="AN7" i="10"/>
  <c r="AL7" i="10"/>
  <c r="AK7" i="10"/>
  <c r="AM7" i="10" s="1"/>
  <c r="AJ7" i="10"/>
  <c r="AI7" i="10"/>
  <c r="AH7" i="10"/>
  <c r="AG7" i="10"/>
  <c r="AF7" i="10"/>
  <c r="AD7" i="10"/>
  <c r="AC7" i="10"/>
  <c r="AB7" i="10"/>
  <c r="AA7" i="10"/>
  <c r="Z7" i="10"/>
  <c r="Y7" i="10"/>
  <c r="X7" i="10"/>
  <c r="W7" i="10"/>
  <c r="U7" i="10"/>
  <c r="T7" i="10"/>
  <c r="V7" i="10" s="1"/>
  <c r="R7" i="10"/>
  <c r="Q7" i="10"/>
  <c r="S7" i="10" s="1"/>
  <c r="P7" i="10"/>
  <c r="O7" i="10"/>
  <c r="N7" i="10"/>
  <c r="L20" i="10" s="1"/>
  <c r="M7" i="10"/>
  <c r="K20" i="10" s="1"/>
  <c r="L7" i="10"/>
  <c r="AE7" i="10" s="1"/>
  <c r="BI6" i="10"/>
  <c r="BG6" i="10"/>
  <c r="BF6" i="10"/>
  <c r="BH6" i="10" s="1"/>
  <c r="BD6" i="10"/>
  <c r="BC6" i="10"/>
  <c r="BE6" i="10" s="1"/>
  <c r="BB6" i="10"/>
  <c r="BA6" i="10"/>
  <c r="AZ6" i="10"/>
  <c r="AY6" i="10"/>
  <c r="AX6" i="10"/>
  <c r="AW6" i="10"/>
  <c r="AV6" i="10"/>
  <c r="AU6" i="10"/>
  <c r="AT6" i="10"/>
  <c r="AS6" i="10"/>
  <c r="AR6" i="10"/>
  <c r="AP6" i="10"/>
  <c r="AO6" i="10"/>
  <c r="AQ6" i="10" s="1"/>
  <c r="AN6" i="10"/>
  <c r="AL6" i="10"/>
  <c r="AK6" i="10"/>
  <c r="AM6" i="10" s="1"/>
  <c r="AJ6" i="10"/>
  <c r="AI6" i="10"/>
  <c r="AH6" i="10"/>
  <c r="AG6" i="10"/>
  <c r="AF6" i="10"/>
  <c r="AE6" i="10"/>
  <c r="AD6" i="10"/>
  <c r="AC6" i="10"/>
  <c r="AB6" i="10"/>
  <c r="AA6" i="10"/>
  <c r="I19" i="10" s="1"/>
  <c r="Z6" i="10"/>
  <c r="F19" i="10" s="1"/>
  <c r="Y6" i="10"/>
  <c r="D19" i="10" s="1"/>
  <c r="X6" i="10"/>
  <c r="E19" i="10" s="1"/>
  <c r="W6" i="10"/>
  <c r="U6" i="10"/>
  <c r="T6" i="10"/>
  <c r="V6" i="10" s="1"/>
  <c r="R6" i="10"/>
  <c r="Q6" i="10"/>
  <c r="S6" i="10" s="1"/>
  <c r="P6" i="10"/>
  <c r="O6" i="10"/>
  <c r="N6" i="10"/>
  <c r="L19" i="10" s="1"/>
  <c r="M6" i="10"/>
  <c r="K19" i="10" s="1"/>
  <c r="L6" i="10"/>
  <c r="J19" i="10" s="1"/>
  <c r="BI5" i="10"/>
  <c r="BG5" i="10"/>
  <c r="BF5" i="10"/>
  <c r="BH5" i="10" s="1"/>
  <c r="BD5" i="10"/>
  <c r="BC5" i="10"/>
  <c r="BE5" i="10" s="1"/>
  <c r="BB5" i="10"/>
  <c r="BA5" i="10"/>
  <c r="AZ5" i="10"/>
  <c r="AY5" i="10"/>
  <c r="AX5" i="10"/>
  <c r="AW5" i="10"/>
  <c r="AV5" i="10"/>
  <c r="AU5" i="10"/>
  <c r="AT5" i="10"/>
  <c r="AS5" i="10"/>
  <c r="AR5" i="10"/>
  <c r="AP5" i="10"/>
  <c r="AO5" i="10"/>
  <c r="AQ5" i="10" s="1"/>
  <c r="AN5" i="10"/>
  <c r="AL5" i="10"/>
  <c r="AK5" i="10"/>
  <c r="AM5" i="10" s="1"/>
  <c r="AJ5" i="10"/>
  <c r="AI5" i="10"/>
  <c r="AH5" i="10"/>
  <c r="AG5" i="10"/>
  <c r="AF5" i="10"/>
  <c r="AD5" i="10"/>
  <c r="F18" i="10" s="1"/>
  <c r="AC5" i="10"/>
  <c r="D18" i="10" s="1"/>
  <c r="AB5" i="10"/>
  <c r="AA5" i="10"/>
  <c r="Z5" i="10"/>
  <c r="Y5" i="10"/>
  <c r="X5" i="10"/>
  <c r="W5" i="10"/>
  <c r="U5" i="10"/>
  <c r="T5" i="10"/>
  <c r="R5" i="10"/>
  <c r="Q5" i="10"/>
  <c r="S5" i="10" s="1"/>
  <c r="P5" i="10"/>
  <c r="O5" i="10"/>
  <c r="N5" i="10"/>
  <c r="L18" i="10" s="1"/>
  <c r="M5" i="10"/>
  <c r="K18" i="10" s="1"/>
  <c r="L5" i="10"/>
  <c r="AE5" i="10" s="1"/>
  <c r="G18" i="10" s="1"/>
  <c r="BI4" i="10"/>
  <c r="BG4" i="10"/>
  <c r="BF4" i="10"/>
  <c r="BH4" i="10" s="1"/>
  <c r="BD4" i="10"/>
  <c r="BC4" i="10"/>
  <c r="BE4" i="10" s="1"/>
  <c r="BB4" i="10"/>
  <c r="BA4" i="10"/>
  <c r="AZ4" i="10"/>
  <c r="AY4" i="10"/>
  <c r="AX4" i="10"/>
  <c r="AW4" i="10"/>
  <c r="AV4" i="10"/>
  <c r="AU4" i="10"/>
  <c r="AT4" i="10"/>
  <c r="AS4" i="10"/>
  <c r="AR4" i="10"/>
  <c r="AP4" i="10"/>
  <c r="AO4" i="10"/>
  <c r="AQ4" i="10" s="1"/>
  <c r="AN4" i="10"/>
  <c r="AL4" i="10"/>
  <c r="AK4" i="10"/>
  <c r="AM4" i="10" s="1"/>
  <c r="AJ4" i="10"/>
  <c r="AI4" i="10"/>
  <c r="AH4" i="10"/>
  <c r="AG4" i="10"/>
  <c r="AF4" i="10"/>
  <c r="AD4" i="10"/>
  <c r="AC4" i="10"/>
  <c r="AB4" i="10"/>
  <c r="AA4" i="10"/>
  <c r="G17" i="10" s="1"/>
  <c r="Z4" i="10"/>
  <c r="F17" i="10" s="1"/>
  <c r="Y4" i="10"/>
  <c r="D17" i="10" s="1"/>
  <c r="X4" i="10"/>
  <c r="C17" i="10" s="1"/>
  <c r="W4" i="10"/>
  <c r="U4" i="10"/>
  <c r="T4" i="10"/>
  <c r="V4" i="10" s="1"/>
  <c r="R4" i="10"/>
  <c r="Q4" i="10"/>
  <c r="S4" i="10" s="1"/>
  <c r="P4" i="10"/>
  <c r="O4" i="10"/>
  <c r="N4" i="10"/>
  <c r="L17" i="10" s="1"/>
  <c r="M4" i="10"/>
  <c r="K17" i="10" s="1"/>
  <c r="L4" i="10"/>
  <c r="J17" i="10" s="1"/>
  <c r="BI3" i="10"/>
  <c r="BG3" i="10"/>
  <c r="BF3" i="10"/>
  <c r="BH3" i="10" s="1"/>
  <c r="BD3" i="10"/>
  <c r="BC3" i="10"/>
  <c r="BE3" i="10" s="1"/>
  <c r="BB3" i="10"/>
  <c r="BA3" i="10"/>
  <c r="AZ3" i="10"/>
  <c r="AY3" i="10"/>
  <c r="AX3" i="10"/>
  <c r="AW3" i="10"/>
  <c r="AV3" i="10"/>
  <c r="AU3" i="10"/>
  <c r="AT3" i="10"/>
  <c r="AS3" i="10"/>
  <c r="AR3" i="10"/>
  <c r="AP3" i="10"/>
  <c r="AO3" i="10"/>
  <c r="AQ3" i="10" s="1"/>
  <c r="AN3" i="10"/>
  <c r="AL3" i="10"/>
  <c r="AK3" i="10"/>
  <c r="AM3" i="10" s="1"/>
  <c r="AJ3" i="10"/>
  <c r="AI3" i="10"/>
  <c r="AH3" i="10"/>
  <c r="AG3" i="10"/>
  <c r="AF3" i="10"/>
  <c r="AD3" i="10"/>
  <c r="AC3" i="10"/>
  <c r="AB3" i="10"/>
  <c r="AA3" i="10"/>
  <c r="Z3" i="10"/>
  <c r="Y3" i="10"/>
  <c r="X3" i="10"/>
  <c r="W3" i="10"/>
  <c r="U3" i="10"/>
  <c r="T3" i="10"/>
  <c r="V3" i="10" s="1"/>
  <c r="R3" i="10"/>
  <c r="D16" i="10" s="1"/>
  <c r="Q3" i="10"/>
  <c r="C16" i="10" s="1"/>
  <c r="P3" i="10"/>
  <c r="O3" i="10"/>
  <c r="N3" i="10"/>
  <c r="L16" i="10" s="1"/>
  <c r="M3" i="10"/>
  <c r="K16" i="10" s="1"/>
  <c r="L3" i="10"/>
  <c r="AE3" i="10" s="1"/>
  <c r="B18" i="9"/>
  <c r="B25" i="9"/>
  <c r="B26" i="9"/>
  <c r="B23" i="9"/>
  <c r="B22" i="9"/>
  <c r="B21" i="9"/>
  <c r="H19" i="9"/>
  <c r="BY13" i="9"/>
  <c r="BW13" i="9"/>
  <c r="BV13" i="9"/>
  <c r="BT13" i="9"/>
  <c r="H26" i="9" s="1"/>
  <c r="BS13" i="9"/>
  <c r="BU13" i="9" s="1"/>
  <c r="I26" i="9" s="1"/>
  <c r="BR13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A13" i="9"/>
  <c r="AZ13" i="9"/>
  <c r="BB13" i="9" s="1"/>
  <c r="AY13" i="9"/>
  <c r="AW13" i="9"/>
  <c r="AV13" i="9"/>
  <c r="AX13" i="9" s="1"/>
  <c r="AT13" i="9"/>
  <c r="AS13" i="9"/>
  <c r="AU13" i="9" s="1"/>
  <c r="AR13" i="9"/>
  <c r="AP13" i="9"/>
  <c r="AO13" i="9"/>
  <c r="AQ13" i="9" s="1"/>
  <c r="AN13" i="9"/>
  <c r="AM13" i="9"/>
  <c r="AL13" i="9"/>
  <c r="AK13" i="9"/>
  <c r="AJ13" i="9"/>
  <c r="AH13" i="9"/>
  <c r="AG13" i="9"/>
  <c r="AF13" i="9"/>
  <c r="AE13" i="9"/>
  <c r="AD13" i="9"/>
  <c r="AC13" i="9"/>
  <c r="AB13" i="9"/>
  <c r="AA13" i="9"/>
  <c r="Y13" i="9"/>
  <c r="X13" i="9"/>
  <c r="Z13" i="9" s="1"/>
  <c r="W13" i="9"/>
  <c r="U13" i="9"/>
  <c r="T13" i="9"/>
  <c r="V13" i="9" s="1"/>
  <c r="R13" i="9"/>
  <c r="Q13" i="9"/>
  <c r="S13" i="9" s="1"/>
  <c r="P13" i="9"/>
  <c r="O13" i="9"/>
  <c r="N13" i="9"/>
  <c r="M13" i="9"/>
  <c r="L13" i="9"/>
  <c r="AI13" i="9" s="1"/>
  <c r="BY12" i="9"/>
  <c r="BW12" i="9"/>
  <c r="BV12" i="9"/>
  <c r="BT12" i="9"/>
  <c r="BS12" i="9"/>
  <c r="BU12" i="9" s="1"/>
  <c r="BR12" i="9"/>
  <c r="F25" i="9" s="1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A12" i="9"/>
  <c r="AZ12" i="9"/>
  <c r="BB12" i="9" s="1"/>
  <c r="AY12" i="9"/>
  <c r="AW12" i="9"/>
  <c r="AV12" i="9"/>
  <c r="AX12" i="9" s="1"/>
  <c r="AT12" i="9"/>
  <c r="AS12" i="9"/>
  <c r="AU12" i="9" s="1"/>
  <c r="AR12" i="9"/>
  <c r="AP12" i="9"/>
  <c r="AO12" i="9"/>
  <c r="AQ12" i="9" s="1"/>
  <c r="AN12" i="9"/>
  <c r="AM12" i="9"/>
  <c r="AL12" i="9"/>
  <c r="AK12" i="9"/>
  <c r="AJ12" i="9"/>
  <c r="AH12" i="9"/>
  <c r="AG12" i="9"/>
  <c r="AF12" i="9"/>
  <c r="AE12" i="9"/>
  <c r="AD12" i="9"/>
  <c r="AC12" i="9"/>
  <c r="AB12" i="9"/>
  <c r="AA12" i="9"/>
  <c r="Y12" i="9"/>
  <c r="X12" i="9"/>
  <c r="Z12" i="9" s="1"/>
  <c r="W12" i="9"/>
  <c r="U12" i="9"/>
  <c r="T12" i="9"/>
  <c r="V12" i="9" s="1"/>
  <c r="R12" i="9"/>
  <c r="Q12" i="9"/>
  <c r="S12" i="9" s="1"/>
  <c r="P12" i="9"/>
  <c r="O12" i="9"/>
  <c r="N12" i="9"/>
  <c r="L25" i="9" s="1"/>
  <c r="M12" i="9"/>
  <c r="K25" i="9" s="1"/>
  <c r="L12" i="9"/>
  <c r="AI12" i="9" s="1"/>
  <c r="BY11" i="9"/>
  <c r="BW11" i="9"/>
  <c r="BV11" i="9"/>
  <c r="BX11" i="9" s="1"/>
  <c r="BT11" i="9"/>
  <c r="BS11" i="9"/>
  <c r="BU11" i="9" s="1"/>
  <c r="BR11" i="9"/>
  <c r="BQ11" i="9"/>
  <c r="BP11" i="9"/>
  <c r="BO11" i="9"/>
  <c r="BN11" i="9"/>
  <c r="BM11" i="9"/>
  <c r="BL11" i="9"/>
  <c r="H24" i="9" s="1"/>
  <c r="BK11" i="9"/>
  <c r="I24" i="9" s="1"/>
  <c r="BJ11" i="9"/>
  <c r="F24" i="9" s="1"/>
  <c r="BI11" i="9"/>
  <c r="D24" i="9" s="1"/>
  <c r="BH11" i="9"/>
  <c r="BG11" i="9"/>
  <c r="BF11" i="9"/>
  <c r="BE11" i="9"/>
  <c r="BD11" i="9"/>
  <c r="BC11" i="9"/>
  <c r="E24" i="9" s="1"/>
  <c r="BA11" i="9"/>
  <c r="AZ11" i="9"/>
  <c r="BB11" i="9" s="1"/>
  <c r="AY11" i="9"/>
  <c r="AW11" i="9"/>
  <c r="AV11" i="9"/>
  <c r="AX11" i="9" s="1"/>
  <c r="AT11" i="9"/>
  <c r="AS11" i="9"/>
  <c r="AU11" i="9" s="1"/>
  <c r="AR11" i="9"/>
  <c r="AP11" i="9"/>
  <c r="AO11" i="9"/>
  <c r="AQ11" i="9" s="1"/>
  <c r="AN11" i="9"/>
  <c r="AM11" i="9"/>
  <c r="AL11" i="9"/>
  <c r="AK11" i="9"/>
  <c r="AJ11" i="9"/>
  <c r="AH11" i="9"/>
  <c r="AG11" i="9"/>
  <c r="AF11" i="9"/>
  <c r="AE11" i="9"/>
  <c r="AD11" i="9"/>
  <c r="AC11" i="9"/>
  <c r="AB11" i="9"/>
  <c r="AA11" i="9"/>
  <c r="Y11" i="9"/>
  <c r="X11" i="9"/>
  <c r="Z11" i="9" s="1"/>
  <c r="W11" i="9"/>
  <c r="U11" i="9"/>
  <c r="T11" i="9"/>
  <c r="V11" i="9" s="1"/>
  <c r="R11" i="9"/>
  <c r="Q11" i="9"/>
  <c r="S11" i="9" s="1"/>
  <c r="P11" i="9"/>
  <c r="O11" i="9"/>
  <c r="N11" i="9"/>
  <c r="L24" i="9" s="1"/>
  <c r="M11" i="9"/>
  <c r="K24" i="9" s="1"/>
  <c r="L11" i="9"/>
  <c r="AI11" i="9" s="1"/>
  <c r="BY10" i="9"/>
  <c r="BW10" i="9"/>
  <c r="BV10" i="9"/>
  <c r="BX10" i="9" s="1"/>
  <c r="BT10" i="9"/>
  <c r="BS10" i="9"/>
  <c r="BU10" i="9" s="1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D23" i="9" s="1"/>
  <c r="BC10" i="9"/>
  <c r="E23" i="9" s="1"/>
  <c r="BA10" i="9"/>
  <c r="AZ10" i="9"/>
  <c r="BB10" i="9" s="1"/>
  <c r="AY10" i="9"/>
  <c r="AW10" i="9"/>
  <c r="AV10" i="9"/>
  <c r="AX10" i="9" s="1"/>
  <c r="AT10" i="9"/>
  <c r="AS10" i="9"/>
  <c r="AU10" i="9" s="1"/>
  <c r="AR10" i="9"/>
  <c r="AP10" i="9"/>
  <c r="AO10" i="9"/>
  <c r="AQ10" i="9" s="1"/>
  <c r="AN10" i="9"/>
  <c r="AM10" i="9"/>
  <c r="AL10" i="9"/>
  <c r="AK10" i="9"/>
  <c r="AJ10" i="9"/>
  <c r="AH10" i="9"/>
  <c r="AG10" i="9"/>
  <c r="AF10" i="9"/>
  <c r="AE10" i="9"/>
  <c r="AD10" i="9"/>
  <c r="AC10" i="9"/>
  <c r="AB10" i="9"/>
  <c r="AA10" i="9"/>
  <c r="Y10" i="9"/>
  <c r="X10" i="9"/>
  <c r="Z10" i="9" s="1"/>
  <c r="W10" i="9"/>
  <c r="U10" i="9"/>
  <c r="T10" i="9"/>
  <c r="V10" i="9" s="1"/>
  <c r="R10" i="9"/>
  <c r="Q10" i="9"/>
  <c r="S10" i="9" s="1"/>
  <c r="P10" i="9"/>
  <c r="O10" i="9"/>
  <c r="N10" i="9"/>
  <c r="M10" i="9"/>
  <c r="L10" i="9"/>
  <c r="AI10" i="9" s="1"/>
  <c r="BY9" i="9"/>
  <c r="BW9" i="9"/>
  <c r="BV9" i="9"/>
  <c r="BX9" i="9" s="1"/>
  <c r="BT9" i="9"/>
  <c r="BS9" i="9"/>
  <c r="BU9" i="9" s="1"/>
  <c r="BR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A9" i="9"/>
  <c r="AZ9" i="9"/>
  <c r="BB9" i="9" s="1"/>
  <c r="AY9" i="9"/>
  <c r="AW9" i="9"/>
  <c r="AV9" i="9"/>
  <c r="AX9" i="9" s="1"/>
  <c r="AT9" i="9"/>
  <c r="AS9" i="9"/>
  <c r="AU9" i="9" s="1"/>
  <c r="AR9" i="9"/>
  <c r="AP9" i="9"/>
  <c r="AO9" i="9"/>
  <c r="AQ9" i="9" s="1"/>
  <c r="AN9" i="9"/>
  <c r="AM9" i="9"/>
  <c r="AL9" i="9"/>
  <c r="AK9" i="9"/>
  <c r="AJ9" i="9"/>
  <c r="AH9" i="9"/>
  <c r="AG9" i="9"/>
  <c r="AF9" i="9"/>
  <c r="AE9" i="9"/>
  <c r="AD9" i="9"/>
  <c r="AC9" i="9"/>
  <c r="AB9" i="9"/>
  <c r="AA9" i="9"/>
  <c r="Y9" i="9"/>
  <c r="X9" i="9"/>
  <c r="Z9" i="9" s="1"/>
  <c r="W9" i="9"/>
  <c r="U9" i="9"/>
  <c r="T9" i="9"/>
  <c r="V9" i="9" s="1"/>
  <c r="R9" i="9"/>
  <c r="Q9" i="9"/>
  <c r="S9" i="9" s="1"/>
  <c r="P9" i="9"/>
  <c r="O9" i="9"/>
  <c r="N9" i="9"/>
  <c r="M9" i="9"/>
  <c r="L9" i="9"/>
  <c r="AI9" i="9" s="1"/>
  <c r="BY8" i="9"/>
  <c r="BW8" i="9"/>
  <c r="BV8" i="9"/>
  <c r="BX8" i="9" s="1"/>
  <c r="BT8" i="9"/>
  <c r="BS8" i="9"/>
  <c r="BU8" i="9" s="1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A8" i="9"/>
  <c r="H21" i="9" s="1"/>
  <c r="AZ8" i="9"/>
  <c r="AY8" i="9"/>
  <c r="AW8" i="9"/>
  <c r="D21" i="9" s="1"/>
  <c r="AV8" i="9"/>
  <c r="AT8" i="9"/>
  <c r="AS8" i="9"/>
  <c r="AU8" i="9" s="1"/>
  <c r="AR8" i="9"/>
  <c r="AP8" i="9"/>
  <c r="AO8" i="9"/>
  <c r="AQ8" i="9" s="1"/>
  <c r="AN8" i="9"/>
  <c r="AM8" i="9"/>
  <c r="AL8" i="9"/>
  <c r="AK8" i="9"/>
  <c r="AJ8" i="9"/>
  <c r="AH8" i="9"/>
  <c r="AG8" i="9"/>
  <c r="AF8" i="9"/>
  <c r="AE8" i="9"/>
  <c r="AD8" i="9"/>
  <c r="AC8" i="9"/>
  <c r="AB8" i="9"/>
  <c r="AA8" i="9"/>
  <c r="Y8" i="9"/>
  <c r="X8" i="9"/>
  <c r="Z8" i="9" s="1"/>
  <c r="W8" i="9"/>
  <c r="U8" i="9"/>
  <c r="T8" i="9"/>
  <c r="V8" i="9" s="1"/>
  <c r="R8" i="9"/>
  <c r="Q8" i="9"/>
  <c r="S8" i="9" s="1"/>
  <c r="P8" i="9"/>
  <c r="O8" i="9"/>
  <c r="N8" i="9"/>
  <c r="L21" i="9" s="1"/>
  <c r="M8" i="9"/>
  <c r="L8" i="9"/>
  <c r="AI8" i="9" s="1"/>
  <c r="BY7" i="9"/>
  <c r="BW7" i="9"/>
  <c r="BV7" i="9"/>
  <c r="BX7" i="9" s="1"/>
  <c r="BT7" i="9"/>
  <c r="BS7" i="9"/>
  <c r="BU7" i="9" s="1"/>
  <c r="BR7" i="9"/>
  <c r="BQ7" i="9"/>
  <c r="H20" i="9" s="1"/>
  <c r="BP7" i="9"/>
  <c r="G20" i="9" s="1"/>
  <c r="BO7" i="9"/>
  <c r="F20" i="9" s="1"/>
  <c r="BN7" i="9"/>
  <c r="D20" i="9" s="1"/>
  <c r="BM7" i="9"/>
  <c r="C20" i="9" s="1"/>
  <c r="BL7" i="9"/>
  <c r="BK7" i="9"/>
  <c r="BJ7" i="9"/>
  <c r="BI7" i="9"/>
  <c r="BH7" i="9"/>
  <c r="BG7" i="9"/>
  <c r="BF7" i="9"/>
  <c r="BE7" i="9"/>
  <c r="BD7" i="9"/>
  <c r="BC7" i="9"/>
  <c r="BA7" i="9"/>
  <c r="AZ7" i="9"/>
  <c r="BB7" i="9" s="1"/>
  <c r="AY7" i="9"/>
  <c r="AW7" i="9"/>
  <c r="AV7" i="9"/>
  <c r="AX7" i="9" s="1"/>
  <c r="AT7" i="9"/>
  <c r="AS7" i="9"/>
  <c r="AU7" i="9" s="1"/>
  <c r="AR7" i="9"/>
  <c r="AP7" i="9"/>
  <c r="AO7" i="9"/>
  <c r="AQ7" i="9" s="1"/>
  <c r="AN7" i="9"/>
  <c r="AM7" i="9"/>
  <c r="AL7" i="9"/>
  <c r="AK7" i="9"/>
  <c r="AJ7" i="9"/>
  <c r="AH7" i="9"/>
  <c r="AG7" i="9"/>
  <c r="AF7" i="9"/>
  <c r="AE7" i="9"/>
  <c r="AD7" i="9"/>
  <c r="AC7" i="9"/>
  <c r="AB7" i="9"/>
  <c r="AA7" i="9"/>
  <c r="Y7" i="9"/>
  <c r="X7" i="9"/>
  <c r="Z7" i="9" s="1"/>
  <c r="W7" i="9"/>
  <c r="U7" i="9"/>
  <c r="T7" i="9"/>
  <c r="V7" i="9" s="1"/>
  <c r="R7" i="9"/>
  <c r="Q7" i="9"/>
  <c r="S7" i="9" s="1"/>
  <c r="P7" i="9"/>
  <c r="O7" i="9"/>
  <c r="N7" i="9"/>
  <c r="L20" i="9" s="1"/>
  <c r="M7" i="9"/>
  <c r="K20" i="9" s="1"/>
  <c r="L7" i="9"/>
  <c r="AI7" i="9" s="1"/>
  <c r="BY6" i="9"/>
  <c r="BW6" i="9"/>
  <c r="BV6" i="9"/>
  <c r="BX6" i="9" s="1"/>
  <c r="BT6" i="9"/>
  <c r="BS6" i="9"/>
  <c r="BU6" i="9" s="1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A6" i="9"/>
  <c r="AZ6" i="9"/>
  <c r="BB6" i="9" s="1"/>
  <c r="AY6" i="9"/>
  <c r="AW6" i="9"/>
  <c r="AV6" i="9"/>
  <c r="AX6" i="9" s="1"/>
  <c r="AT6" i="9"/>
  <c r="AS6" i="9"/>
  <c r="AU6" i="9" s="1"/>
  <c r="AR6" i="9"/>
  <c r="AP6" i="9"/>
  <c r="AO6" i="9"/>
  <c r="AQ6" i="9" s="1"/>
  <c r="AN6" i="9"/>
  <c r="AM6" i="9"/>
  <c r="AL6" i="9"/>
  <c r="AK6" i="9"/>
  <c r="AJ6" i="9"/>
  <c r="AH6" i="9"/>
  <c r="AG6" i="9"/>
  <c r="AF6" i="9"/>
  <c r="AE6" i="9"/>
  <c r="I19" i="9" s="1"/>
  <c r="AD6" i="9"/>
  <c r="F19" i="9" s="1"/>
  <c r="AC6" i="9"/>
  <c r="D19" i="9" s="1"/>
  <c r="AB6" i="9"/>
  <c r="E19" i="9" s="1"/>
  <c r="AA6" i="9"/>
  <c r="Y6" i="9"/>
  <c r="X6" i="9"/>
  <c r="Z6" i="9" s="1"/>
  <c r="W6" i="9"/>
  <c r="U6" i="9"/>
  <c r="T6" i="9"/>
  <c r="V6" i="9" s="1"/>
  <c r="R6" i="9"/>
  <c r="Q6" i="9"/>
  <c r="S6" i="9" s="1"/>
  <c r="P6" i="9"/>
  <c r="O6" i="9"/>
  <c r="N6" i="9"/>
  <c r="L19" i="9" s="1"/>
  <c r="M6" i="9"/>
  <c r="K19" i="9" s="1"/>
  <c r="L6" i="9"/>
  <c r="AI6" i="9" s="1"/>
  <c r="BY5" i="9"/>
  <c r="BW5" i="9"/>
  <c r="BV5" i="9"/>
  <c r="BX5" i="9" s="1"/>
  <c r="BT5" i="9"/>
  <c r="BS5" i="9"/>
  <c r="BU5" i="9" s="1"/>
  <c r="I18" i="9" s="1"/>
  <c r="BR5" i="9"/>
  <c r="F18" i="9" s="1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A5" i="9"/>
  <c r="AZ5" i="9"/>
  <c r="BB5" i="9" s="1"/>
  <c r="AY5" i="9"/>
  <c r="AW5" i="9"/>
  <c r="AV5" i="9"/>
  <c r="AX5" i="9" s="1"/>
  <c r="AT5" i="9"/>
  <c r="AS5" i="9"/>
  <c r="AU5" i="9" s="1"/>
  <c r="AR5" i="9"/>
  <c r="AP5" i="9"/>
  <c r="AO5" i="9"/>
  <c r="AQ5" i="9" s="1"/>
  <c r="AN5" i="9"/>
  <c r="AM5" i="9"/>
  <c r="AL5" i="9"/>
  <c r="AK5" i="9"/>
  <c r="AJ5" i="9"/>
  <c r="AH5" i="9"/>
  <c r="AG5" i="9"/>
  <c r="AF5" i="9"/>
  <c r="AE5" i="9"/>
  <c r="AD5" i="9"/>
  <c r="AC5" i="9"/>
  <c r="AB5" i="9"/>
  <c r="AA5" i="9"/>
  <c r="Y5" i="9"/>
  <c r="X5" i="9"/>
  <c r="Z5" i="9" s="1"/>
  <c r="W5" i="9"/>
  <c r="U5" i="9"/>
  <c r="T5" i="9"/>
  <c r="V5" i="9" s="1"/>
  <c r="R5" i="9"/>
  <c r="Q5" i="9"/>
  <c r="S5" i="9" s="1"/>
  <c r="P5" i="9"/>
  <c r="O5" i="9"/>
  <c r="N5" i="9"/>
  <c r="L18" i="9" s="1"/>
  <c r="M5" i="9"/>
  <c r="L5" i="9"/>
  <c r="AI5" i="9" s="1"/>
  <c r="BY4" i="9"/>
  <c r="BW4" i="9"/>
  <c r="BV4" i="9"/>
  <c r="BX4" i="9" s="1"/>
  <c r="BT4" i="9"/>
  <c r="BS4" i="9"/>
  <c r="BU4" i="9" s="1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A4" i="9"/>
  <c r="AZ4" i="9"/>
  <c r="BB4" i="9" s="1"/>
  <c r="AY4" i="9"/>
  <c r="AW4" i="9"/>
  <c r="AV4" i="9"/>
  <c r="AX4" i="9" s="1"/>
  <c r="AT4" i="9"/>
  <c r="AS4" i="9"/>
  <c r="AU4" i="9" s="1"/>
  <c r="AR4" i="9"/>
  <c r="AP4" i="9"/>
  <c r="AO4" i="9"/>
  <c r="AQ4" i="9" s="1"/>
  <c r="AN4" i="9"/>
  <c r="AM4" i="9"/>
  <c r="AL4" i="9"/>
  <c r="AK4" i="9"/>
  <c r="AJ4" i="9"/>
  <c r="AH4" i="9"/>
  <c r="AG4" i="9"/>
  <c r="AF4" i="9"/>
  <c r="AE4" i="9"/>
  <c r="G17" i="9" s="1"/>
  <c r="AD4" i="9"/>
  <c r="F17" i="9" s="1"/>
  <c r="AC4" i="9"/>
  <c r="D17" i="9" s="1"/>
  <c r="AB4" i="9"/>
  <c r="C17" i="9" s="1"/>
  <c r="AA4" i="9"/>
  <c r="Y4" i="9"/>
  <c r="X4" i="9"/>
  <c r="Z4" i="9" s="1"/>
  <c r="W4" i="9"/>
  <c r="U4" i="9"/>
  <c r="T4" i="9"/>
  <c r="V4" i="9" s="1"/>
  <c r="R4" i="9"/>
  <c r="Q4" i="9"/>
  <c r="S4" i="9" s="1"/>
  <c r="P4" i="9"/>
  <c r="O4" i="9"/>
  <c r="N4" i="9"/>
  <c r="L17" i="9" s="1"/>
  <c r="M4" i="9"/>
  <c r="K17" i="9" s="1"/>
  <c r="L4" i="9"/>
  <c r="BY3" i="9"/>
  <c r="BW3" i="9"/>
  <c r="BV3" i="9"/>
  <c r="BX3" i="9" s="1"/>
  <c r="BT3" i="9"/>
  <c r="BS3" i="9"/>
  <c r="BU3" i="9" s="1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A3" i="9"/>
  <c r="AZ3" i="9"/>
  <c r="BB3" i="9" s="1"/>
  <c r="AY3" i="9"/>
  <c r="AW3" i="9"/>
  <c r="AV3" i="9"/>
  <c r="AX3" i="9" s="1"/>
  <c r="AT3" i="9"/>
  <c r="AS3" i="9"/>
  <c r="AU3" i="9" s="1"/>
  <c r="AR3" i="9"/>
  <c r="AP3" i="9"/>
  <c r="AO3" i="9"/>
  <c r="AQ3" i="9" s="1"/>
  <c r="AN3" i="9"/>
  <c r="AM3" i="9"/>
  <c r="AL3" i="9"/>
  <c r="AK3" i="9"/>
  <c r="AJ3" i="9"/>
  <c r="AH3" i="9"/>
  <c r="AG3" i="9"/>
  <c r="AF3" i="9"/>
  <c r="AE3" i="9"/>
  <c r="AD3" i="9"/>
  <c r="AC3" i="9"/>
  <c r="AB3" i="9"/>
  <c r="AA3" i="9"/>
  <c r="Y3" i="9"/>
  <c r="X3" i="9"/>
  <c r="Z3" i="9" s="1"/>
  <c r="W3" i="9"/>
  <c r="U3" i="9"/>
  <c r="T3" i="9"/>
  <c r="V3" i="9" s="1"/>
  <c r="R3" i="9"/>
  <c r="D16" i="9" s="1"/>
  <c r="Q3" i="9"/>
  <c r="C16" i="9" s="1"/>
  <c r="P3" i="9"/>
  <c r="O3" i="9"/>
  <c r="N3" i="9"/>
  <c r="L16" i="9" s="1"/>
  <c r="M3" i="9"/>
  <c r="K16" i="9" s="1"/>
  <c r="L3" i="9"/>
  <c r="AI3" i="9" s="1"/>
  <c r="B26" i="8"/>
  <c r="L26" i="8" s="1"/>
  <c r="B25" i="8"/>
  <c r="B23" i="8"/>
  <c r="B22" i="8"/>
  <c r="B21" i="8"/>
  <c r="H19" i="8"/>
  <c r="L18" i="8"/>
  <c r="BY13" i="8"/>
  <c r="BW13" i="8"/>
  <c r="BV13" i="8"/>
  <c r="BT13" i="8"/>
  <c r="BS13" i="8"/>
  <c r="BU13" i="8" s="1"/>
  <c r="I26" i="8" s="1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A13" i="8"/>
  <c r="AZ13" i="8"/>
  <c r="BB13" i="8" s="1"/>
  <c r="AY13" i="8"/>
  <c r="AW13" i="8"/>
  <c r="AV13" i="8"/>
  <c r="AX13" i="8" s="1"/>
  <c r="AT13" i="8"/>
  <c r="AS13" i="8"/>
  <c r="AU13" i="8" s="1"/>
  <c r="AR13" i="8"/>
  <c r="AP13" i="8"/>
  <c r="AO13" i="8"/>
  <c r="AQ13" i="8" s="1"/>
  <c r="AN13" i="8"/>
  <c r="AM13" i="8"/>
  <c r="AL13" i="8"/>
  <c r="AK13" i="8"/>
  <c r="AJ13" i="8"/>
  <c r="AH13" i="8"/>
  <c r="AG13" i="8"/>
  <c r="AF13" i="8"/>
  <c r="AE13" i="8"/>
  <c r="AD13" i="8"/>
  <c r="AC13" i="8"/>
  <c r="AB13" i="8"/>
  <c r="AA13" i="8"/>
  <c r="Y13" i="8"/>
  <c r="X13" i="8"/>
  <c r="Z13" i="8" s="1"/>
  <c r="W13" i="8"/>
  <c r="U13" i="8"/>
  <c r="T13" i="8"/>
  <c r="V13" i="8" s="1"/>
  <c r="R13" i="8"/>
  <c r="Q13" i="8"/>
  <c r="S13" i="8" s="1"/>
  <c r="P13" i="8"/>
  <c r="O13" i="8"/>
  <c r="N13" i="8"/>
  <c r="M13" i="8"/>
  <c r="L13" i="8"/>
  <c r="AI13" i="8" s="1"/>
  <c r="BY12" i="8"/>
  <c r="BW12" i="8"/>
  <c r="BV12" i="8"/>
  <c r="BT12" i="8"/>
  <c r="H25" i="8" s="1"/>
  <c r="BS12" i="8"/>
  <c r="BU12" i="8" s="1"/>
  <c r="I25" i="8" s="1"/>
  <c r="BR12" i="8"/>
  <c r="F25" i="8" s="1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A12" i="8"/>
  <c r="AZ12" i="8"/>
  <c r="BB12" i="8" s="1"/>
  <c r="AY12" i="8"/>
  <c r="AW12" i="8"/>
  <c r="AV12" i="8"/>
  <c r="AX12" i="8" s="1"/>
  <c r="AT12" i="8"/>
  <c r="AS12" i="8"/>
  <c r="AU12" i="8" s="1"/>
  <c r="AR12" i="8"/>
  <c r="AP12" i="8"/>
  <c r="AO12" i="8"/>
  <c r="AQ12" i="8" s="1"/>
  <c r="AN12" i="8"/>
  <c r="AM12" i="8"/>
  <c r="AL12" i="8"/>
  <c r="AK12" i="8"/>
  <c r="AJ12" i="8"/>
  <c r="AH12" i="8"/>
  <c r="AG12" i="8"/>
  <c r="AF12" i="8"/>
  <c r="AE12" i="8"/>
  <c r="AD12" i="8"/>
  <c r="AC12" i="8"/>
  <c r="AB12" i="8"/>
  <c r="AA12" i="8"/>
  <c r="Y12" i="8"/>
  <c r="X12" i="8"/>
  <c r="Z12" i="8" s="1"/>
  <c r="W12" i="8"/>
  <c r="U12" i="8"/>
  <c r="T12" i="8"/>
  <c r="V12" i="8" s="1"/>
  <c r="R12" i="8"/>
  <c r="Q12" i="8"/>
  <c r="S12" i="8" s="1"/>
  <c r="P12" i="8"/>
  <c r="O12" i="8"/>
  <c r="N12" i="8"/>
  <c r="M12" i="8"/>
  <c r="L12" i="8"/>
  <c r="AI12" i="8" s="1"/>
  <c r="BY11" i="8"/>
  <c r="BW11" i="8"/>
  <c r="BV11" i="8"/>
  <c r="BX11" i="8" s="1"/>
  <c r="BT11" i="8"/>
  <c r="BS11" i="8"/>
  <c r="BU11" i="8" s="1"/>
  <c r="BR11" i="8"/>
  <c r="BQ11" i="8"/>
  <c r="BP11" i="8"/>
  <c r="BO11" i="8"/>
  <c r="BN11" i="8"/>
  <c r="BM11" i="8"/>
  <c r="BL11" i="8"/>
  <c r="H24" i="8" s="1"/>
  <c r="BK11" i="8"/>
  <c r="I24" i="8" s="1"/>
  <c r="BJ11" i="8"/>
  <c r="F24" i="8" s="1"/>
  <c r="BI11" i="8"/>
  <c r="D24" i="8" s="1"/>
  <c r="BH11" i="8"/>
  <c r="BG11" i="8"/>
  <c r="BF11" i="8"/>
  <c r="BE11" i="8"/>
  <c r="BD11" i="8"/>
  <c r="BC11" i="8"/>
  <c r="E24" i="8" s="1"/>
  <c r="BA11" i="8"/>
  <c r="AZ11" i="8"/>
  <c r="BB11" i="8" s="1"/>
  <c r="AY11" i="8"/>
  <c r="AW11" i="8"/>
  <c r="AV11" i="8"/>
  <c r="AX11" i="8" s="1"/>
  <c r="AT11" i="8"/>
  <c r="AS11" i="8"/>
  <c r="AU11" i="8" s="1"/>
  <c r="AR11" i="8"/>
  <c r="AP11" i="8"/>
  <c r="AO11" i="8"/>
  <c r="AQ11" i="8" s="1"/>
  <c r="AN11" i="8"/>
  <c r="AM11" i="8"/>
  <c r="AL11" i="8"/>
  <c r="AK11" i="8"/>
  <c r="AJ11" i="8"/>
  <c r="AH11" i="8"/>
  <c r="AG11" i="8"/>
  <c r="AF11" i="8"/>
  <c r="AE11" i="8"/>
  <c r="AD11" i="8"/>
  <c r="AC11" i="8"/>
  <c r="AB11" i="8"/>
  <c r="AA11" i="8"/>
  <c r="Y11" i="8"/>
  <c r="X11" i="8"/>
  <c r="Z11" i="8" s="1"/>
  <c r="W11" i="8"/>
  <c r="U11" i="8"/>
  <c r="T11" i="8"/>
  <c r="V11" i="8" s="1"/>
  <c r="R11" i="8"/>
  <c r="Q11" i="8"/>
  <c r="S11" i="8" s="1"/>
  <c r="P11" i="8"/>
  <c r="O11" i="8"/>
  <c r="N11" i="8"/>
  <c r="L24" i="8" s="1"/>
  <c r="M11" i="8"/>
  <c r="K24" i="8" s="1"/>
  <c r="L11" i="8"/>
  <c r="AI11" i="8" s="1"/>
  <c r="BY10" i="8"/>
  <c r="BW10" i="8"/>
  <c r="BV10" i="8"/>
  <c r="BX10" i="8" s="1"/>
  <c r="BT10" i="8"/>
  <c r="H23" i="8" s="1"/>
  <c r="BS10" i="8"/>
  <c r="BU10" i="8" s="1"/>
  <c r="I23" i="8" s="1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A10" i="8"/>
  <c r="AZ10" i="8"/>
  <c r="BB10" i="8" s="1"/>
  <c r="AY10" i="8"/>
  <c r="AW10" i="8"/>
  <c r="AV10" i="8"/>
  <c r="AX10" i="8" s="1"/>
  <c r="AT10" i="8"/>
  <c r="AS10" i="8"/>
  <c r="AU10" i="8" s="1"/>
  <c r="AR10" i="8"/>
  <c r="AP10" i="8"/>
  <c r="AO10" i="8"/>
  <c r="AQ10" i="8" s="1"/>
  <c r="AN10" i="8"/>
  <c r="AM10" i="8"/>
  <c r="AL10" i="8"/>
  <c r="AK10" i="8"/>
  <c r="AJ10" i="8"/>
  <c r="AH10" i="8"/>
  <c r="AG10" i="8"/>
  <c r="AF10" i="8"/>
  <c r="AE10" i="8"/>
  <c r="AD10" i="8"/>
  <c r="AC10" i="8"/>
  <c r="AB10" i="8"/>
  <c r="AA10" i="8"/>
  <c r="Y10" i="8"/>
  <c r="X10" i="8"/>
  <c r="Z10" i="8" s="1"/>
  <c r="W10" i="8"/>
  <c r="U10" i="8"/>
  <c r="T10" i="8"/>
  <c r="V10" i="8" s="1"/>
  <c r="R10" i="8"/>
  <c r="Q10" i="8"/>
  <c r="S10" i="8" s="1"/>
  <c r="P10" i="8"/>
  <c r="O10" i="8"/>
  <c r="N10" i="8"/>
  <c r="M10" i="8"/>
  <c r="L10" i="8"/>
  <c r="AI10" i="8" s="1"/>
  <c r="BY9" i="8"/>
  <c r="BW9" i="8"/>
  <c r="BV9" i="8"/>
  <c r="BX9" i="8" s="1"/>
  <c r="BT9" i="8"/>
  <c r="BS9" i="8"/>
  <c r="BU9" i="8" s="1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A9" i="8"/>
  <c r="AZ9" i="8"/>
  <c r="AY9" i="8"/>
  <c r="AW9" i="8"/>
  <c r="AV9" i="8"/>
  <c r="AT9" i="8"/>
  <c r="AS9" i="8"/>
  <c r="AU9" i="8" s="1"/>
  <c r="AR9" i="8"/>
  <c r="AP9" i="8"/>
  <c r="AO9" i="8"/>
  <c r="AQ9" i="8" s="1"/>
  <c r="AN9" i="8"/>
  <c r="AM9" i="8"/>
  <c r="AL9" i="8"/>
  <c r="AK9" i="8"/>
  <c r="AJ9" i="8"/>
  <c r="AH9" i="8"/>
  <c r="AG9" i="8"/>
  <c r="AF9" i="8"/>
  <c r="AE9" i="8"/>
  <c r="AD9" i="8"/>
  <c r="AC9" i="8"/>
  <c r="AB9" i="8"/>
  <c r="AA9" i="8"/>
  <c r="Y9" i="8"/>
  <c r="X9" i="8"/>
  <c r="Z9" i="8" s="1"/>
  <c r="W9" i="8"/>
  <c r="U9" i="8"/>
  <c r="T9" i="8"/>
  <c r="V9" i="8" s="1"/>
  <c r="R9" i="8"/>
  <c r="Q9" i="8"/>
  <c r="S9" i="8" s="1"/>
  <c r="P9" i="8"/>
  <c r="O9" i="8"/>
  <c r="N9" i="8"/>
  <c r="M9" i="8"/>
  <c r="L9" i="8"/>
  <c r="AI9" i="8" s="1"/>
  <c r="BY8" i="8"/>
  <c r="BW8" i="8"/>
  <c r="BV8" i="8"/>
  <c r="BX8" i="8" s="1"/>
  <c r="BT8" i="8"/>
  <c r="BS8" i="8"/>
  <c r="BU8" i="8" s="1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A8" i="8"/>
  <c r="AZ8" i="8"/>
  <c r="BB8" i="8" s="1"/>
  <c r="AY8" i="8"/>
  <c r="AW8" i="8"/>
  <c r="AV8" i="8"/>
  <c r="AX8" i="8" s="1"/>
  <c r="AT8" i="8"/>
  <c r="AS8" i="8"/>
  <c r="AU8" i="8" s="1"/>
  <c r="AR8" i="8"/>
  <c r="AP8" i="8"/>
  <c r="AO8" i="8"/>
  <c r="AQ8" i="8" s="1"/>
  <c r="AN8" i="8"/>
  <c r="AM8" i="8"/>
  <c r="AL8" i="8"/>
  <c r="AK8" i="8"/>
  <c r="AJ8" i="8"/>
  <c r="AH8" i="8"/>
  <c r="AG8" i="8"/>
  <c r="AF8" i="8"/>
  <c r="AE8" i="8"/>
  <c r="AD8" i="8"/>
  <c r="AC8" i="8"/>
  <c r="AB8" i="8"/>
  <c r="AA8" i="8"/>
  <c r="Y8" i="8"/>
  <c r="X8" i="8"/>
  <c r="Z8" i="8" s="1"/>
  <c r="W8" i="8"/>
  <c r="U8" i="8"/>
  <c r="T8" i="8"/>
  <c r="V8" i="8" s="1"/>
  <c r="R8" i="8"/>
  <c r="Q8" i="8"/>
  <c r="S8" i="8" s="1"/>
  <c r="P8" i="8"/>
  <c r="O8" i="8"/>
  <c r="N8" i="8"/>
  <c r="M8" i="8"/>
  <c r="L8" i="8"/>
  <c r="AI8" i="8" s="1"/>
  <c r="BY7" i="8"/>
  <c r="BW7" i="8"/>
  <c r="BV7" i="8"/>
  <c r="BX7" i="8" s="1"/>
  <c r="BT7" i="8"/>
  <c r="BS7" i="8"/>
  <c r="BU7" i="8" s="1"/>
  <c r="BR7" i="8"/>
  <c r="BQ7" i="8"/>
  <c r="H20" i="8" s="1"/>
  <c r="BP7" i="8"/>
  <c r="G20" i="8" s="1"/>
  <c r="BO7" i="8"/>
  <c r="F20" i="8" s="1"/>
  <c r="BN7" i="8"/>
  <c r="D20" i="8" s="1"/>
  <c r="BM7" i="8"/>
  <c r="C20" i="8" s="1"/>
  <c r="BL7" i="8"/>
  <c r="BK7" i="8"/>
  <c r="BJ7" i="8"/>
  <c r="BI7" i="8"/>
  <c r="BH7" i="8"/>
  <c r="BG7" i="8"/>
  <c r="BF7" i="8"/>
  <c r="BE7" i="8"/>
  <c r="BD7" i="8"/>
  <c r="BC7" i="8"/>
  <c r="BA7" i="8"/>
  <c r="AZ7" i="8"/>
  <c r="BB7" i="8" s="1"/>
  <c r="AY7" i="8"/>
  <c r="AW7" i="8"/>
  <c r="AV7" i="8"/>
  <c r="AX7" i="8" s="1"/>
  <c r="AT7" i="8"/>
  <c r="AS7" i="8"/>
  <c r="AU7" i="8" s="1"/>
  <c r="AR7" i="8"/>
  <c r="AP7" i="8"/>
  <c r="AO7" i="8"/>
  <c r="AQ7" i="8" s="1"/>
  <c r="AN7" i="8"/>
  <c r="AM7" i="8"/>
  <c r="AL7" i="8"/>
  <c r="AK7" i="8"/>
  <c r="AJ7" i="8"/>
  <c r="AH7" i="8"/>
  <c r="AG7" i="8"/>
  <c r="AF7" i="8"/>
  <c r="AE7" i="8"/>
  <c r="AD7" i="8"/>
  <c r="AC7" i="8"/>
  <c r="AB7" i="8"/>
  <c r="AA7" i="8"/>
  <c r="Y7" i="8"/>
  <c r="X7" i="8"/>
  <c r="Z7" i="8" s="1"/>
  <c r="W7" i="8"/>
  <c r="U7" i="8"/>
  <c r="T7" i="8"/>
  <c r="V7" i="8" s="1"/>
  <c r="R7" i="8"/>
  <c r="Q7" i="8"/>
  <c r="S7" i="8" s="1"/>
  <c r="P7" i="8"/>
  <c r="O7" i="8"/>
  <c r="N7" i="8"/>
  <c r="L20" i="8" s="1"/>
  <c r="M7" i="8"/>
  <c r="K20" i="8" s="1"/>
  <c r="L7" i="8"/>
  <c r="AI7" i="8" s="1"/>
  <c r="BY6" i="8"/>
  <c r="BW6" i="8"/>
  <c r="BV6" i="8"/>
  <c r="BX6" i="8" s="1"/>
  <c r="BT6" i="8"/>
  <c r="BS6" i="8"/>
  <c r="BU6" i="8" s="1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A6" i="8"/>
  <c r="AZ6" i="8"/>
  <c r="BB6" i="8" s="1"/>
  <c r="AY6" i="8"/>
  <c r="AW6" i="8"/>
  <c r="AV6" i="8"/>
  <c r="AX6" i="8" s="1"/>
  <c r="AT6" i="8"/>
  <c r="AS6" i="8"/>
  <c r="AU6" i="8" s="1"/>
  <c r="AR6" i="8"/>
  <c r="AP6" i="8"/>
  <c r="AO6" i="8"/>
  <c r="AQ6" i="8" s="1"/>
  <c r="AN6" i="8"/>
  <c r="AM6" i="8"/>
  <c r="AL6" i="8"/>
  <c r="AK6" i="8"/>
  <c r="AJ6" i="8"/>
  <c r="AH6" i="8"/>
  <c r="AG6" i="8"/>
  <c r="AF6" i="8"/>
  <c r="AE6" i="8"/>
  <c r="I19" i="8" s="1"/>
  <c r="AD6" i="8"/>
  <c r="F19" i="8" s="1"/>
  <c r="AC6" i="8"/>
  <c r="D19" i="8" s="1"/>
  <c r="AB6" i="8"/>
  <c r="E19" i="8" s="1"/>
  <c r="AA6" i="8"/>
  <c r="Y6" i="8"/>
  <c r="X6" i="8"/>
  <c r="Z6" i="8" s="1"/>
  <c r="W6" i="8"/>
  <c r="U6" i="8"/>
  <c r="T6" i="8"/>
  <c r="V6" i="8" s="1"/>
  <c r="R6" i="8"/>
  <c r="Q6" i="8"/>
  <c r="S6" i="8" s="1"/>
  <c r="P6" i="8"/>
  <c r="O6" i="8"/>
  <c r="N6" i="8"/>
  <c r="L19" i="8" s="1"/>
  <c r="M6" i="8"/>
  <c r="K19" i="8" s="1"/>
  <c r="L6" i="8"/>
  <c r="J19" i="8" s="1"/>
  <c r="BY5" i="8"/>
  <c r="BW5" i="8"/>
  <c r="BV5" i="8"/>
  <c r="BX5" i="8" s="1"/>
  <c r="BT5" i="8"/>
  <c r="BS5" i="8"/>
  <c r="BU5" i="8" s="1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A5" i="8"/>
  <c r="AZ5" i="8"/>
  <c r="BB5" i="8" s="1"/>
  <c r="AY5" i="8"/>
  <c r="AW5" i="8"/>
  <c r="AV5" i="8"/>
  <c r="AX5" i="8" s="1"/>
  <c r="AT5" i="8"/>
  <c r="AS5" i="8"/>
  <c r="AU5" i="8" s="1"/>
  <c r="AR5" i="8"/>
  <c r="AP5" i="8"/>
  <c r="AO5" i="8"/>
  <c r="AQ5" i="8" s="1"/>
  <c r="AN5" i="8"/>
  <c r="AM5" i="8"/>
  <c r="AL5" i="8"/>
  <c r="AK5" i="8"/>
  <c r="AJ5" i="8"/>
  <c r="AH5" i="8"/>
  <c r="AG5" i="8"/>
  <c r="AF5" i="8"/>
  <c r="AE5" i="8"/>
  <c r="AD5" i="8"/>
  <c r="AC5" i="8"/>
  <c r="AB5" i="8"/>
  <c r="AA5" i="8"/>
  <c r="F18" i="8" s="1"/>
  <c r="Y5" i="8"/>
  <c r="D18" i="8" s="1"/>
  <c r="X5" i="8"/>
  <c r="W5" i="8"/>
  <c r="U5" i="8"/>
  <c r="T5" i="8"/>
  <c r="V5" i="8" s="1"/>
  <c r="R5" i="8"/>
  <c r="Q5" i="8"/>
  <c r="S5" i="8" s="1"/>
  <c r="P5" i="8"/>
  <c r="O5" i="8"/>
  <c r="N5" i="8"/>
  <c r="M5" i="8"/>
  <c r="K18" i="8" s="1"/>
  <c r="L5" i="8"/>
  <c r="J18" i="8" s="1"/>
  <c r="BY4" i="8"/>
  <c r="BW4" i="8"/>
  <c r="BV4" i="8"/>
  <c r="BX4" i="8" s="1"/>
  <c r="BT4" i="8"/>
  <c r="BS4" i="8"/>
  <c r="BU4" i="8" s="1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A4" i="8"/>
  <c r="AZ4" i="8"/>
  <c r="BB4" i="8" s="1"/>
  <c r="AY4" i="8"/>
  <c r="AW4" i="8"/>
  <c r="AV4" i="8"/>
  <c r="AX4" i="8" s="1"/>
  <c r="AT4" i="8"/>
  <c r="AS4" i="8"/>
  <c r="AU4" i="8" s="1"/>
  <c r="AR4" i="8"/>
  <c r="AP4" i="8"/>
  <c r="AO4" i="8"/>
  <c r="AQ4" i="8" s="1"/>
  <c r="AN4" i="8"/>
  <c r="AM4" i="8"/>
  <c r="AL4" i="8"/>
  <c r="AK4" i="8"/>
  <c r="AJ4" i="8"/>
  <c r="AH4" i="8"/>
  <c r="AG4" i="8"/>
  <c r="AF4" i="8"/>
  <c r="AE4" i="8"/>
  <c r="G17" i="8" s="1"/>
  <c r="AD4" i="8"/>
  <c r="F17" i="8" s="1"/>
  <c r="AC4" i="8"/>
  <c r="D17" i="8" s="1"/>
  <c r="AB4" i="8"/>
  <c r="C17" i="8" s="1"/>
  <c r="AA4" i="8"/>
  <c r="Y4" i="8"/>
  <c r="X4" i="8"/>
  <c r="Z4" i="8" s="1"/>
  <c r="W4" i="8"/>
  <c r="U4" i="8"/>
  <c r="T4" i="8"/>
  <c r="V4" i="8" s="1"/>
  <c r="R4" i="8"/>
  <c r="Q4" i="8"/>
  <c r="S4" i="8" s="1"/>
  <c r="P4" i="8"/>
  <c r="O4" i="8"/>
  <c r="N4" i="8"/>
  <c r="L17" i="8" s="1"/>
  <c r="M4" i="8"/>
  <c r="K17" i="8" s="1"/>
  <c r="L4" i="8"/>
  <c r="AI4" i="8" s="1"/>
  <c r="BY3" i="8"/>
  <c r="BW3" i="8"/>
  <c r="BV3" i="8"/>
  <c r="BX3" i="8" s="1"/>
  <c r="BT3" i="8"/>
  <c r="BS3" i="8"/>
  <c r="BU3" i="8" s="1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A3" i="8"/>
  <c r="AZ3" i="8"/>
  <c r="BB3" i="8" s="1"/>
  <c r="AY3" i="8"/>
  <c r="AW3" i="8"/>
  <c r="AV3" i="8"/>
  <c r="AX3" i="8" s="1"/>
  <c r="AT3" i="8"/>
  <c r="AS3" i="8"/>
  <c r="AU3" i="8" s="1"/>
  <c r="AR3" i="8"/>
  <c r="AP3" i="8"/>
  <c r="AO3" i="8"/>
  <c r="AQ3" i="8" s="1"/>
  <c r="AN3" i="8"/>
  <c r="AM3" i="8"/>
  <c r="AL3" i="8"/>
  <c r="AK3" i="8"/>
  <c r="AJ3" i="8"/>
  <c r="AH3" i="8"/>
  <c r="AG3" i="8"/>
  <c r="AF3" i="8"/>
  <c r="AE3" i="8"/>
  <c r="AD3" i="8"/>
  <c r="AC3" i="8"/>
  <c r="AB3" i="8"/>
  <c r="AA3" i="8"/>
  <c r="Y3" i="8"/>
  <c r="X3" i="8"/>
  <c r="Z3" i="8" s="1"/>
  <c r="W3" i="8"/>
  <c r="U3" i="8"/>
  <c r="T3" i="8"/>
  <c r="V3" i="8" s="1"/>
  <c r="R3" i="8"/>
  <c r="D16" i="8" s="1"/>
  <c r="Q3" i="8"/>
  <c r="C16" i="8" s="1"/>
  <c r="P3" i="8"/>
  <c r="O3" i="8"/>
  <c r="N3" i="8"/>
  <c r="L16" i="8" s="1"/>
  <c r="M3" i="8"/>
  <c r="K16" i="8" s="1"/>
  <c r="L3" i="8"/>
  <c r="AI3" i="8" s="1"/>
  <c r="K25" i="6"/>
  <c r="L25" i="6"/>
  <c r="L23" i="6"/>
  <c r="X4" i="6"/>
  <c r="Z4" i="6" s="1"/>
  <c r="Y4" i="6"/>
  <c r="AA4" i="6"/>
  <c r="X5" i="6"/>
  <c r="Y5" i="6"/>
  <c r="D18" i="6" s="1"/>
  <c r="AA5" i="6"/>
  <c r="F18" i="6" s="1"/>
  <c r="X6" i="6"/>
  <c r="Z6" i="6" s="1"/>
  <c r="Y6" i="6"/>
  <c r="AA6" i="6"/>
  <c r="X7" i="6"/>
  <c r="Z7" i="6" s="1"/>
  <c r="Y7" i="6"/>
  <c r="AA7" i="6"/>
  <c r="X8" i="6"/>
  <c r="Z8" i="6" s="1"/>
  <c r="Y8" i="6"/>
  <c r="AA8" i="6"/>
  <c r="X9" i="6"/>
  <c r="Z9" i="6" s="1"/>
  <c r="Y9" i="6"/>
  <c r="AA9" i="6"/>
  <c r="X10" i="6"/>
  <c r="Z10" i="6" s="1"/>
  <c r="Y10" i="6"/>
  <c r="AA10" i="6"/>
  <c r="X11" i="6"/>
  <c r="Z11" i="6" s="1"/>
  <c r="Y11" i="6"/>
  <c r="AA11" i="6"/>
  <c r="X12" i="6"/>
  <c r="Z12" i="6" s="1"/>
  <c r="Y12" i="6"/>
  <c r="AA12" i="6"/>
  <c r="X13" i="6"/>
  <c r="Z13" i="6" s="1"/>
  <c r="Y13" i="6"/>
  <c r="AA13" i="6"/>
  <c r="AA3" i="6"/>
  <c r="Y3" i="6"/>
  <c r="X3" i="6"/>
  <c r="Z3" i="6" s="1"/>
  <c r="AV4" i="6"/>
  <c r="AX4" i="6" s="1"/>
  <c r="AW4" i="6"/>
  <c r="AY4" i="6"/>
  <c r="AZ4" i="6"/>
  <c r="BB4" i="6" s="1"/>
  <c r="BA4" i="6"/>
  <c r="AV5" i="6"/>
  <c r="AX5" i="6" s="1"/>
  <c r="AW5" i="6"/>
  <c r="AY5" i="6"/>
  <c r="AZ5" i="6"/>
  <c r="BB5" i="6" s="1"/>
  <c r="BA5" i="6"/>
  <c r="AV6" i="6"/>
  <c r="AX6" i="6" s="1"/>
  <c r="AW6" i="6"/>
  <c r="AY6" i="6"/>
  <c r="AZ6" i="6"/>
  <c r="BB6" i="6" s="1"/>
  <c r="BA6" i="6"/>
  <c r="AV7" i="6"/>
  <c r="AX7" i="6" s="1"/>
  <c r="AW7" i="6"/>
  <c r="AY7" i="6"/>
  <c r="AZ7" i="6"/>
  <c r="BB7" i="6" s="1"/>
  <c r="BA7" i="6"/>
  <c r="AV8" i="6"/>
  <c r="AW8" i="6"/>
  <c r="AY8" i="6"/>
  <c r="AZ8" i="6"/>
  <c r="BB8" i="6" s="1"/>
  <c r="BA8" i="6"/>
  <c r="AV9" i="6"/>
  <c r="AX9" i="6" s="1"/>
  <c r="AW9" i="6"/>
  <c r="AY9" i="6"/>
  <c r="AZ9" i="6"/>
  <c r="BB9" i="6" s="1"/>
  <c r="BA9" i="6"/>
  <c r="H22" i="6" s="1"/>
  <c r="AV10" i="6"/>
  <c r="AX10" i="6" s="1"/>
  <c r="AW10" i="6"/>
  <c r="AY10" i="6"/>
  <c r="AZ10" i="6"/>
  <c r="BB10" i="6" s="1"/>
  <c r="BA10" i="6"/>
  <c r="AV11" i="6"/>
  <c r="AX11" i="6" s="1"/>
  <c r="AW11" i="6"/>
  <c r="AY11" i="6"/>
  <c r="AZ11" i="6"/>
  <c r="BB11" i="6" s="1"/>
  <c r="BA11" i="6"/>
  <c r="AV12" i="6"/>
  <c r="AX12" i="6" s="1"/>
  <c r="AW12" i="6"/>
  <c r="AY12" i="6"/>
  <c r="AZ12" i="6"/>
  <c r="BB12" i="6" s="1"/>
  <c r="BA12" i="6"/>
  <c r="AV13" i="6"/>
  <c r="AX13" i="6" s="1"/>
  <c r="AW13" i="6"/>
  <c r="AY13" i="6"/>
  <c r="AZ13" i="6"/>
  <c r="BB13" i="6" s="1"/>
  <c r="BA13" i="6"/>
  <c r="BA3" i="6"/>
  <c r="AZ3" i="6"/>
  <c r="AY3" i="6"/>
  <c r="AW3" i="6"/>
  <c r="AV3" i="6"/>
  <c r="AX3" i="6" s="1"/>
  <c r="BM4" i="6"/>
  <c r="BN4" i="6"/>
  <c r="BO4" i="6"/>
  <c r="BP4" i="6"/>
  <c r="BQ4" i="6"/>
  <c r="BM5" i="6"/>
  <c r="BN5" i="6"/>
  <c r="BO5" i="6"/>
  <c r="BP5" i="6"/>
  <c r="BQ5" i="6"/>
  <c r="BM6" i="6"/>
  <c r="BN6" i="6"/>
  <c r="BO6" i="6"/>
  <c r="BP6" i="6"/>
  <c r="BQ6" i="6"/>
  <c r="BM7" i="6"/>
  <c r="C20" i="6" s="1"/>
  <c r="BN7" i="6"/>
  <c r="D20" i="6" s="1"/>
  <c r="BO7" i="6"/>
  <c r="F20" i="6" s="1"/>
  <c r="BP7" i="6"/>
  <c r="G20" i="6" s="1"/>
  <c r="BQ7" i="6"/>
  <c r="H20" i="6" s="1"/>
  <c r="BM8" i="6"/>
  <c r="BN8" i="6"/>
  <c r="BO8" i="6"/>
  <c r="BP8" i="6"/>
  <c r="BQ8" i="6"/>
  <c r="BM9" i="6"/>
  <c r="BN9" i="6"/>
  <c r="BO9" i="6"/>
  <c r="BP9" i="6"/>
  <c r="BQ9" i="6"/>
  <c r="BM10" i="6"/>
  <c r="BN10" i="6"/>
  <c r="BO10" i="6"/>
  <c r="BP10" i="6"/>
  <c r="BQ10" i="6"/>
  <c r="BM11" i="6"/>
  <c r="BN11" i="6"/>
  <c r="BO11" i="6"/>
  <c r="BP11" i="6"/>
  <c r="BQ11" i="6"/>
  <c r="BM12" i="6"/>
  <c r="BN12" i="6"/>
  <c r="BO12" i="6"/>
  <c r="BP12" i="6"/>
  <c r="BQ12" i="6"/>
  <c r="BM13" i="6"/>
  <c r="BN13" i="6"/>
  <c r="BO13" i="6"/>
  <c r="BP13" i="6"/>
  <c r="BQ13" i="6"/>
  <c r="BQ3" i="6"/>
  <c r="BP3" i="6"/>
  <c r="BO3" i="6"/>
  <c r="BN3" i="6"/>
  <c r="BM3" i="6"/>
  <c r="B26" i="6"/>
  <c r="B25" i="6"/>
  <c r="B23" i="6"/>
  <c r="B22" i="6"/>
  <c r="B21" i="6"/>
  <c r="H19" i="6"/>
  <c r="BY13" i="6"/>
  <c r="BW13" i="6"/>
  <c r="BV13" i="6"/>
  <c r="BX13" i="6" s="1"/>
  <c r="I26" i="6" s="1"/>
  <c r="BT13" i="6"/>
  <c r="BS13" i="6"/>
  <c r="BU13" i="6" s="1"/>
  <c r="BR13" i="6"/>
  <c r="BL13" i="6"/>
  <c r="BK13" i="6"/>
  <c r="BJ13" i="6"/>
  <c r="BI13" i="6"/>
  <c r="BH13" i="6"/>
  <c r="BG13" i="6"/>
  <c r="BF13" i="6"/>
  <c r="BE13" i="6"/>
  <c r="BD13" i="6"/>
  <c r="BC13" i="6"/>
  <c r="AT13" i="6"/>
  <c r="AS13" i="6"/>
  <c r="AU13" i="6" s="1"/>
  <c r="AR13" i="6"/>
  <c r="AP13" i="6"/>
  <c r="AO13" i="6"/>
  <c r="AQ13" i="6" s="1"/>
  <c r="AN13" i="6"/>
  <c r="AM13" i="6"/>
  <c r="AL13" i="6"/>
  <c r="AK13" i="6"/>
  <c r="AJ13" i="6"/>
  <c r="AH13" i="6"/>
  <c r="AG13" i="6"/>
  <c r="AF13" i="6"/>
  <c r="AE13" i="6"/>
  <c r="AD13" i="6"/>
  <c r="AC13" i="6"/>
  <c r="AB13" i="6"/>
  <c r="W13" i="6"/>
  <c r="U13" i="6"/>
  <c r="T13" i="6"/>
  <c r="V13" i="6" s="1"/>
  <c r="R13" i="6"/>
  <c r="Q13" i="6"/>
  <c r="S13" i="6" s="1"/>
  <c r="P13" i="6"/>
  <c r="O13" i="6"/>
  <c r="N13" i="6"/>
  <c r="M13" i="6"/>
  <c r="L13" i="6"/>
  <c r="AI13" i="6" s="1"/>
  <c r="BY12" i="6"/>
  <c r="F25" i="6" s="1"/>
  <c r="BW12" i="6"/>
  <c r="H25" i="6" s="1"/>
  <c r="BV12" i="6"/>
  <c r="BX12" i="6" s="1"/>
  <c r="BT12" i="6"/>
  <c r="BS12" i="6"/>
  <c r="BR12" i="6"/>
  <c r="BL12" i="6"/>
  <c r="BK12" i="6"/>
  <c r="BJ12" i="6"/>
  <c r="BI12" i="6"/>
  <c r="BH12" i="6"/>
  <c r="BG12" i="6"/>
  <c r="BF12" i="6"/>
  <c r="BE12" i="6"/>
  <c r="BD12" i="6"/>
  <c r="BC12" i="6"/>
  <c r="AT12" i="6"/>
  <c r="AS12" i="6"/>
  <c r="AU12" i="6" s="1"/>
  <c r="AR12" i="6"/>
  <c r="AP12" i="6"/>
  <c r="AO12" i="6"/>
  <c r="AQ12" i="6" s="1"/>
  <c r="AN12" i="6"/>
  <c r="AM12" i="6"/>
  <c r="AL12" i="6"/>
  <c r="AK12" i="6"/>
  <c r="AJ12" i="6"/>
  <c r="AH12" i="6"/>
  <c r="AG12" i="6"/>
  <c r="AF12" i="6"/>
  <c r="AE12" i="6"/>
  <c r="AD12" i="6"/>
  <c r="AC12" i="6"/>
  <c r="AB12" i="6"/>
  <c r="W12" i="6"/>
  <c r="U12" i="6"/>
  <c r="T12" i="6"/>
  <c r="V12" i="6" s="1"/>
  <c r="R12" i="6"/>
  <c r="Q12" i="6"/>
  <c r="S12" i="6" s="1"/>
  <c r="P12" i="6"/>
  <c r="O12" i="6"/>
  <c r="N12" i="6"/>
  <c r="M12" i="6"/>
  <c r="L12" i="6"/>
  <c r="AI12" i="6" s="1"/>
  <c r="BY11" i="6"/>
  <c r="BW11" i="6"/>
  <c r="BV11" i="6"/>
  <c r="BX11" i="6" s="1"/>
  <c r="BT11" i="6"/>
  <c r="BS11" i="6"/>
  <c r="BU11" i="6" s="1"/>
  <c r="BR11" i="6"/>
  <c r="BL11" i="6"/>
  <c r="H24" i="6" s="1"/>
  <c r="BK11" i="6"/>
  <c r="I24" i="6" s="1"/>
  <c r="BJ11" i="6"/>
  <c r="F24" i="6" s="1"/>
  <c r="BI11" i="6"/>
  <c r="D24" i="6" s="1"/>
  <c r="BH11" i="6"/>
  <c r="BG11" i="6"/>
  <c r="BF11" i="6"/>
  <c r="BE11" i="6"/>
  <c r="BD11" i="6"/>
  <c r="BC11" i="6"/>
  <c r="E24" i="6" s="1"/>
  <c r="AT11" i="6"/>
  <c r="AS11" i="6"/>
  <c r="AU11" i="6" s="1"/>
  <c r="AR11" i="6"/>
  <c r="AP11" i="6"/>
  <c r="AO11" i="6"/>
  <c r="AQ11" i="6" s="1"/>
  <c r="AN11" i="6"/>
  <c r="AM11" i="6"/>
  <c r="AL11" i="6"/>
  <c r="AK11" i="6"/>
  <c r="AJ11" i="6"/>
  <c r="AH11" i="6"/>
  <c r="AG11" i="6"/>
  <c r="AF11" i="6"/>
  <c r="AE11" i="6"/>
  <c r="AD11" i="6"/>
  <c r="AC11" i="6"/>
  <c r="AB11" i="6"/>
  <c r="W11" i="6"/>
  <c r="U11" i="6"/>
  <c r="T11" i="6"/>
  <c r="V11" i="6" s="1"/>
  <c r="R11" i="6"/>
  <c r="Q11" i="6"/>
  <c r="S11" i="6" s="1"/>
  <c r="P11" i="6"/>
  <c r="O11" i="6"/>
  <c r="N11" i="6"/>
  <c r="L24" i="6" s="1"/>
  <c r="M11" i="6"/>
  <c r="K24" i="6" s="1"/>
  <c r="L11" i="6"/>
  <c r="AI11" i="6" s="1"/>
  <c r="BY10" i="6"/>
  <c r="BW10" i="6"/>
  <c r="BV10" i="6"/>
  <c r="BX10" i="6" s="1"/>
  <c r="BT10" i="6"/>
  <c r="BS10" i="6"/>
  <c r="BU10" i="6" s="1"/>
  <c r="BR10" i="6"/>
  <c r="BL10" i="6"/>
  <c r="BK10" i="6"/>
  <c r="BJ10" i="6"/>
  <c r="BI10" i="6"/>
  <c r="BH10" i="6"/>
  <c r="BG10" i="6"/>
  <c r="H23" i="6" s="1"/>
  <c r="BF10" i="6"/>
  <c r="I23" i="6" s="1"/>
  <c r="BE10" i="6"/>
  <c r="F23" i="6" s="1"/>
  <c r="BD10" i="6"/>
  <c r="D23" i="6" s="1"/>
  <c r="BC10" i="6"/>
  <c r="E23" i="6" s="1"/>
  <c r="AT10" i="6"/>
  <c r="AS10" i="6"/>
  <c r="AU10" i="6" s="1"/>
  <c r="AR10" i="6"/>
  <c r="AP10" i="6"/>
  <c r="AO10" i="6"/>
  <c r="AQ10" i="6" s="1"/>
  <c r="AN10" i="6"/>
  <c r="AM10" i="6"/>
  <c r="AL10" i="6"/>
  <c r="AK10" i="6"/>
  <c r="AJ10" i="6"/>
  <c r="AH10" i="6"/>
  <c r="AG10" i="6"/>
  <c r="AF10" i="6"/>
  <c r="AE10" i="6"/>
  <c r="AD10" i="6"/>
  <c r="AC10" i="6"/>
  <c r="AB10" i="6"/>
  <c r="W10" i="6"/>
  <c r="U10" i="6"/>
  <c r="T10" i="6"/>
  <c r="V10" i="6" s="1"/>
  <c r="R10" i="6"/>
  <c r="Q10" i="6"/>
  <c r="S10" i="6" s="1"/>
  <c r="P10" i="6"/>
  <c r="O10" i="6"/>
  <c r="N10" i="6"/>
  <c r="M10" i="6"/>
  <c r="K23" i="6" s="1"/>
  <c r="L10" i="6"/>
  <c r="AI10" i="6" s="1"/>
  <c r="BY9" i="6"/>
  <c r="BW9" i="6"/>
  <c r="BV9" i="6"/>
  <c r="BX9" i="6" s="1"/>
  <c r="BT9" i="6"/>
  <c r="BS9" i="6"/>
  <c r="BU9" i="6" s="1"/>
  <c r="BR9" i="6"/>
  <c r="BL9" i="6"/>
  <c r="BK9" i="6"/>
  <c r="BJ9" i="6"/>
  <c r="BI9" i="6"/>
  <c r="BH9" i="6"/>
  <c r="BG9" i="6"/>
  <c r="BF9" i="6"/>
  <c r="BE9" i="6"/>
  <c r="BD9" i="6"/>
  <c r="BC9" i="6"/>
  <c r="AT9" i="6"/>
  <c r="AS9" i="6"/>
  <c r="AR9" i="6"/>
  <c r="AP9" i="6"/>
  <c r="AO9" i="6"/>
  <c r="AN9" i="6"/>
  <c r="AM9" i="6"/>
  <c r="AL9" i="6"/>
  <c r="AK9" i="6"/>
  <c r="AJ9" i="6"/>
  <c r="AH9" i="6"/>
  <c r="AG9" i="6"/>
  <c r="AF9" i="6"/>
  <c r="AE9" i="6"/>
  <c r="AD9" i="6"/>
  <c r="AC9" i="6"/>
  <c r="AB9" i="6"/>
  <c r="W9" i="6"/>
  <c r="U9" i="6"/>
  <c r="T9" i="6"/>
  <c r="V9" i="6" s="1"/>
  <c r="R9" i="6"/>
  <c r="Q9" i="6"/>
  <c r="S9" i="6" s="1"/>
  <c r="P9" i="6"/>
  <c r="O9" i="6"/>
  <c r="N9" i="6"/>
  <c r="M9" i="6"/>
  <c r="K22" i="6" s="1"/>
  <c r="L9" i="6"/>
  <c r="AI9" i="6" s="1"/>
  <c r="BY8" i="6"/>
  <c r="BW8" i="6"/>
  <c r="BV8" i="6"/>
  <c r="BX8" i="6" s="1"/>
  <c r="BT8" i="6"/>
  <c r="BS8" i="6"/>
  <c r="BU8" i="6" s="1"/>
  <c r="BR8" i="6"/>
  <c r="BL8" i="6"/>
  <c r="BK8" i="6"/>
  <c r="BJ8" i="6"/>
  <c r="BI8" i="6"/>
  <c r="BH8" i="6"/>
  <c r="BG8" i="6"/>
  <c r="BF8" i="6"/>
  <c r="BE8" i="6"/>
  <c r="BD8" i="6"/>
  <c r="BC8" i="6"/>
  <c r="AT8" i="6"/>
  <c r="AS8" i="6"/>
  <c r="AU8" i="6" s="1"/>
  <c r="AR8" i="6"/>
  <c r="AP8" i="6"/>
  <c r="AO8" i="6"/>
  <c r="AQ8" i="6" s="1"/>
  <c r="AN8" i="6"/>
  <c r="AM8" i="6"/>
  <c r="AL8" i="6"/>
  <c r="AK8" i="6"/>
  <c r="AJ8" i="6"/>
  <c r="AH8" i="6"/>
  <c r="AG8" i="6"/>
  <c r="AF8" i="6"/>
  <c r="AE8" i="6"/>
  <c r="AD8" i="6"/>
  <c r="AC8" i="6"/>
  <c r="AB8" i="6"/>
  <c r="W8" i="6"/>
  <c r="U8" i="6"/>
  <c r="T8" i="6"/>
  <c r="V8" i="6" s="1"/>
  <c r="R8" i="6"/>
  <c r="Q8" i="6"/>
  <c r="S8" i="6" s="1"/>
  <c r="P8" i="6"/>
  <c r="O8" i="6"/>
  <c r="N8" i="6"/>
  <c r="M8" i="6"/>
  <c r="L8" i="6"/>
  <c r="AI8" i="6" s="1"/>
  <c r="BY7" i="6"/>
  <c r="BW7" i="6"/>
  <c r="BV7" i="6"/>
  <c r="BX7" i="6" s="1"/>
  <c r="BT7" i="6"/>
  <c r="BS7" i="6"/>
  <c r="BU7" i="6" s="1"/>
  <c r="BR7" i="6"/>
  <c r="BL7" i="6"/>
  <c r="BK7" i="6"/>
  <c r="BJ7" i="6"/>
  <c r="BI7" i="6"/>
  <c r="BH7" i="6"/>
  <c r="BG7" i="6"/>
  <c r="BF7" i="6"/>
  <c r="BE7" i="6"/>
  <c r="BD7" i="6"/>
  <c r="BC7" i="6"/>
  <c r="AT7" i="6"/>
  <c r="AS7" i="6"/>
  <c r="AU7" i="6" s="1"/>
  <c r="AR7" i="6"/>
  <c r="AP7" i="6"/>
  <c r="AO7" i="6"/>
  <c r="AQ7" i="6" s="1"/>
  <c r="AN7" i="6"/>
  <c r="AM7" i="6"/>
  <c r="AL7" i="6"/>
  <c r="AK7" i="6"/>
  <c r="AJ7" i="6"/>
  <c r="AH7" i="6"/>
  <c r="AG7" i="6"/>
  <c r="AF7" i="6"/>
  <c r="AE7" i="6"/>
  <c r="AD7" i="6"/>
  <c r="AC7" i="6"/>
  <c r="AB7" i="6"/>
  <c r="W7" i="6"/>
  <c r="U7" i="6"/>
  <c r="T7" i="6"/>
  <c r="V7" i="6" s="1"/>
  <c r="R7" i="6"/>
  <c r="Q7" i="6"/>
  <c r="S7" i="6" s="1"/>
  <c r="P7" i="6"/>
  <c r="O7" i="6"/>
  <c r="N7" i="6"/>
  <c r="L20" i="6" s="1"/>
  <c r="M7" i="6"/>
  <c r="K20" i="6" s="1"/>
  <c r="L7" i="6"/>
  <c r="AI7" i="6" s="1"/>
  <c r="BY6" i="6"/>
  <c r="BW6" i="6"/>
  <c r="BV6" i="6"/>
  <c r="BX6" i="6" s="1"/>
  <c r="BT6" i="6"/>
  <c r="BS6" i="6"/>
  <c r="BU6" i="6" s="1"/>
  <c r="BR6" i="6"/>
  <c r="BL6" i="6"/>
  <c r="BK6" i="6"/>
  <c r="BJ6" i="6"/>
  <c r="BI6" i="6"/>
  <c r="BH6" i="6"/>
  <c r="BG6" i="6"/>
  <c r="BF6" i="6"/>
  <c r="BE6" i="6"/>
  <c r="BD6" i="6"/>
  <c r="BC6" i="6"/>
  <c r="AT6" i="6"/>
  <c r="AS6" i="6"/>
  <c r="AU6" i="6" s="1"/>
  <c r="AR6" i="6"/>
  <c r="AP6" i="6"/>
  <c r="AO6" i="6"/>
  <c r="AQ6" i="6" s="1"/>
  <c r="AN6" i="6"/>
  <c r="AM6" i="6"/>
  <c r="AL6" i="6"/>
  <c r="AK6" i="6"/>
  <c r="AJ6" i="6"/>
  <c r="AH6" i="6"/>
  <c r="AG6" i="6"/>
  <c r="AF6" i="6"/>
  <c r="AE6" i="6"/>
  <c r="I19" i="6" s="1"/>
  <c r="AD6" i="6"/>
  <c r="F19" i="6" s="1"/>
  <c r="AC6" i="6"/>
  <c r="D19" i="6" s="1"/>
  <c r="AB6" i="6"/>
  <c r="E19" i="6" s="1"/>
  <c r="W6" i="6"/>
  <c r="U6" i="6"/>
  <c r="T6" i="6"/>
  <c r="V6" i="6" s="1"/>
  <c r="R6" i="6"/>
  <c r="Q6" i="6"/>
  <c r="S6" i="6" s="1"/>
  <c r="P6" i="6"/>
  <c r="O6" i="6"/>
  <c r="N6" i="6"/>
  <c r="L19" i="6" s="1"/>
  <c r="M6" i="6"/>
  <c r="K19" i="6" s="1"/>
  <c r="L6" i="6"/>
  <c r="AI6" i="6" s="1"/>
  <c r="BY5" i="6"/>
  <c r="BW5" i="6"/>
  <c r="BV5" i="6"/>
  <c r="BX5" i="6" s="1"/>
  <c r="BT5" i="6"/>
  <c r="BS5" i="6"/>
  <c r="BU5" i="6" s="1"/>
  <c r="BR5" i="6"/>
  <c r="BL5" i="6"/>
  <c r="BK5" i="6"/>
  <c r="BJ5" i="6"/>
  <c r="BI5" i="6"/>
  <c r="BH5" i="6"/>
  <c r="BG5" i="6"/>
  <c r="BF5" i="6"/>
  <c r="BE5" i="6"/>
  <c r="BD5" i="6"/>
  <c r="BC5" i="6"/>
  <c r="AT5" i="6"/>
  <c r="AS5" i="6"/>
  <c r="AU5" i="6" s="1"/>
  <c r="AR5" i="6"/>
  <c r="AP5" i="6"/>
  <c r="AO5" i="6"/>
  <c r="AQ5" i="6" s="1"/>
  <c r="AN5" i="6"/>
  <c r="AM5" i="6"/>
  <c r="AL5" i="6"/>
  <c r="AK5" i="6"/>
  <c r="AJ5" i="6"/>
  <c r="AH5" i="6"/>
  <c r="AG5" i="6"/>
  <c r="AF5" i="6"/>
  <c r="AE5" i="6"/>
  <c r="AD5" i="6"/>
  <c r="AC5" i="6"/>
  <c r="AB5" i="6"/>
  <c r="W5" i="6"/>
  <c r="U5" i="6"/>
  <c r="T5" i="6"/>
  <c r="V5" i="6" s="1"/>
  <c r="R5" i="6"/>
  <c r="Q5" i="6"/>
  <c r="S5" i="6" s="1"/>
  <c r="P5" i="6"/>
  <c r="O5" i="6"/>
  <c r="N5" i="6"/>
  <c r="L18" i="6" s="1"/>
  <c r="M5" i="6"/>
  <c r="K18" i="6" s="1"/>
  <c r="L5" i="6"/>
  <c r="J18" i="6" s="1"/>
  <c r="BY4" i="6"/>
  <c r="BW4" i="6"/>
  <c r="BV4" i="6"/>
  <c r="BX4" i="6" s="1"/>
  <c r="BT4" i="6"/>
  <c r="BS4" i="6"/>
  <c r="BU4" i="6" s="1"/>
  <c r="BR4" i="6"/>
  <c r="BL4" i="6"/>
  <c r="BK4" i="6"/>
  <c r="BJ4" i="6"/>
  <c r="BI4" i="6"/>
  <c r="BH4" i="6"/>
  <c r="BG4" i="6"/>
  <c r="BF4" i="6"/>
  <c r="BE4" i="6"/>
  <c r="BD4" i="6"/>
  <c r="BC4" i="6"/>
  <c r="AT4" i="6"/>
  <c r="AS4" i="6"/>
  <c r="AU4" i="6" s="1"/>
  <c r="AR4" i="6"/>
  <c r="AP4" i="6"/>
  <c r="AO4" i="6"/>
  <c r="AQ4" i="6" s="1"/>
  <c r="AN4" i="6"/>
  <c r="AM4" i="6"/>
  <c r="AL4" i="6"/>
  <c r="AK4" i="6"/>
  <c r="AJ4" i="6"/>
  <c r="AH4" i="6"/>
  <c r="AG4" i="6"/>
  <c r="AF4" i="6"/>
  <c r="AE4" i="6"/>
  <c r="G17" i="6" s="1"/>
  <c r="AD4" i="6"/>
  <c r="F17" i="6" s="1"/>
  <c r="AC4" i="6"/>
  <c r="D17" i="6" s="1"/>
  <c r="AB4" i="6"/>
  <c r="C17" i="6" s="1"/>
  <c r="W4" i="6"/>
  <c r="U4" i="6"/>
  <c r="T4" i="6"/>
  <c r="V4" i="6" s="1"/>
  <c r="R4" i="6"/>
  <c r="Q4" i="6"/>
  <c r="S4" i="6" s="1"/>
  <c r="P4" i="6"/>
  <c r="O4" i="6"/>
  <c r="N4" i="6"/>
  <c r="L17" i="6" s="1"/>
  <c r="M4" i="6"/>
  <c r="K17" i="6" s="1"/>
  <c r="L4" i="6"/>
  <c r="AI4" i="6" s="1"/>
  <c r="BY3" i="6"/>
  <c r="BW3" i="6"/>
  <c r="BV3" i="6"/>
  <c r="BX3" i="6" s="1"/>
  <c r="BT3" i="6"/>
  <c r="BS3" i="6"/>
  <c r="BU3" i="6" s="1"/>
  <c r="BR3" i="6"/>
  <c r="BL3" i="6"/>
  <c r="BK3" i="6"/>
  <c r="BJ3" i="6"/>
  <c r="BI3" i="6"/>
  <c r="BH3" i="6"/>
  <c r="BG3" i="6"/>
  <c r="BF3" i="6"/>
  <c r="BE3" i="6"/>
  <c r="BD3" i="6"/>
  <c r="BC3" i="6"/>
  <c r="AT3" i="6"/>
  <c r="AS3" i="6"/>
  <c r="AU3" i="6" s="1"/>
  <c r="AR3" i="6"/>
  <c r="AP3" i="6"/>
  <c r="AO3" i="6"/>
  <c r="AQ3" i="6" s="1"/>
  <c r="AN3" i="6"/>
  <c r="AM3" i="6"/>
  <c r="AL3" i="6"/>
  <c r="AK3" i="6"/>
  <c r="AJ3" i="6"/>
  <c r="AH3" i="6"/>
  <c r="AG3" i="6"/>
  <c r="AF3" i="6"/>
  <c r="AE3" i="6"/>
  <c r="AD3" i="6"/>
  <c r="AC3" i="6"/>
  <c r="AB3" i="6"/>
  <c r="W3" i="6"/>
  <c r="U3" i="6"/>
  <c r="T3" i="6"/>
  <c r="V3" i="6" s="1"/>
  <c r="R3" i="6"/>
  <c r="D16" i="6" s="1"/>
  <c r="Q3" i="6"/>
  <c r="C16" i="6" s="1"/>
  <c r="P3" i="6"/>
  <c r="O3" i="6"/>
  <c r="N3" i="6"/>
  <c r="L16" i="6" s="1"/>
  <c r="M3" i="6"/>
  <c r="K16" i="6" s="1"/>
  <c r="L3" i="6"/>
  <c r="AI3" i="6" s="1"/>
  <c r="BF4" i="5"/>
  <c r="BH4" i="5" s="1"/>
  <c r="BG4" i="5"/>
  <c r="BI4" i="5"/>
  <c r="BF5" i="5"/>
  <c r="BH5" i="5" s="1"/>
  <c r="BG5" i="5"/>
  <c r="BI5" i="5"/>
  <c r="BF6" i="5"/>
  <c r="BH6" i="5" s="1"/>
  <c r="BG6" i="5"/>
  <c r="BI6" i="5"/>
  <c r="BF7" i="5"/>
  <c r="BH7" i="5" s="1"/>
  <c r="BG7" i="5"/>
  <c r="BI7" i="5"/>
  <c r="BF8" i="5"/>
  <c r="BH8" i="5" s="1"/>
  <c r="BG8" i="5"/>
  <c r="BI8" i="5"/>
  <c r="BF9" i="5"/>
  <c r="BH9" i="5" s="1"/>
  <c r="BG9" i="5"/>
  <c r="BI9" i="5"/>
  <c r="BF10" i="5"/>
  <c r="BH10" i="5" s="1"/>
  <c r="BG10" i="5"/>
  <c r="BI10" i="5"/>
  <c r="BF11" i="5"/>
  <c r="BH11" i="5" s="1"/>
  <c r="BG11" i="5"/>
  <c r="BI11" i="5"/>
  <c r="BF12" i="5"/>
  <c r="BH12" i="5" s="1"/>
  <c r="BG12" i="5"/>
  <c r="BI12" i="5"/>
  <c r="BF13" i="5"/>
  <c r="BH13" i="5" s="1"/>
  <c r="BG13" i="5"/>
  <c r="BI13" i="5"/>
  <c r="BG3" i="5"/>
  <c r="BF3" i="5"/>
  <c r="F22" i="8" l="1"/>
  <c r="L22" i="6"/>
  <c r="K22" i="8"/>
  <c r="G22" i="9"/>
  <c r="K23" i="9"/>
  <c r="K26" i="9"/>
  <c r="L25" i="10"/>
  <c r="L21" i="12"/>
  <c r="F21" i="8"/>
  <c r="K21" i="12"/>
  <c r="L22" i="8"/>
  <c r="H22" i="8"/>
  <c r="F23" i="8"/>
  <c r="L23" i="9"/>
  <c r="L26" i="9"/>
  <c r="F26" i="9"/>
  <c r="K21" i="10"/>
  <c r="F26" i="6"/>
  <c r="F23" i="9"/>
  <c r="I22" i="10"/>
  <c r="F22" i="10"/>
  <c r="H26" i="6"/>
  <c r="D22" i="10"/>
  <c r="L26" i="6"/>
  <c r="L21" i="6"/>
  <c r="C22" i="9"/>
  <c r="I23" i="9"/>
  <c r="D21" i="10"/>
  <c r="K22" i="10"/>
  <c r="I23" i="10"/>
  <c r="K26" i="6"/>
  <c r="D22" i="6"/>
  <c r="D22" i="8"/>
  <c r="L22" i="10"/>
  <c r="G22" i="6"/>
  <c r="C21" i="6"/>
  <c r="K21" i="8"/>
  <c r="I21" i="8"/>
  <c r="F25" i="10"/>
  <c r="J22" i="12"/>
  <c r="D22" i="12"/>
  <c r="F21" i="12"/>
  <c r="K21" i="6"/>
  <c r="D21" i="6"/>
  <c r="H25" i="10"/>
  <c r="D23" i="12"/>
  <c r="F22" i="6"/>
  <c r="L21" i="8"/>
  <c r="H21" i="8"/>
  <c r="F26" i="8"/>
  <c r="K18" i="9"/>
  <c r="K21" i="9"/>
  <c r="D21" i="12"/>
  <c r="H26" i="8"/>
  <c r="H21" i="6"/>
  <c r="H18" i="9"/>
  <c r="H25" i="9"/>
  <c r="K22" i="9"/>
  <c r="F21" i="10"/>
  <c r="K18" i="12"/>
  <c r="F18" i="12"/>
  <c r="K23" i="12"/>
  <c r="H23" i="12"/>
  <c r="I25" i="9"/>
  <c r="I21" i="6"/>
  <c r="E21" i="8"/>
  <c r="L23" i="12"/>
  <c r="C22" i="6"/>
  <c r="F21" i="6"/>
  <c r="D21" i="8"/>
  <c r="K25" i="10"/>
  <c r="I25" i="10"/>
  <c r="F23" i="12"/>
  <c r="H21" i="12"/>
  <c r="J17" i="8"/>
  <c r="J18" i="10"/>
  <c r="J27" i="10" s="1"/>
  <c r="J22" i="10"/>
  <c r="AE4" i="10"/>
  <c r="J17" i="12"/>
  <c r="AI5" i="6"/>
  <c r="AI6" i="8"/>
  <c r="J27" i="8"/>
  <c r="I23" i="12"/>
  <c r="G23" i="12" s="1"/>
  <c r="E23" i="12"/>
  <c r="G21" i="12"/>
  <c r="I21" i="12" s="1"/>
  <c r="AT8" i="12"/>
  <c r="AX3" i="12"/>
  <c r="AE5" i="12"/>
  <c r="L18" i="12"/>
  <c r="K25" i="12"/>
  <c r="H25" i="12"/>
  <c r="K22" i="12"/>
  <c r="F22" i="12"/>
  <c r="AE9" i="12"/>
  <c r="L25" i="12"/>
  <c r="F25" i="12"/>
  <c r="F26" i="12"/>
  <c r="J19" i="12"/>
  <c r="AT3" i="12"/>
  <c r="E22" i="12"/>
  <c r="C22" i="12" s="1"/>
  <c r="C18" i="12"/>
  <c r="E18" i="12" s="1"/>
  <c r="BO13" i="12"/>
  <c r="I26" i="12" s="1"/>
  <c r="S3" i="12"/>
  <c r="E16" i="12" s="1"/>
  <c r="G25" i="12"/>
  <c r="C18" i="10"/>
  <c r="E18" i="10" s="1"/>
  <c r="G18" i="9"/>
  <c r="G25" i="9"/>
  <c r="G26" i="9"/>
  <c r="G26" i="10"/>
  <c r="G25" i="10"/>
  <c r="C22" i="10"/>
  <c r="E23" i="10"/>
  <c r="H23" i="10"/>
  <c r="L23" i="10"/>
  <c r="L27" i="10" s="1"/>
  <c r="F23" i="10"/>
  <c r="H21" i="10"/>
  <c r="S3" i="10"/>
  <c r="E16" i="10" s="1"/>
  <c r="BE12" i="10"/>
  <c r="BE13" i="10"/>
  <c r="G21" i="10"/>
  <c r="V5" i="10"/>
  <c r="C21" i="10"/>
  <c r="S3" i="9"/>
  <c r="E16" i="9" s="1"/>
  <c r="BX12" i="9"/>
  <c r="F21" i="9"/>
  <c r="H23" i="9"/>
  <c r="L22" i="9"/>
  <c r="L27" i="9" s="1"/>
  <c r="F22" i="9"/>
  <c r="G21" i="9"/>
  <c r="BB8" i="9"/>
  <c r="I21" i="9" s="1"/>
  <c r="E22" i="9"/>
  <c r="I22" i="9"/>
  <c r="J19" i="9"/>
  <c r="BX13" i="9"/>
  <c r="H22" i="9"/>
  <c r="D22" i="9"/>
  <c r="D27" i="9" s="1"/>
  <c r="D28" i="9" s="1"/>
  <c r="J17" i="9"/>
  <c r="AI4" i="9"/>
  <c r="C21" i="9"/>
  <c r="AX8" i="9"/>
  <c r="E21" i="9" s="1"/>
  <c r="G26" i="8"/>
  <c r="G25" i="8"/>
  <c r="G23" i="8"/>
  <c r="L23" i="8"/>
  <c r="K26" i="8"/>
  <c r="K25" i="8"/>
  <c r="K23" i="8"/>
  <c r="S3" i="8"/>
  <c r="E16" i="8" s="1"/>
  <c r="BX13" i="8"/>
  <c r="AX9" i="8"/>
  <c r="C22" i="8" s="1"/>
  <c r="E22" i="8"/>
  <c r="AI5" i="8"/>
  <c r="L25" i="8"/>
  <c r="G21" i="8"/>
  <c r="C21" i="8"/>
  <c r="BX12" i="8"/>
  <c r="Z5" i="8"/>
  <c r="C18" i="8" s="1"/>
  <c r="BB9" i="8"/>
  <c r="G22" i="8" s="1"/>
  <c r="I22" i="8"/>
  <c r="G25" i="6"/>
  <c r="I22" i="6"/>
  <c r="E22" i="6"/>
  <c r="G21" i="6"/>
  <c r="Z5" i="6"/>
  <c r="C18" i="6" s="1"/>
  <c r="E18" i="6" s="1"/>
  <c r="BB3" i="6"/>
  <c r="AX8" i="6"/>
  <c r="E21" i="6" s="1"/>
  <c r="BU12" i="6"/>
  <c r="S3" i="6"/>
  <c r="E16" i="6" s="1"/>
  <c r="AQ9" i="6"/>
  <c r="AU9" i="6"/>
  <c r="L27" i="6"/>
  <c r="K27" i="6"/>
  <c r="J19" i="6"/>
  <c r="J17" i="6"/>
  <c r="BB4" i="5"/>
  <c r="BC4" i="5"/>
  <c r="BE4" i="5" s="1"/>
  <c r="BD4" i="5"/>
  <c r="BB5" i="5"/>
  <c r="BC5" i="5"/>
  <c r="BE5" i="5" s="1"/>
  <c r="BD5" i="5"/>
  <c r="BB6" i="5"/>
  <c r="BC6" i="5"/>
  <c r="BE6" i="5" s="1"/>
  <c r="BD6" i="5"/>
  <c r="BB7" i="5"/>
  <c r="BC7" i="5"/>
  <c r="BE7" i="5" s="1"/>
  <c r="BD7" i="5"/>
  <c r="BB8" i="5"/>
  <c r="BC8" i="5"/>
  <c r="BE8" i="5" s="1"/>
  <c r="BD8" i="5"/>
  <c r="BB9" i="5"/>
  <c r="BC9" i="5"/>
  <c r="BE9" i="5" s="1"/>
  <c r="BD9" i="5"/>
  <c r="BB10" i="5"/>
  <c r="BC10" i="5"/>
  <c r="BE10" i="5" s="1"/>
  <c r="BD10" i="5"/>
  <c r="BB11" i="5"/>
  <c r="BC11" i="5"/>
  <c r="BE11" i="5" s="1"/>
  <c r="BD11" i="5"/>
  <c r="BB12" i="5"/>
  <c r="BC12" i="5"/>
  <c r="BD12" i="5"/>
  <c r="BB13" i="5"/>
  <c r="BC13" i="5"/>
  <c r="BD13" i="5"/>
  <c r="BD3" i="5"/>
  <c r="BC3" i="5"/>
  <c r="H19" i="5"/>
  <c r="BI3" i="5"/>
  <c r="BB3" i="5"/>
  <c r="AW4" i="5"/>
  <c r="AX4" i="5"/>
  <c r="AY4" i="5"/>
  <c r="AZ4" i="5"/>
  <c r="BA4" i="5"/>
  <c r="AW5" i="5"/>
  <c r="AX5" i="5"/>
  <c r="AY5" i="5"/>
  <c r="AZ5" i="5"/>
  <c r="BA5" i="5"/>
  <c r="AW6" i="5"/>
  <c r="AX6" i="5"/>
  <c r="AY6" i="5"/>
  <c r="AZ6" i="5"/>
  <c r="BA6" i="5"/>
  <c r="AW7" i="5"/>
  <c r="C20" i="5" s="1"/>
  <c r="AX7" i="5"/>
  <c r="D20" i="5" s="1"/>
  <c r="AY7" i="5"/>
  <c r="F20" i="5" s="1"/>
  <c r="AZ7" i="5"/>
  <c r="G20" i="5" s="1"/>
  <c r="BA7" i="5"/>
  <c r="H20" i="5" s="1"/>
  <c r="AW8" i="5"/>
  <c r="AX8" i="5"/>
  <c r="AY8" i="5"/>
  <c r="AZ8" i="5"/>
  <c r="BA8" i="5"/>
  <c r="AW9" i="5"/>
  <c r="AX9" i="5"/>
  <c r="AY9" i="5"/>
  <c r="AZ9" i="5"/>
  <c r="BA9" i="5"/>
  <c r="AW10" i="5"/>
  <c r="AX10" i="5"/>
  <c r="AY10" i="5"/>
  <c r="AZ10" i="5"/>
  <c r="BA10" i="5"/>
  <c r="AW11" i="5"/>
  <c r="AX11" i="5"/>
  <c r="D24" i="5" s="1"/>
  <c r="AY11" i="5"/>
  <c r="F24" i="5" s="1"/>
  <c r="AZ11" i="5"/>
  <c r="I24" i="5" s="1"/>
  <c r="BA11" i="5"/>
  <c r="H24" i="5" s="1"/>
  <c r="AW12" i="5"/>
  <c r="AX12" i="5"/>
  <c r="AY12" i="5"/>
  <c r="AZ12" i="5"/>
  <c r="BA12" i="5"/>
  <c r="AW13" i="5"/>
  <c r="AX13" i="5"/>
  <c r="AY13" i="5"/>
  <c r="AZ13" i="5"/>
  <c r="BA13" i="5"/>
  <c r="BA3" i="5"/>
  <c r="AZ3" i="5"/>
  <c r="AY3" i="5"/>
  <c r="AX3" i="5"/>
  <c r="AW3" i="5"/>
  <c r="AR4" i="5"/>
  <c r="AS4" i="5"/>
  <c r="AT4" i="5"/>
  <c r="AU4" i="5"/>
  <c r="AV4" i="5"/>
  <c r="AR5" i="5"/>
  <c r="AS5" i="5"/>
  <c r="AT5" i="5"/>
  <c r="AU5" i="5"/>
  <c r="AV5" i="5"/>
  <c r="AR6" i="5"/>
  <c r="AS6" i="5"/>
  <c r="AT6" i="5"/>
  <c r="AU6" i="5"/>
  <c r="AV6" i="5"/>
  <c r="AR7" i="5"/>
  <c r="AS7" i="5"/>
  <c r="AT7" i="5"/>
  <c r="AU7" i="5"/>
  <c r="AV7" i="5"/>
  <c r="AR8" i="5"/>
  <c r="AS8" i="5"/>
  <c r="AT8" i="5"/>
  <c r="AU8" i="5"/>
  <c r="AV8" i="5"/>
  <c r="AR9" i="5"/>
  <c r="AS9" i="5"/>
  <c r="AT9" i="5"/>
  <c r="AU9" i="5"/>
  <c r="AV9" i="5"/>
  <c r="AR10" i="5"/>
  <c r="AS10" i="5"/>
  <c r="AT10" i="5"/>
  <c r="AU10" i="5"/>
  <c r="AV10" i="5"/>
  <c r="AR11" i="5"/>
  <c r="E24" i="5" s="1"/>
  <c r="AS11" i="5"/>
  <c r="AT11" i="5"/>
  <c r="AU11" i="5"/>
  <c r="AV11" i="5"/>
  <c r="AR12" i="5"/>
  <c r="AS12" i="5"/>
  <c r="AT12" i="5"/>
  <c r="AU12" i="5"/>
  <c r="AV12" i="5"/>
  <c r="AR13" i="5"/>
  <c r="AS13" i="5"/>
  <c r="AT13" i="5"/>
  <c r="AU13" i="5"/>
  <c r="AV13" i="5"/>
  <c r="AV3" i="5"/>
  <c r="AU3" i="5"/>
  <c r="AT3" i="5"/>
  <c r="AS3" i="5"/>
  <c r="AR3" i="5"/>
  <c r="AK4" i="5"/>
  <c r="AM4" i="5" s="1"/>
  <c r="AL4" i="5"/>
  <c r="AN4" i="5"/>
  <c r="AO4" i="5"/>
  <c r="AQ4" i="5" s="1"/>
  <c r="AP4" i="5"/>
  <c r="AK5" i="5"/>
  <c r="AM5" i="5" s="1"/>
  <c r="AL5" i="5"/>
  <c r="AN5" i="5"/>
  <c r="AO5" i="5"/>
  <c r="AQ5" i="5" s="1"/>
  <c r="AP5" i="5"/>
  <c r="AK6" i="5"/>
  <c r="AM6" i="5" s="1"/>
  <c r="AL6" i="5"/>
  <c r="AN6" i="5"/>
  <c r="AO6" i="5"/>
  <c r="AQ6" i="5" s="1"/>
  <c r="AP6" i="5"/>
  <c r="AK7" i="5"/>
  <c r="AM7" i="5" s="1"/>
  <c r="AL7" i="5"/>
  <c r="AN7" i="5"/>
  <c r="AO7" i="5"/>
  <c r="AQ7" i="5" s="1"/>
  <c r="AP7" i="5"/>
  <c r="AK8" i="5"/>
  <c r="AM8" i="5" s="1"/>
  <c r="AL8" i="5"/>
  <c r="AN8" i="5"/>
  <c r="AO8" i="5"/>
  <c r="AQ8" i="5" s="1"/>
  <c r="AP8" i="5"/>
  <c r="AK9" i="5"/>
  <c r="AL9" i="5"/>
  <c r="AN9" i="5"/>
  <c r="AO9" i="5"/>
  <c r="AP9" i="5"/>
  <c r="AK10" i="5"/>
  <c r="AM10" i="5" s="1"/>
  <c r="AL10" i="5"/>
  <c r="AN10" i="5"/>
  <c r="AO10" i="5"/>
  <c r="AQ10" i="5" s="1"/>
  <c r="AP10" i="5"/>
  <c r="AK11" i="5"/>
  <c r="AM11" i="5" s="1"/>
  <c r="AL11" i="5"/>
  <c r="AN11" i="5"/>
  <c r="AO11" i="5"/>
  <c r="AQ11" i="5" s="1"/>
  <c r="AP11" i="5"/>
  <c r="AK12" i="5"/>
  <c r="AM12" i="5" s="1"/>
  <c r="AL12" i="5"/>
  <c r="AN12" i="5"/>
  <c r="AO12" i="5"/>
  <c r="AQ12" i="5" s="1"/>
  <c r="AP12" i="5"/>
  <c r="AK13" i="5"/>
  <c r="AM13" i="5" s="1"/>
  <c r="AL13" i="5"/>
  <c r="AN13" i="5"/>
  <c r="AO13" i="5"/>
  <c r="AQ13" i="5" s="1"/>
  <c r="AP13" i="5"/>
  <c r="AP3" i="5"/>
  <c r="AO3" i="5"/>
  <c r="AQ3" i="5" s="1"/>
  <c r="AN3" i="5"/>
  <c r="AL3" i="5"/>
  <c r="AK3" i="5"/>
  <c r="AM3" i="5" s="1"/>
  <c r="AF4" i="5"/>
  <c r="AG4" i="5"/>
  <c r="AH4" i="5"/>
  <c r="AI4" i="5"/>
  <c r="AJ4" i="5"/>
  <c r="AF5" i="5"/>
  <c r="AG5" i="5"/>
  <c r="AH5" i="5"/>
  <c r="AI5" i="5"/>
  <c r="AJ5" i="5"/>
  <c r="AF6" i="5"/>
  <c r="AG6" i="5"/>
  <c r="AH6" i="5"/>
  <c r="AI6" i="5"/>
  <c r="AJ6" i="5"/>
  <c r="AF7" i="5"/>
  <c r="AG7" i="5"/>
  <c r="AH7" i="5"/>
  <c r="AI7" i="5"/>
  <c r="AJ7" i="5"/>
  <c r="AF8" i="5"/>
  <c r="AG8" i="5"/>
  <c r="AH8" i="5"/>
  <c r="AI8" i="5"/>
  <c r="AJ8" i="5"/>
  <c r="AF9" i="5"/>
  <c r="AG9" i="5"/>
  <c r="AH9" i="5"/>
  <c r="AI9" i="5"/>
  <c r="AJ9" i="5"/>
  <c r="AF10" i="5"/>
  <c r="AG10" i="5"/>
  <c r="AH10" i="5"/>
  <c r="AI10" i="5"/>
  <c r="AJ10" i="5"/>
  <c r="AF11" i="5"/>
  <c r="AG11" i="5"/>
  <c r="AH11" i="5"/>
  <c r="AI11" i="5"/>
  <c r="AJ11" i="5"/>
  <c r="AF12" i="5"/>
  <c r="AG12" i="5"/>
  <c r="AH12" i="5"/>
  <c r="AI12" i="5"/>
  <c r="AJ12" i="5"/>
  <c r="AF13" i="5"/>
  <c r="AG13" i="5"/>
  <c r="AH13" i="5"/>
  <c r="AI13" i="5"/>
  <c r="AJ13" i="5"/>
  <c r="AJ3" i="5"/>
  <c r="AI3" i="5"/>
  <c r="AH3" i="5"/>
  <c r="AG3" i="5"/>
  <c r="AF3" i="5"/>
  <c r="AB4" i="5"/>
  <c r="AC4" i="5"/>
  <c r="AD4" i="5"/>
  <c r="AB5" i="5"/>
  <c r="AC5" i="5"/>
  <c r="AD5" i="5"/>
  <c r="AB6" i="5"/>
  <c r="AC6" i="5"/>
  <c r="AD6" i="5"/>
  <c r="AB7" i="5"/>
  <c r="AC7" i="5"/>
  <c r="AD7" i="5"/>
  <c r="AB8" i="5"/>
  <c r="AC8" i="5"/>
  <c r="AD8" i="5"/>
  <c r="AB9" i="5"/>
  <c r="AC9" i="5"/>
  <c r="AD9" i="5"/>
  <c r="AB10" i="5"/>
  <c r="AC10" i="5"/>
  <c r="AD10" i="5"/>
  <c r="AB11" i="5"/>
  <c r="AC11" i="5"/>
  <c r="AD11" i="5"/>
  <c r="AB12" i="5"/>
  <c r="AC12" i="5"/>
  <c r="AD12" i="5"/>
  <c r="AB13" i="5"/>
  <c r="AC13" i="5"/>
  <c r="AD13" i="5"/>
  <c r="AC3" i="5"/>
  <c r="AB3" i="5"/>
  <c r="AD3" i="5"/>
  <c r="X4" i="5"/>
  <c r="C17" i="5" s="1"/>
  <c r="Y4" i="5"/>
  <c r="D17" i="5" s="1"/>
  <c r="Z4" i="5"/>
  <c r="F17" i="5" s="1"/>
  <c r="AA4" i="5"/>
  <c r="G17" i="5" s="1"/>
  <c r="X5" i="5"/>
  <c r="Y5" i="5"/>
  <c r="Z5" i="5"/>
  <c r="AA5" i="5"/>
  <c r="X6" i="5"/>
  <c r="E19" i="5" s="1"/>
  <c r="Y6" i="5"/>
  <c r="D19" i="5" s="1"/>
  <c r="Z6" i="5"/>
  <c r="F19" i="5" s="1"/>
  <c r="AA6" i="5"/>
  <c r="I19" i="5" s="1"/>
  <c r="X7" i="5"/>
  <c r="Y7" i="5"/>
  <c r="Z7" i="5"/>
  <c r="AA7" i="5"/>
  <c r="X8" i="5"/>
  <c r="Y8" i="5"/>
  <c r="Z8" i="5"/>
  <c r="AA8" i="5"/>
  <c r="X9" i="5"/>
  <c r="Y9" i="5"/>
  <c r="Z9" i="5"/>
  <c r="AA9" i="5"/>
  <c r="X10" i="5"/>
  <c r="Y10" i="5"/>
  <c r="Z10" i="5"/>
  <c r="AA10" i="5"/>
  <c r="X11" i="5"/>
  <c r="Y11" i="5"/>
  <c r="Z11" i="5"/>
  <c r="AA11" i="5"/>
  <c r="X12" i="5"/>
  <c r="Y12" i="5"/>
  <c r="Z12" i="5"/>
  <c r="AA12" i="5"/>
  <c r="X13" i="5"/>
  <c r="Y13" i="5"/>
  <c r="Z13" i="5"/>
  <c r="AA13" i="5"/>
  <c r="AA3" i="5"/>
  <c r="Z3" i="5"/>
  <c r="Y3" i="5"/>
  <c r="T4" i="5"/>
  <c r="V4" i="5" s="1"/>
  <c r="U4" i="5"/>
  <c r="W4" i="5"/>
  <c r="T5" i="5"/>
  <c r="V5" i="5" s="1"/>
  <c r="U5" i="5"/>
  <c r="D18" i="5" s="1"/>
  <c r="W5" i="5"/>
  <c r="F18" i="5" s="1"/>
  <c r="T6" i="5"/>
  <c r="V6" i="5" s="1"/>
  <c r="U6" i="5"/>
  <c r="W6" i="5"/>
  <c r="T7" i="5"/>
  <c r="V7" i="5" s="1"/>
  <c r="U7" i="5"/>
  <c r="W7" i="5"/>
  <c r="T8" i="5"/>
  <c r="V8" i="5" s="1"/>
  <c r="U8" i="5"/>
  <c r="W8" i="5"/>
  <c r="T9" i="5"/>
  <c r="V9" i="5" s="1"/>
  <c r="U9" i="5"/>
  <c r="W9" i="5"/>
  <c r="T10" i="5"/>
  <c r="V10" i="5" s="1"/>
  <c r="U10" i="5"/>
  <c r="W10" i="5"/>
  <c r="T11" i="5"/>
  <c r="V11" i="5" s="1"/>
  <c r="U11" i="5"/>
  <c r="W11" i="5"/>
  <c r="T12" i="5"/>
  <c r="V12" i="5" s="1"/>
  <c r="U12" i="5"/>
  <c r="W12" i="5"/>
  <c r="T13" i="5"/>
  <c r="V13" i="5" s="1"/>
  <c r="U13" i="5"/>
  <c r="W13" i="5"/>
  <c r="W3" i="5"/>
  <c r="T3" i="5"/>
  <c r="Q4" i="5"/>
  <c r="S4" i="5" s="1"/>
  <c r="R4" i="5"/>
  <c r="Q5" i="5"/>
  <c r="S5" i="5" s="1"/>
  <c r="R5" i="5"/>
  <c r="Q6" i="5"/>
  <c r="S6" i="5" s="1"/>
  <c r="R6" i="5"/>
  <c r="Q7" i="5"/>
  <c r="S7" i="5" s="1"/>
  <c r="R7" i="5"/>
  <c r="Q8" i="5"/>
  <c r="S8" i="5" s="1"/>
  <c r="R8" i="5"/>
  <c r="Q9" i="5"/>
  <c r="S9" i="5" s="1"/>
  <c r="R9" i="5"/>
  <c r="Q10" i="5"/>
  <c r="S10" i="5" s="1"/>
  <c r="R10" i="5"/>
  <c r="Q11" i="5"/>
  <c r="S11" i="5" s="1"/>
  <c r="R11" i="5"/>
  <c r="Q12" i="5"/>
  <c r="S12" i="5" s="1"/>
  <c r="R12" i="5"/>
  <c r="Q13" i="5"/>
  <c r="S13" i="5" s="1"/>
  <c r="R13" i="5"/>
  <c r="R3" i="5"/>
  <c r="D16" i="5" s="1"/>
  <c r="Q3" i="5"/>
  <c r="C16" i="5" s="1"/>
  <c r="H27" i="6" l="1"/>
  <c r="H28" i="6" s="1"/>
  <c r="H30" i="6" s="1"/>
  <c r="D27" i="8"/>
  <c r="D28" i="8" s="1"/>
  <c r="D29" i="8" s="1"/>
  <c r="D27" i="6"/>
  <c r="D28" i="6" s="1"/>
  <c r="D30" i="6" s="1"/>
  <c r="D27" i="10"/>
  <c r="D28" i="10" s="1"/>
  <c r="D29" i="10" s="1"/>
  <c r="K27" i="10"/>
  <c r="K27" i="12"/>
  <c r="L27" i="8"/>
  <c r="K27" i="9"/>
  <c r="F27" i="8"/>
  <c r="F28" i="8" s="1"/>
  <c r="F29" i="8" s="1"/>
  <c r="F30" i="8" s="1"/>
  <c r="D27" i="12"/>
  <c r="D28" i="12" s="1"/>
  <c r="D29" i="12" s="1"/>
  <c r="F27" i="6"/>
  <c r="F28" i="6" s="1"/>
  <c r="F29" i="6" s="1"/>
  <c r="F30" i="6" s="1"/>
  <c r="L27" i="12"/>
  <c r="J27" i="12"/>
  <c r="J27" i="6"/>
  <c r="F27" i="12"/>
  <c r="F28" i="12" s="1"/>
  <c r="F29" i="12" s="1"/>
  <c r="F30" i="12" s="1"/>
  <c r="H27" i="12"/>
  <c r="H28" i="12" s="1"/>
  <c r="H30" i="12" s="1"/>
  <c r="E27" i="12"/>
  <c r="E28" i="12" s="1"/>
  <c r="E30" i="12" s="1"/>
  <c r="C27" i="12"/>
  <c r="C28" i="12" s="1"/>
  <c r="I27" i="12"/>
  <c r="I28" i="12" s="1"/>
  <c r="I30" i="12" s="1"/>
  <c r="G27" i="12"/>
  <c r="G28" i="12" s="1"/>
  <c r="G30" i="12" s="1"/>
  <c r="H27" i="10"/>
  <c r="H28" i="10" s="1"/>
  <c r="H29" i="10" s="1"/>
  <c r="F27" i="10"/>
  <c r="F28" i="10" s="1"/>
  <c r="F29" i="10" s="1"/>
  <c r="F30" i="10" s="1"/>
  <c r="I27" i="10"/>
  <c r="I28" i="10" s="1"/>
  <c r="I29" i="10" s="1"/>
  <c r="G27" i="10"/>
  <c r="G28" i="10" s="1"/>
  <c r="G29" i="10" s="1"/>
  <c r="E27" i="10"/>
  <c r="E28" i="10" s="1"/>
  <c r="C27" i="10"/>
  <c r="C28" i="10" s="1"/>
  <c r="H27" i="9"/>
  <c r="H28" i="9" s="1"/>
  <c r="H30" i="9" s="1"/>
  <c r="G27" i="9"/>
  <c r="G28" i="9" s="1"/>
  <c r="G29" i="9" s="1"/>
  <c r="E27" i="9"/>
  <c r="E28" i="9" s="1"/>
  <c r="E29" i="9" s="1"/>
  <c r="F27" i="9"/>
  <c r="F28" i="9" s="1"/>
  <c r="F29" i="9" s="1"/>
  <c r="F30" i="9" s="1"/>
  <c r="C27" i="9"/>
  <c r="C28" i="9" s="1"/>
  <c r="C30" i="9" s="1"/>
  <c r="I27" i="9"/>
  <c r="I28" i="9" s="1"/>
  <c r="I29" i="9" s="1"/>
  <c r="D29" i="9"/>
  <c r="D30" i="9"/>
  <c r="J27" i="9"/>
  <c r="K27" i="8"/>
  <c r="H27" i="8"/>
  <c r="H28" i="8" s="1"/>
  <c r="H30" i="8" s="1"/>
  <c r="I27" i="8"/>
  <c r="I28" i="8" s="1"/>
  <c r="I30" i="8" s="1"/>
  <c r="G27" i="8"/>
  <c r="G28" i="8" s="1"/>
  <c r="G29" i="8" s="1"/>
  <c r="E18" i="8"/>
  <c r="E27" i="8" s="1"/>
  <c r="E28" i="8" s="1"/>
  <c r="C27" i="8"/>
  <c r="C28" i="8" s="1"/>
  <c r="D30" i="8"/>
  <c r="BE13" i="5"/>
  <c r="BE12" i="5"/>
  <c r="AQ9" i="5"/>
  <c r="AM9" i="5"/>
  <c r="E27" i="6"/>
  <c r="E28" i="6" s="1"/>
  <c r="E29" i="6" s="1"/>
  <c r="C27" i="6"/>
  <c r="C28" i="6" s="1"/>
  <c r="C29" i="6" s="1"/>
  <c r="I27" i="6"/>
  <c r="I28" i="6" s="1"/>
  <c r="I30" i="6" s="1"/>
  <c r="G27" i="6"/>
  <c r="G28" i="6" s="1"/>
  <c r="G29" i="6" s="1"/>
  <c r="C18" i="5"/>
  <c r="E18" i="5" s="1"/>
  <c r="B23" i="5"/>
  <c r="F23" i="5" s="1"/>
  <c r="B22" i="5"/>
  <c r="H22" i="5" s="1"/>
  <c r="B21" i="5"/>
  <c r="F21" i="5" s="1"/>
  <c r="B26" i="5"/>
  <c r="H26" i="5" s="1"/>
  <c r="B25" i="5"/>
  <c r="F25" i="5" s="1"/>
  <c r="O13" i="5"/>
  <c r="P13" i="5" s="1"/>
  <c r="N13" i="5"/>
  <c r="M13" i="5"/>
  <c r="L13" i="5"/>
  <c r="AE13" i="5" s="1"/>
  <c r="P12" i="5"/>
  <c r="O12" i="5"/>
  <c r="N12" i="5"/>
  <c r="M12" i="5"/>
  <c r="K25" i="5" s="1"/>
  <c r="L12" i="5"/>
  <c r="AE12" i="5" s="1"/>
  <c r="P11" i="5"/>
  <c r="O11" i="5"/>
  <c r="N11" i="5"/>
  <c r="L24" i="5" s="1"/>
  <c r="M11" i="5"/>
  <c r="K24" i="5" s="1"/>
  <c r="L11" i="5"/>
  <c r="AE11" i="5" s="1"/>
  <c r="P10" i="5"/>
  <c r="O10" i="5"/>
  <c r="N10" i="5"/>
  <c r="M10" i="5"/>
  <c r="L10" i="5"/>
  <c r="AE10" i="5" s="1"/>
  <c r="P9" i="5"/>
  <c r="O9" i="5"/>
  <c r="N9" i="5"/>
  <c r="M9" i="5"/>
  <c r="L9" i="5"/>
  <c r="AE9" i="5" s="1"/>
  <c r="P8" i="5"/>
  <c r="O8" i="5"/>
  <c r="N8" i="5"/>
  <c r="L21" i="5" s="1"/>
  <c r="M8" i="5"/>
  <c r="K21" i="5" s="1"/>
  <c r="L8" i="5"/>
  <c r="AE8" i="5" s="1"/>
  <c r="P7" i="5"/>
  <c r="O7" i="5"/>
  <c r="N7" i="5"/>
  <c r="L20" i="5" s="1"/>
  <c r="M7" i="5"/>
  <c r="K20" i="5" s="1"/>
  <c r="L7" i="5"/>
  <c r="AE7" i="5" s="1"/>
  <c r="P6" i="5"/>
  <c r="O6" i="5"/>
  <c r="N6" i="5"/>
  <c r="L19" i="5" s="1"/>
  <c r="M6" i="5"/>
  <c r="K19" i="5" s="1"/>
  <c r="L6" i="5"/>
  <c r="O5" i="5"/>
  <c r="P5" i="5" s="1"/>
  <c r="N5" i="5"/>
  <c r="L18" i="5" s="1"/>
  <c r="M5" i="5"/>
  <c r="K18" i="5" s="1"/>
  <c r="L5" i="5"/>
  <c r="P4" i="5"/>
  <c r="O4" i="5"/>
  <c r="N4" i="5"/>
  <c r="L17" i="5" s="1"/>
  <c r="M4" i="5"/>
  <c r="K17" i="5" s="1"/>
  <c r="L4" i="5"/>
  <c r="BH3" i="5"/>
  <c r="BE3" i="5"/>
  <c r="X3" i="5"/>
  <c r="U3" i="5"/>
  <c r="V3" i="5"/>
  <c r="S3" i="5"/>
  <c r="E16" i="5" s="1"/>
  <c r="P3" i="5"/>
  <c r="O3" i="5"/>
  <c r="N3" i="5"/>
  <c r="L16" i="5" s="1"/>
  <c r="M3" i="5"/>
  <c r="K16" i="5" s="1"/>
  <c r="L3" i="5"/>
  <c r="AE3" i="5" s="1"/>
  <c r="H29" i="6" l="1"/>
  <c r="D29" i="6"/>
  <c r="D30" i="10"/>
  <c r="K22" i="5"/>
  <c r="L25" i="5"/>
  <c r="G25" i="5"/>
  <c r="D23" i="5"/>
  <c r="E23" i="5"/>
  <c r="I23" i="5"/>
  <c r="D21" i="5"/>
  <c r="D30" i="12"/>
  <c r="L22" i="5"/>
  <c r="F26" i="5"/>
  <c r="D22" i="5"/>
  <c r="I26" i="5"/>
  <c r="G21" i="5"/>
  <c r="H23" i="5"/>
  <c r="F22" i="5"/>
  <c r="K23" i="5"/>
  <c r="L26" i="5"/>
  <c r="H25" i="5"/>
  <c r="L23" i="5"/>
  <c r="L27" i="5" s="1"/>
  <c r="C22" i="5"/>
  <c r="E22" i="5" s="1"/>
  <c r="H21" i="5"/>
  <c r="C21" i="5"/>
  <c r="K26" i="5"/>
  <c r="G22" i="5"/>
  <c r="I22" i="5" s="1"/>
  <c r="E29" i="12"/>
  <c r="H29" i="12"/>
  <c r="I29" i="12"/>
  <c r="G29" i="12"/>
  <c r="C30" i="12"/>
  <c r="C29" i="12"/>
  <c r="H30" i="10"/>
  <c r="I30" i="10"/>
  <c r="E30" i="9"/>
  <c r="G30" i="10"/>
  <c r="E30" i="10"/>
  <c r="E29" i="10"/>
  <c r="H29" i="9"/>
  <c r="C29" i="10"/>
  <c r="C30" i="10"/>
  <c r="C29" i="9"/>
  <c r="G30" i="9"/>
  <c r="I30" i="9"/>
  <c r="G30" i="8"/>
  <c r="H29" i="8"/>
  <c r="I29" i="8"/>
  <c r="C29" i="8"/>
  <c r="C30" i="8"/>
  <c r="E30" i="8"/>
  <c r="E29" i="8"/>
  <c r="G30" i="6"/>
  <c r="E30" i="6"/>
  <c r="C30" i="6"/>
  <c r="I29" i="6"/>
  <c r="AE5" i="5"/>
  <c r="J18" i="5"/>
  <c r="AE4" i="5"/>
  <c r="J17" i="5"/>
  <c r="AE6" i="5"/>
  <c r="J19" i="5"/>
  <c r="K27" i="5" l="1"/>
  <c r="E27" i="5"/>
  <c r="E28" i="5" s="1"/>
  <c r="E29" i="5" s="1"/>
  <c r="D27" i="5"/>
  <c r="D28" i="5" s="1"/>
  <c r="D29" i="5" s="1"/>
  <c r="C27" i="5"/>
  <c r="C28" i="5" s="1"/>
  <c r="C29" i="5" s="1"/>
  <c r="H27" i="5"/>
  <c r="H28" i="5" s="1"/>
  <c r="H30" i="5" s="1"/>
  <c r="F27" i="5"/>
  <c r="F28" i="5" s="1"/>
  <c r="F29" i="5" s="1"/>
  <c r="F30" i="5" s="1"/>
  <c r="J27" i="5"/>
  <c r="I27" i="5"/>
  <c r="I28" i="5" s="1"/>
  <c r="I30" i="5" s="1"/>
  <c r="G27" i="5"/>
  <c r="G28" i="5" s="1"/>
  <c r="G29" i="5" s="1"/>
  <c r="D30" i="5" l="1"/>
  <c r="E30" i="5"/>
  <c r="C30" i="5"/>
  <c r="H29" i="5"/>
  <c r="I29" i="5"/>
  <c r="G30" i="5"/>
</calcChain>
</file>

<file path=xl/sharedStrings.xml><?xml version="1.0" encoding="utf-8"?>
<sst xmlns="http://schemas.openxmlformats.org/spreadsheetml/2006/main" count="1258" uniqueCount="214">
  <si>
    <t>Def Lateral</t>
  </si>
  <si>
    <t>Def Central</t>
  </si>
  <si>
    <t>Midfield</t>
  </si>
  <si>
    <t>At lateral</t>
  </si>
  <si>
    <t>At Central</t>
  </si>
  <si>
    <t>Cerca</t>
  </si>
  <si>
    <t>Lejos</t>
  </si>
  <si>
    <t>GK (GK skill)</t>
  </si>
  <si>
    <t>GK (defence skill)</t>
  </si>
  <si>
    <t>CD normal (defence skill)</t>
  </si>
  <si>
    <t>CD normal (jugadas skill)</t>
  </si>
  <si>
    <t>CD offensive (defence skill)</t>
  </si>
  <si>
    <t>CD offensive (jugadas skill)</t>
  </si>
  <si>
    <t>CD TW (defence skill)</t>
  </si>
  <si>
    <t>CD TW (jugadas skill)</t>
  </si>
  <si>
    <t>CD TW (wing skill)</t>
  </si>
  <si>
    <t>WB defensive (defence skill)</t>
  </si>
  <si>
    <t>WB defensive (jugadas skill)</t>
  </si>
  <si>
    <t>WB defensive (wing skill)</t>
  </si>
  <si>
    <t>WB normal (defence skill)</t>
  </si>
  <si>
    <t>WB normal (jugadas skill)</t>
  </si>
  <si>
    <t>WB normal (wing skill)</t>
  </si>
  <si>
    <t>WB offensive (defence skill)</t>
  </si>
  <si>
    <t>WB offensive (jugadas skill)</t>
  </si>
  <si>
    <t>WB offensive (wing skill)</t>
  </si>
  <si>
    <t>WB TM (defence skill)</t>
  </si>
  <si>
    <t>WB TM (jugadas skill)</t>
  </si>
  <si>
    <t>WB TM (wing skill)</t>
  </si>
  <si>
    <t>IM normal (defence skill)</t>
  </si>
  <si>
    <t>IM normal (jugadas skill)</t>
  </si>
  <si>
    <t>IM normal (scoring skill)</t>
  </si>
  <si>
    <t>IM normal (passing skill)</t>
  </si>
  <si>
    <t>IM defensive (defence skill)</t>
  </si>
  <si>
    <t>IM defensive (scoring skill)</t>
  </si>
  <si>
    <t>IM defensive (passing skill)</t>
  </si>
  <si>
    <t>IM offensive (defence skill)</t>
  </si>
  <si>
    <t xml:space="preserve">IM offensive (scoring skill) </t>
  </si>
  <si>
    <t xml:space="preserve">IM offensive (passing skill) </t>
  </si>
  <si>
    <t>IM off/def (jugadas skill)</t>
  </si>
  <si>
    <t>IM TW (defence skill)</t>
  </si>
  <si>
    <t>IM TW (jugadas skill)</t>
  </si>
  <si>
    <t>IM TW (wing skill)</t>
  </si>
  <si>
    <t xml:space="preserve">IM TW (passing skill) </t>
  </si>
  <si>
    <t>Wing normal (defence skill)</t>
  </si>
  <si>
    <t>Wing normal (jugadas skill)</t>
  </si>
  <si>
    <t>Wing normal (wing skill)</t>
  </si>
  <si>
    <t>Wing normal (passing skill)</t>
  </si>
  <si>
    <t>Wing Def (jugadas skill)</t>
  </si>
  <si>
    <t>Wing defensive (defence skill)</t>
  </si>
  <si>
    <t>Wing defensive (wing skill)</t>
  </si>
  <si>
    <t>Wing defensive (passing skill)</t>
  </si>
  <si>
    <t>Wing offensive (defence skill)</t>
  </si>
  <si>
    <t>Wing offensive (wing skill)</t>
  </si>
  <si>
    <t>Wing offensive (passing skill)</t>
  </si>
  <si>
    <t>Wing Off (jugadas skill)</t>
  </si>
  <si>
    <t>Wing TM (defence skill)</t>
  </si>
  <si>
    <t>Wing TM (jugadas skill)</t>
  </si>
  <si>
    <t>Wing TM (wing skill)</t>
  </si>
  <si>
    <t>Wing TM (passing skill)</t>
  </si>
  <si>
    <t>Fwd TW (opposite side) (scoring skill)</t>
  </si>
  <si>
    <t>Fwd TW (wing skill)</t>
  </si>
  <si>
    <t>Fwd TW (jugadas skill)</t>
  </si>
  <si>
    <t>Fwd TW (scoring skill)</t>
  </si>
  <si>
    <t>Fwd TW (passing skill)</t>
  </si>
  <si>
    <t>Fwd defensive (jugadas skill)</t>
  </si>
  <si>
    <t>Fwd defensive [Tech] (passing skill)</t>
  </si>
  <si>
    <t>Fwd defensive {non-tech} (passing skill)</t>
  </si>
  <si>
    <t>Fwd defensive (wing skill)</t>
  </si>
  <si>
    <t>Fwd defensive (scoring skill)</t>
  </si>
  <si>
    <t>Fwd normal (scoring skill)</t>
  </si>
  <si>
    <t>Fwd normal (jugadas skill)</t>
  </si>
  <si>
    <t>Fwd normal (wing skill)</t>
  </si>
  <si>
    <t>Fwd normal (passing skill)</t>
  </si>
  <si>
    <r>
      <t xml:space="preserve">There are some </t>
    </r>
    <r>
      <rPr>
        <b/>
        <sz val="11"/>
        <color theme="1"/>
        <rFont val="Calibri"/>
        <family val="2"/>
        <scheme val="minor"/>
      </rPr>
      <t>agglomeration penalties</t>
    </r>
    <r>
      <rPr>
        <sz val="11"/>
        <color theme="1"/>
        <rFont val="Calibri"/>
        <family val="2"/>
        <scheme val="minor"/>
      </rPr>
      <t>, in case you play 2 or 3 players on the same central position. Those penalties occur to all the skills of the players from that specific central compartment of your team and they are:</t>
    </r>
  </si>
  <si>
    <t>- 2 Central Defenders: -3.6%</t>
  </si>
  <si>
    <t>- 3 Central Defenders: -10%</t>
  </si>
  <si>
    <t>- 2 Inner Midfielders: -6.5%</t>
  </si>
  <si>
    <t>- 3 Inner Midfielders: -17.5%</t>
  </si>
  <si>
    <t>- 2 Forwads: -5.5%</t>
  </si>
  <si>
    <t>- 3 Forwards: -13.5%</t>
  </si>
  <si>
    <t>FOR</t>
  </si>
  <si>
    <t>XP</t>
  </si>
  <si>
    <t>POR</t>
  </si>
  <si>
    <t>DEF</t>
  </si>
  <si>
    <t>JUG</t>
  </si>
  <si>
    <t>EXT</t>
  </si>
  <si>
    <t>PAS</t>
  </si>
  <si>
    <t>ANO</t>
  </si>
  <si>
    <t>BP</t>
  </si>
  <si>
    <t>p</t>
  </si>
  <si>
    <t>DEFLAT</t>
  </si>
  <si>
    <t>DELCEN</t>
  </si>
  <si>
    <t>MED</t>
  </si>
  <si>
    <t>ATAT</t>
  </si>
  <si>
    <t>ATCEN</t>
  </si>
  <si>
    <t>ATLAT</t>
  </si>
  <si>
    <t>NCA</t>
  </si>
  <si>
    <t>BPA</t>
  </si>
  <si>
    <t>BPD</t>
  </si>
  <si>
    <t>DL</t>
  </si>
  <si>
    <t>DC</t>
  </si>
  <si>
    <t>EXTOF</t>
  </si>
  <si>
    <t>IHL</t>
  </si>
  <si>
    <t>MDEF</t>
  </si>
  <si>
    <t>DD</t>
  </si>
  <si>
    <t>Ent.NEUTRO</t>
  </si>
  <si>
    <t>Ent.DEF</t>
  </si>
  <si>
    <t>Ent.OF</t>
  </si>
  <si>
    <t>352Bibanda</t>
  </si>
  <si>
    <t>Portero</t>
  </si>
  <si>
    <t>BPI_A</t>
  </si>
  <si>
    <t>BPI_D</t>
  </si>
  <si>
    <t>BPMin</t>
  </si>
  <si>
    <t>BPMax</t>
  </si>
  <si>
    <t>DEFCEN</t>
  </si>
  <si>
    <t>ESP</t>
  </si>
  <si>
    <t>FechaCompra</t>
  </si>
  <si>
    <t>EXTDEF</t>
  </si>
  <si>
    <t>DAV</t>
  </si>
  <si>
    <t>352CenBanda</t>
  </si>
  <si>
    <t>DCNormal</t>
  </si>
  <si>
    <t>DLNormal</t>
  </si>
  <si>
    <t>DCtW</t>
  </si>
  <si>
    <t>DLDEF</t>
  </si>
  <si>
    <t>EHM</t>
  </si>
  <si>
    <t>Mnor</t>
  </si>
  <si>
    <t>DCOff</t>
  </si>
  <si>
    <t>DCOf</t>
  </si>
  <si>
    <t>343CenBan</t>
  </si>
  <si>
    <t>253CenBanda</t>
  </si>
  <si>
    <t>442Biban</t>
  </si>
  <si>
    <t>Inor</t>
  </si>
  <si>
    <t>Inorm</t>
  </si>
  <si>
    <t>541 (2EXT, 2INN)</t>
  </si>
  <si>
    <t>541 (1EXT, 3INN)</t>
  </si>
  <si>
    <t>532 (2EXT, 1INN)</t>
  </si>
  <si>
    <t>532 (1EXT, 2INN)</t>
  </si>
  <si>
    <t>523 (2EXT)</t>
  </si>
  <si>
    <t>523 (2INN)</t>
  </si>
  <si>
    <t>523 (1EXT, 1INN)</t>
  </si>
  <si>
    <t>451 (2DL, 2DC)</t>
  </si>
  <si>
    <t>451 (1DL, 3DC)</t>
  </si>
  <si>
    <t>442 (2DL, 2DC, 2EXT, 2INN)</t>
  </si>
  <si>
    <t>442 (1DL, 3DC, 2EXT, 2INN)</t>
  </si>
  <si>
    <t>442 (1DL, 3DC, 1EXT, 3INN)</t>
  </si>
  <si>
    <t>442 (2DL, 2DC, 1EXT, 3INN)</t>
  </si>
  <si>
    <t>433 (2DL, 2DC, 2EXT, 1INN)</t>
  </si>
  <si>
    <t>433 (2DL, 2DC, 1EXT, 2INN)</t>
  </si>
  <si>
    <t>433 (2DL, 2DC, 3INN)</t>
  </si>
  <si>
    <t>433 (1DL, 3DC, 2EXT, 1INN)</t>
  </si>
  <si>
    <t>433 (1DL, 3DC, 1EXT, 2INN)</t>
  </si>
  <si>
    <t>433 (1DL, 3DC, 3INN)</t>
  </si>
  <si>
    <t>352 (2DL 1DC)</t>
  </si>
  <si>
    <t>352 (1DL 2DC)</t>
  </si>
  <si>
    <t>352 (3DC)</t>
  </si>
  <si>
    <t>343 (2DL 1DC 2EXT 2INN)</t>
  </si>
  <si>
    <t>343 (2DL 1DC 1EXT 3INN)</t>
  </si>
  <si>
    <t>343 (1DL 2DC 1EXT 3INN)</t>
  </si>
  <si>
    <t>343 (1DL 2DC 2EXT 2INN)</t>
  </si>
  <si>
    <t>343 (3DC 2EXT 2INN)</t>
  </si>
  <si>
    <t>343 (3DC 1EXT 3INN)</t>
  </si>
  <si>
    <t>253 (2DL)</t>
  </si>
  <si>
    <t>253 (1DL 1DC)</t>
  </si>
  <si>
    <t>253 (2DC)</t>
  </si>
  <si>
    <t>INN</t>
  </si>
  <si>
    <t>TOTAL</t>
  </si>
  <si>
    <t>PORTERO</t>
  </si>
  <si>
    <t>LATERALDEF</t>
  </si>
  <si>
    <t>LATERALNOR</t>
  </si>
  <si>
    <t>LATERALOF</t>
  </si>
  <si>
    <t>CENTRALTW</t>
  </si>
  <si>
    <t>CENTRALTW2</t>
  </si>
  <si>
    <t>CENTRALTW3</t>
  </si>
  <si>
    <t>CENTRALNORM</t>
  </si>
  <si>
    <t>CENTRALNORM2</t>
  </si>
  <si>
    <t>CENTRALNORM3</t>
  </si>
  <si>
    <t>CENTRALOF</t>
  </si>
  <si>
    <t>CENTRALOF2</t>
  </si>
  <si>
    <t>CENTRALOF3</t>
  </si>
  <si>
    <t>DEFLAT1</t>
  </si>
  <si>
    <t>DEFLAT2</t>
  </si>
  <si>
    <t>MEDIO</t>
  </si>
  <si>
    <t>ATLAT1</t>
  </si>
  <si>
    <t>ATLAT2</t>
  </si>
  <si>
    <t>EXTREMODEF</t>
  </si>
  <si>
    <t>EXTREMONOR</t>
  </si>
  <si>
    <t>EXTREMOOF</t>
  </si>
  <si>
    <t>INNERDEF</t>
  </si>
  <si>
    <t>INNERDEF2</t>
  </si>
  <si>
    <t>INNERDEF3</t>
  </si>
  <si>
    <t>INNERNORMAL</t>
  </si>
  <si>
    <t>INNERNORMAL2</t>
  </si>
  <si>
    <t>INNERNORMAL3</t>
  </si>
  <si>
    <t>INNEROF</t>
  </si>
  <si>
    <t>INNEROF2</t>
  </si>
  <si>
    <t>INNEROF3</t>
  </si>
  <si>
    <t>IHL2</t>
  </si>
  <si>
    <t>IHL3</t>
  </si>
  <si>
    <t>DD2</t>
  </si>
  <si>
    <t>DD3</t>
  </si>
  <si>
    <t>DTW</t>
  </si>
  <si>
    <t>DTW2</t>
  </si>
  <si>
    <t>DTW3</t>
  </si>
  <si>
    <t>DAV2</t>
  </si>
  <si>
    <t>DAV3</t>
  </si>
  <si>
    <t>TotalDEF</t>
  </si>
  <si>
    <t>TotalAt</t>
  </si>
  <si>
    <t>DF_LAT</t>
  </si>
  <si>
    <t>DF_CEN</t>
  </si>
  <si>
    <t>AT_LAT</t>
  </si>
  <si>
    <t>AT_CEN</t>
  </si>
  <si>
    <t>ATT</t>
  </si>
  <si>
    <t>FORMACION</t>
  </si>
  <si>
    <t>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</si>
</sst>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0.000"/>
    <numFmt numFmtId="165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0">
    <xf numFmtId="0" fontId="0" fillId="0" borderId="0" xfId="0"/>
    <xf numFmtId="0" fontId="3" fillId="3" borderId="4" xfId="0" applyFont="1" applyFill="1" applyBorder="1" applyAlignment="1">
      <alignment horizontal="center"/>
    </xf>
    <xf numFmtId="165" fontId="0" fillId="0" borderId="7" xfId="0" applyNumberFormat="1" applyBorder="1"/>
    <xf numFmtId="165" fontId="0" fillId="0" borderId="8" xfId="0" applyNumberFormat="1" applyBorder="1"/>
    <xf numFmtId="0" fontId="0" fillId="0" borderId="9" xfId="0" applyBorder="1"/>
    <xf numFmtId="165" fontId="0" fillId="0" borderId="4" xfId="0" applyNumberFormat="1" applyBorder="1"/>
    <xf numFmtId="165" fontId="0" fillId="0" borderId="10" xfId="0" applyNumberFormat="1" applyBorder="1"/>
    <xf numFmtId="0" fontId="0" fillId="0" borderId="11" xfId="0" applyBorder="1"/>
    <xf numFmtId="165" fontId="0" fillId="0" borderId="3" xfId="0" applyNumberFormat="1" applyBorder="1"/>
    <xf numFmtId="165" fontId="0" fillId="0" borderId="12" xfId="0" applyNumberFormat="1" applyBorder="1"/>
    <xf numFmtId="0" fontId="0" fillId="0" borderId="13" xfId="0" applyBorder="1"/>
    <xf numFmtId="165" fontId="0" fillId="0" borderId="4" xfId="0" applyNumberFormat="1" applyBorder="1" applyAlignment="1">
      <alignment horizontal="center"/>
    </xf>
    <xf numFmtId="165" fontId="0" fillId="0" borderId="7" xfId="0" applyNumberFormat="1" applyFill="1" applyBorder="1"/>
    <xf numFmtId="165" fontId="0" fillId="0" borderId="19" xfId="0" applyNumberFormat="1" applyBorder="1"/>
    <xf numFmtId="165" fontId="0" fillId="0" borderId="19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0" fillId="0" borderId="22" xfId="0" applyBorder="1"/>
    <xf numFmtId="165" fontId="0" fillId="0" borderId="23" xfId="0" applyNumberFormat="1" applyBorder="1"/>
    <xf numFmtId="0" fontId="0" fillId="0" borderId="26" xfId="0" applyBorder="1"/>
    <xf numFmtId="165" fontId="0" fillId="0" borderId="3" xfId="0" applyNumberFormat="1" applyBorder="1" applyAlignment="1">
      <alignment horizontal="center"/>
    </xf>
    <xf numFmtId="165" fontId="0" fillId="0" borderId="3" xfId="0" applyNumberFormat="1" applyFill="1" applyBorder="1"/>
    <xf numFmtId="165" fontId="0" fillId="0" borderId="7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28" xfId="0" applyNumberFormat="1" applyBorder="1"/>
    <xf numFmtId="0" fontId="0" fillId="0" borderId="31" xfId="0" applyBorder="1"/>
    <xf numFmtId="165" fontId="0" fillId="0" borderId="32" xfId="0" applyNumberFormat="1" applyBorder="1"/>
    <xf numFmtId="0" fontId="0" fillId="0" borderId="27" xfId="0" applyBorder="1"/>
    <xf numFmtId="0" fontId="0" fillId="0" borderId="2" xfId="0" applyBorder="1"/>
    <xf numFmtId="165" fontId="0" fillId="0" borderId="28" xfId="0" applyNumberFormat="1" applyFill="1" applyBorder="1"/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9" xfId="0" applyNumberFormat="1" applyBorder="1"/>
    <xf numFmtId="165" fontId="0" fillId="0" borderId="13" xfId="0" applyNumberFormat="1" applyBorder="1"/>
    <xf numFmtId="165" fontId="0" fillId="0" borderId="33" xfId="0" applyNumberFormat="1" applyBorder="1"/>
    <xf numFmtId="0" fontId="0" fillId="0" borderId="6" xfId="0" applyBorder="1"/>
    <xf numFmtId="165" fontId="0" fillId="0" borderId="31" xfId="0" applyNumberFormat="1" applyBorder="1"/>
    <xf numFmtId="0" fontId="0" fillId="0" borderId="36" xfId="0" applyBorder="1"/>
    <xf numFmtId="165" fontId="0" fillId="0" borderId="32" xfId="0" applyNumberFormat="1" applyFill="1" applyBorder="1"/>
    <xf numFmtId="165" fontId="0" fillId="0" borderId="32" xfId="0" applyNumberFormat="1" applyBorder="1" applyAlignment="1">
      <alignment horizontal="center"/>
    </xf>
    <xf numFmtId="0" fontId="0" fillId="0" borderId="33" xfId="0" applyBorder="1"/>
    <xf numFmtId="0" fontId="5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1" fillId="0" borderId="3" xfId="0" applyFont="1" applyBorder="1"/>
    <xf numFmtId="0" fontId="0" fillId="0" borderId="3" xfId="0" applyFont="1" applyBorder="1"/>
    <xf numFmtId="166" fontId="0" fillId="0" borderId="3" xfId="0" applyNumberFormat="1" applyBorder="1"/>
    <xf numFmtId="0" fontId="0" fillId="0" borderId="0" xfId="0" applyFont="1"/>
    <xf numFmtId="166" fontId="1" fillId="0" borderId="3" xfId="0" applyNumberFormat="1" applyFont="1" applyBorder="1"/>
    <xf numFmtId="166" fontId="1" fillId="5" borderId="3" xfId="0" applyNumberFormat="1" applyFont="1" applyFill="1" applyBorder="1"/>
    <xf numFmtId="166" fontId="8" fillId="2" borderId="0" xfId="0" applyNumberFormat="1" applyFont="1" applyFill="1"/>
    <xf numFmtId="164" fontId="7" fillId="0" borderId="3" xfId="0" applyNumberFormat="1" applyFont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/>
    <xf numFmtId="0" fontId="5" fillId="6" borderId="0" xfId="0" applyFont="1" applyFill="1"/>
    <xf numFmtId="2" fontId="0" fillId="0" borderId="0" xfId="0" applyNumberFormat="1"/>
    <xf numFmtId="0" fontId="5" fillId="8" borderId="0" xfId="0" applyFont="1" applyFill="1"/>
    <xf numFmtId="14" fontId="0" fillId="0" borderId="0" xfId="1" applyNumberFormat="1" applyFont="1"/>
    <xf numFmtId="0" fontId="6" fillId="0" borderId="0" xfId="0" applyFont="1" applyAlignment="1"/>
    <xf numFmtId="14" fontId="0" fillId="0" borderId="0" xfId="0" applyNumberFormat="1"/>
    <xf numFmtId="2" fontId="0" fillId="0" borderId="3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 applyBorder="1"/>
    <xf numFmtId="165" fontId="0" fillId="0" borderId="34" xfId="0" applyNumberFormat="1" applyBorder="1"/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3" borderId="3" xfId="0" applyFont="1" applyFill="1" applyBorder="1" applyAlignment="1">
      <alignment horizontal="left"/>
    </xf>
    <xf numFmtId="0" fontId="1" fillId="3" borderId="3" xfId="0" applyFont="1" applyFill="1" applyBorder="1"/>
    <xf numFmtId="164" fontId="0" fillId="0" borderId="3" xfId="0" applyNumberFormat="1" applyBorder="1"/>
    <xf numFmtId="0" fontId="1" fillId="9" borderId="3" xfId="0" applyFont="1" applyFill="1" applyBorder="1"/>
    <xf numFmtId="164" fontId="0" fillId="0" borderId="3" xfId="0" quotePrefix="1" applyNumberFormat="1" applyBorder="1"/>
    <xf numFmtId="164" fontId="1" fillId="0" borderId="3" xfId="0" applyNumberFormat="1" applyFont="1" applyBorder="1"/>
    <xf numFmtId="2" fontId="1" fillId="0" borderId="3" xfId="0" applyNumberFormat="1" applyFont="1" applyBorder="1" applyAlignment="1">
      <alignment horizontal="center"/>
    </xf>
    <xf numFmtId="164" fontId="1" fillId="0" borderId="3" xfId="0" quotePrefix="1" applyNumberFormat="1" applyFont="1" applyBorder="1"/>
    <xf numFmtId="164" fontId="0" fillId="0" borderId="0" xfId="0" applyNumberForma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10" borderId="0" xfId="0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1" fillId="10" borderId="0" xfId="2" applyNumberFormat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/>
    <xf numFmtId="165" fontId="0" fillId="0" borderId="0" xfId="0" applyNumberFormat="1" applyBorder="1"/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37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39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40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15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rgb="FF9C0006"/>
      </font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Formaciones!$Q$1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Formaciones!$C$2:$C$33</c:f>
              <c:strCache>
                <c:ptCount val="32"/>
                <c:pt idx="0">
                  <c:v>442 (2DL, 2DC, 2EXT, 2INN)</c:v>
                </c:pt>
                <c:pt idx="1">
                  <c:v>532 (2EXT, 1INN)</c:v>
                </c:pt>
                <c:pt idx="2">
                  <c:v>541 (2EXT, 2INN)</c:v>
                </c:pt>
                <c:pt idx="3">
                  <c:v>433 (2DL, 2DC, 2EXT, 1INN)</c:v>
                </c:pt>
                <c:pt idx="4">
                  <c:v>343 (2DL 1DC 2EXT 2INN)</c:v>
                </c:pt>
                <c:pt idx="5">
                  <c:v>532 (1EXT, 2INN)</c:v>
                </c:pt>
                <c:pt idx="6">
                  <c:v>442 (1DL, 3DC, 2EXT, 2INN)</c:v>
                </c:pt>
                <c:pt idx="7">
                  <c:v>451 (2DL, 2DC)</c:v>
                </c:pt>
                <c:pt idx="8">
                  <c:v>433 (2DL, 2DC, 1EXT, 2INN)</c:v>
                </c:pt>
                <c:pt idx="9">
                  <c:v>343 (1DL 2DC 2EXT 2INN)</c:v>
                </c:pt>
                <c:pt idx="10">
                  <c:v>352 (2DL 1DC)</c:v>
                </c:pt>
                <c:pt idx="11">
                  <c:v>523 (2EXT)</c:v>
                </c:pt>
                <c:pt idx="12">
                  <c:v>523 (1EXT, 1INN)</c:v>
                </c:pt>
                <c:pt idx="13">
                  <c:v>433 (1DL, 3DC, 2EXT, 1INN)</c:v>
                </c:pt>
                <c:pt idx="14">
                  <c:v>442 (2DL, 2DC, 1EXT, 3INN)</c:v>
                </c:pt>
                <c:pt idx="15">
                  <c:v>352 (1DL 2DC)</c:v>
                </c:pt>
                <c:pt idx="16">
                  <c:v>550</c:v>
                </c:pt>
                <c:pt idx="17">
                  <c:v>451 (1DL, 3DC)</c:v>
                </c:pt>
                <c:pt idx="18">
                  <c:v>541 (1EXT, 3INN)</c:v>
                </c:pt>
                <c:pt idx="19">
                  <c:v>523 (2INN)</c:v>
                </c:pt>
                <c:pt idx="20">
                  <c:v>433 (1DL, 3DC, 1EXT, 2INN)</c:v>
                </c:pt>
                <c:pt idx="21">
                  <c:v>343 (3DC 2EXT 2INN)</c:v>
                </c:pt>
                <c:pt idx="22">
                  <c:v>343 (2DL 1DC 1EXT 3INN)</c:v>
                </c:pt>
                <c:pt idx="23">
                  <c:v>253 (2DL)</c:v>
                </c:pt>
                <c:pt idx="24">
                  <c:v>253 (1DL 1DC)</c:v>
                </c:pt>
                <c:pt idx="25">
                  <c:v>352 (3DC)</c:v>
                </c:pt>
                <c:pt idx="26">
                  <c:v>442 (1DL, 3DC, 1EXT, 3INN)</c:v>
                </c:pt>
                <c:pt idx="27">
                  <c:v>433 (2DL, 2DC, 3INN)</c:v>
                </c:pt>
                <c:pt idx="28">
                  <c:v>343 (1DL 2DC 1EXT 3INN)</c:v>
                </c:pt>
                <c:pt idx="29">
                  <c:v>253 (2DC)</c:v>
                </c:pt>
                <c:pt idx="30">
                  <c:v>343 (3DC 1EXT 3INN)</c:v>
                </c:pt>
                <c:pt idx="31">
                  <c:v>433 (1DL, 3DC, 3INN)</c:v>
                </c:pt>
              </c:strCache>
            </c:strRef>
          </c:cat>
          <c:val>
            <c:numRef>
              <c:f>Formaciones!$Q$2:$Q$33</c:f>
              <c:numCache>
                <c:formatCode>0.000</c:formatCode>
                <c:ptCount val="32"/>
                <c:pt idx="0">
                  <c:v>9.6880000000000006</c:v>
                </c:pt>
                <c:pt idx="1">
                  <c:v>9.59</c:v>
                </c:pt>
                <c:pt idx="2">
                  <c:v>9.57</c:v>
                </c:pt>
                <c:pt idx="3">
                  <c:v>9.5229999999999997</c:v>
                </c:pt>
                <c:pt idx="4">
                  <c:v>9.4650000000000016</c:v>
                </c:pt>
                <c:pt idx="5">
                  <c:v>9.4600000000000009</c:v>
                </c:pt>
                <c:pt idx="6">
                  <c:v>9.4600000000000009</c:v>
                </c:pt>
                <c:pt idx="7">
                  <c:v>9.4030000000000005</c:v>
                </c:pt>
                <c:pt idx="8">
                  <c:v>9.3930000000000007</c:v>
                </c:pt>
                <c:pt idx="9">
                  <c:v>9.3930000000000007</c:v>
                </c:pt>
                <c:pt idx="10">
                  <c:v>9.3650000000000002</c:v>
                </c:pt>
                <c:pt idx="11">
                  <c:v>9.2949999999999999</c:v>
                </c:pt>
                <c:pt idx="12">
                  <c:v>9.2949999999999999</c:v>
                </c:pt>
                <c:pt idx="13">
                  <c:v>9.2949999999999999</c:v>
                </c:pt>
                <c:pt idx="14">
                  <c:v>9.293000000000001</c:v>
                </c:pt>
                <c:pt idx="15">
                  <c:v>9.293000000000001</c:v>
                </c:pt>
                <c:pt idx="16">
                  <c:v>9.1749999999999989</c:v>
                </c:pt>
                <c:pt idx="17">
                  <c:v>9.1750000000000007</c:v>
                </c:pt>
                <c:pt idx="18">
                  <c:v>9.1749999999999989</c:v>
                </c:pt>
                <c:pt idx="19">
                  <c:v>9.1650000000000009</c:v>
                </c:pt>
                <c:pt idx="20">
                  <c:v>9.1650000000000009</c:v>
                </c:pt>
                <c:pt idx="21">
                  <c:v>9.1650000000000009</c:v>
                </c:pt>
                <c:pt idx="22">
                  <c:v>9.07</c:v>
                </c:pt>
                <c:pt idx="23">
                  <c:v>9.07</c:v>
                </c:pt>
                <c:pt idx="24">
                  <c:v>9.07</c:v>
                </c:pt>
                <c:pt idx="25">
                  <c:v>9.0650000000000013</c:v>
                </c:pt>
                <c:pt idx="26">
                  <c:v>9.0649999999999995</c:v>
                </c:pt>
                <c:pt idx="27">
                  <c:v>8.9980000000000011</c:v>
                </c:pt>
                <c:pt idx="28">
                  <c:v>8.9980000000000011</c:v>
                </c:pt>
                <c:pt idx="29">
                  <c:v>8.9980000000000011</c:v>
                </c:pt>
                <c:pt idx="30">
                  <c:v>8.7700000000000014</c:v>
                </c:pt>
                <c:pt idx="31">
                  <c:v>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B-4746-8C72-33B88618A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010720"/>
        <c:axId val="283015816"/>
      </c:barChart>
      <c:catAx>
        <c:axId val="2830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015816"/>
        <c:crosses val="autoZero"/>
        <c:auto val="1"/>
        <c:lblAlgn val="ctr"/>
        <c:lblOffset val="100"/>
        <c:noMultiLvlLbl val="0"/>
      </c:catAx>
      <c:valAx>
        <c:axId val="283015816"/>
        <c:scaling>
          <c:orientation val="minMax"/>
          <c:max val="11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01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276224</xdr:colOff>
      <xdr:row>0</xdr:row>
      <xdr:rowOff>128587</xdr:rowOff>
    </xdr:from>
    <xdr:to>
      <xdr:col>26</xdr:col>
      <xdr:colOff>666749</xdr:colOff>
      <xdr:row>33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J69"/>
  <sheetViews>
    <sheetView zoomScale="90" zoomScaleNormal="90" workbookViewId="0">
      <pane ySplit="3" topLeftCell="A10" activePane="bottomLeft" state="frozen"/>
      <selection pane="bottomLeft" activeCell="A5" sqref="A5:B5"/>
    </sheetView>
  </sheetViews>
  <sheetFormatPr baseColWidth="10" defaultColWidth="9.140625" defaultRowHeight="15" x14ac:dyDescent="0.25"/>
  <cols>
    <col min="1" max="1" width="7.5703125" bestFit="1" customWidth="1"/>
    <col min="2" max="2" width="7.140625" bestFit="1" customWidth="1"/>
    <col min="7" max="7" width="7.5703125" bestFit="1" customWidth="1"/>
    <col min="8" max="8" width="7.140625" bestFit="1" customWidth="1"/>
  </cols>
  <sheetData>
    <row r="1" spans="1:10" ht="18.75" x14ac:dyDescent="0.3">
      <c r="A1" s="119">
        <v>0.34</v>
      </c>
      <c r="B1" s="120"/>
      <c r="C1" s="119">
        <v>0.245</v>
      </c>
      <c r="D1" s="120"/>
      <c r="E1" s="119">
        <v>0.125</v>
      </c>
      <c r="F1" s="120"/>
      <c r="G1" s="119">
        <v>0.29099999999999998</v>
      </c>
      <c r="H1" s="120"/>
      <c r="I1" s="119">
        <v>0.19</v>
      </c>
      <c r="J1" s="120"/>
    </row>
    <row r="2" spans="1:10" ht="18.75" x14ac:dyDescent="0.3">
      <c r="A2" s="117" t="s">
        <v>0</v>
      </c>
      <c r="B2" s="118"/>
      <c r="C2" s="117" t="s">
        <v>1</v>
      </c>
      <c r="D2" s="118"/>
      <c r="E2" s="117" t="s">
        <v>2</v>
      </c>
      <c r="F2" s="118"/>
      <c r="G2" s="117" t="s">
        <v>3</v>
      </c>
      <c r="H2" s="118"/>
      <c r="I2" s="117" t="s">
        <v>4</v>
      </c>
      <c r="J2" s="118"/>
    </row>
    <row r="3" spans="1:10" ht="18.75" x14ac:dyDescent="0.3">
      <c r="A3" s="1" t="s">
        <v>5</v>
      </c>
      <c r="B3" s="1" t="s">
        <v>6</v>
      </c>
      <c r="C3" s="117"/>
      <c r="D3" s="118"/>
      <c r="E3" s="117"/>
      <c r="F3" s="118"/>
      <c r="G3" s="1" t="s">
        <v>5</v>
      </c>
      <c r="H3" s="1" t="s">
        <v>6</v>
      </c>
      <c r="I3" s="117"/>
      <c r="J3" s="118"/>
    </row>
    <row r="4" spans="1:10" s="74" customFormat="1" x14ac:dyDescent="0.25">
      <c r="A4" s="107">
        <v>0.59699999999999998</v>
      </c>
      <c r="B4" s="112"/>
      <c r="C4" s="107">
        <v>0.86599999999999999</v>
      </c>
      <c r="D4" s="112"/>
      <c r="E4" s="8"/>
      <c r="F4" s="8"/>
      <c r="G4" s="8"/>
      <c r="H4" s="8"/>
      <c r="I4" s="8"/>
      <c r="J4" s="9"/>
    </row>
    <row r="5" spans="1:10" s="74" customFormat="1" ht="15.75" thickBot="1" x14ac:dyDescent="0.3">
      <c r="A5" s="109">
        <v>0.27600000000000002</v>
      </c>
      <c r="B5" s="113"/>
      <c r="C5" s="109">
        <v>0.42499999999999999</v>
      </c>
      <c r="D5" s="113"/>
      <c r="E5" s="5"/>
      <c r="F5" s="5"/>
      <c r="G5" s="5"/>
      <c r="H5" s="5"/>
      <c r="I5" s="5"/>
      <c r="J5" s="6"/>
    </row>
    <row r="6" spans="1:10" x14ac:dyDescent="0.25">
      <c r="A6" s="33">
        <v>0.51600000000000001</v>
      </c>
      <c r="B6" s="2">
        <f>A6/2</f>
        <v>0.25800000000000001</v>
      </c>
      <c r="C6" s="105">
        <v>1</v>
      </c>
      <c r="D6" s="111"/>
      <c r="E6" s="2"/>
      <c r="F6" s="2"/>
      <c r="G6" s="2"/>
      <c r="H6" s="2"/>
      <c r="I6" s="2"/>
      <c r="J6" s="3"/>
    </row>
    <row r="7" spans="1:10" ht="15.75" thickBot="1" x14ac:dyDescent="0.3">
      <c r="A7" s="35"/>
      <c r="B7" s="27"/>
      <c r="C7" s="27"/>
      <c r="D7" s="27"/>
      <c r="E7" s="109">
        <v>0.23599999999999999</v>
      </c>
      <c r="F7" s="113"/>
      <c r="G7" s="27"/>
      <c r="H7" s="27"/>
      <c r="I7" s="27"/>
      <c r="J7" s="75"/>
    </row>
    <row r="8" spans="1:10" x14ac:dyDescent="0.25">
      <c r="A8" s="2">
        <v>0.378</v>
      </c>
      <c r="B8" s="2">
        <f>A8/2</f>
        <v>0.189</v>
      </c>
      <c r="C8" s="105">
        <v>0.72499999999999998</v>
      </c>
      <c r="D8" s="111"/>
      <c r="E8" s="2"/>
      <c r="F8" s="2"/>
      <c r="G8" s="2"/>
      <c r="H8" s="2"/>
      <c r="I8" s="2"/>
      <c r="J8" s="3"/>
    </row>
    <row r="9" spans="1:10" ht="15.75" thickBot="1" x14ac:dyDescent="0.3">
      <c r="A9" s="5"/>
      <c r="B9" s="5"/>
      <c r="C9" s="5"/>
      <c r="D9" s="5"/>
      <c r="E9" s="109">
        <v>0.318</v>
      </c>
      <c r="F9" s="113"/>
      <c r="G9" s="5"/>
      <c r="H9" s="5"/>
      <c r="I9" s="5"/>
      <c r="J9" s="6"/>
    </row>
    <row r="10" spans="1:10" x14ac:dyDescent="0.25">
      <c r="A10" s="2">
        <v>0.71099999999999997</v>
      </c>
      <c r="B10" s="2"/>
      <c r="C10" s="105">
        <v>0.77800000000000002</v>
      </c>
      <c r="D10" s="111"/>
      <c r="E10" s="2"/>
      <c r="F10" s="2"/>
      <c r="G10" s="2"/>
      <c r="H10" s="2"/>
      <c r="I10" s="2"/>
      <c r="J10" s="3"/>
    </row>
    <row r="11" spans="1:10" x14ac:dyDescent="0.25">
      <c r="A11" s="8"/>
      <c r="B11" s="8"/>
      <c r="C11" s="8"/>
      <c r="D11" s="8"/>
      <c r="E11" s="107">
        <v>0.16500000000000001</v>
      </c>
      <c r="F11" s="112"/>
      <c r="G11" s="8"/>
      <c r="H11" s="8"/>
      <c r="I11" s="8"/>
      <c r="J11" s="9"/>
    </row>
    <row r="12" spans="1:10" ht="15.75" thickBot="1" x14ac:dyDescent="0.3">
      <c r="A12" s="5"/>
      <c r="B12" s="5"/>
      <c r="C12" s="5"/>
      <c r="D12" s="5"/>
      <c r="E12" s="73"/>
      <c r="F12" s="73"/>
      <c r="G12" s="5">
        <v>0.246</v>
      </c>
      <c r="H12" s="5"/>
      <c r="I12" s="5"/>
      <c r="J12" s="6"/>
    </row>
    <row r="13" spans="1:10" x14ac:dyDescent="0.25">
      <c r="A13" s="2">
        <v>1</v>
      </c>
      <c r="B13" s="12"/>
      <c r="C13" s="105">
        <v>0.47899999999999998</v>
      </c>
      <c r="D13" s="111"/>
      <c r="E13" s="2"/>
      <c r="F13" s="2"/>
      <c r="G13" s="2"/>
      <c r="H13" s="2"/>
      <c r="I13" s="2"/>
      <c r="J13" s="3"/>
    </row>
    <row r="14" spans="1:10" x14ac:dyDescent="0.25">
      <c r="A14" s="8"/>
      <c r="B14" s="8"/>
      <c r="C14" s="8"/>
      <c r="D14" s="8"/>
      <c r="E14" s="107">
        <v>6.6000000000000003E-2</v>
      </c>
      <c r="F14" s="112"/>
      <c r="G14" s="8"/>
      <c r="H14" s="8"/>
      <c r="I14" s="8"/>
      <c r="J14" s="9"/>
    </row>
    <row r="15" spans="1:10" ht="15.75" thickBot="1" x14ac:dyDescent="0.3">
      <c r="A15" s="5"/>
      <c r="B15" s="5"/>
      <c r="C15" s="5"/>
      <c r="D15" s="5"/>
      <c r="E15" s="73"/>
      <c r="F15" s="73"/>
      <c r="G15" s="5">
        <v>0.32300000000000001</v>
      </c>
      <c r="H15" s="5"/>
      <c r="I15" s="5"/>
      <c r="J15" s="6"/>
    </row>
    <row r="16" spans="1:10" x14ac:dyDescent="0.25">
      <c r="A16" s="2">
        <v>0.91900000000000004</v>
      </c>
      <c r="B16" s="12"/>
      <c r="C16" s="105">
        <v>0.45</v>
      </c>
      <c r="D16" s="111"/>
      <c r="E16" s="2"/>
      <c r="F16" s="2"/>
      <c r="G16" s="2"/>
      <c r="H16" s="2"/>
      <c r="I16" s="2"/>
      <c r="J16" s="3"/>
    </row>
    <row r="17" spans="1:10" x14ac:dyDescent="0.25">
      <c r="A17" s="8"/>
      <c r="B17" s="8"/>
      <c r="C17" s="8"/>
      <c r="D17" s="8"/>
      <c r="E17" s="107">
        <v>0.16700000000000001</v>
      </c>
      <c r="F17" s="112"/>
      <c r="G17" s="8"/>
      <c r="H17" s="8"/>
      <c r="I17" s="8"/>
      <c r="J17" s="9"/>
    </row>
    <row r="18" spans="1:10" ht="15.75" thickBot="1" x14ac:dyDescent="0.3">
      <c r="A18" s="5"/>
      <c r="B18" s="5"/>
      <c r="C18" s="5"/>
      <c r="D18" s="5"/>
      <c r="E18" s="73"/>
      <c r="F18" s="73"/>
      <c r="G18" s="5">
        <v>0.50600000000000001</v>
      </c>
      <c r="H18" s="5"/>
      <c r="I18" s="5"/>
      <c r="J18" s="6"/>
    </row>
    <row r="19" spans="1:10" x14ac:dyDescent="0.25">
      <c r="A19" s="2">
        <v>0.69799999999999995</v>
      </c>
      <c r="B19" s="12"/>
      <c r="C19" s="105">
        <v>0.38200000000000001</v>
      </c>
      <c r="D19" s="111"/>
      <c r="E19" s="2"/>
      <c r="F19" s="2"/>
      <c r="G19" s="2"/>
      <c r="H19" s="2"/>
      <c r="I19" s="2"/>
      <c r="J19" s="3"/>
    </row>
    <row r="20" spans="1:10" x14ac:dyDescent="0.25">
      <c r="A20" s="8"/>
      <c r="B20" s="8"/>
      <c r="C20" s="8"/>
      <c r="D20" s="8"/>
      <c r="E20" s="107">
        <v>0.23</v>
      </c>
      <c r="F20" s="112"/>
      <c r="G20" s="8"/>
      <c r="H20" s="8"/>
      <c r="I20" s="8"/>
      <c r="J20" s="9"/>
    </row>
    <row r="21" spans="1:10" ht="15.75" thickBot="1" x14ac:dyDescent="0.3">
      <c r="A21" s="5"/>
      <c r="B21" s="5"/>
      <c r="C21" s="5"/>
      <c r="D21" s="5"/>
      <c r="E21" s="73"/>
      <c r="F21" s="73"/>
      <c r="G21" s="5">
        <v>0.61799999999999999</v>
      </c>
      <c r="H21" s="5"/>
      <c r="I21" s="5"/>
      <c r="J21" s="6"/>
    </row>
    <row r="22" spans="1:10" x14ac:dyDescent="0.25">
      <c r="A22" s="2">
        <v>0.68700000000000006</v>
      </c>
      <c r="B22" s="12"/>
      <c r="C22" s="105">
        <v>0.68300000000000005</v>
      </c>
      <c r="D22" s="111"/>
      <c r="E22" s="2"/>
      <c r="F22" s="2"/>
      <c r="G22" s="2"/>
      <c r="H22" s="2"/>
      <c r="I22" s="2"/>
      <c r="J22" s="3"/>
    </row>
    <row r="23" spans="1:10" x14ac:dyDescent="0.25">
      <c r="A23" s="8"/>
      <c r="B23" s="8"/>
      <c r="C23" s="8"/>
      <c r="D23" s="8"/>
      <c r="E23" s="107">
        <v>0.16700000000000001</v>
      </c>
      <c r="F23" s="112"/>
      <c r="G23" s="8"/>
      <c r="H23" s="8"/>
      <c r="I23" s="8"/>
      <c r="J23" s="9"/>
    </row>
    <row r="24" spans="1:10" ht="15.75" thickBot="1" x14ac:dyDescent="0.3">
      <c r="A24" s="5"/>
      <c r="B24" s="5"/>
      <c r="C24" s="5"/>
      <c r="D24" s="5"/>
      <c r="E24" s="73"/>
      <c r="F24" s="73"/>
      <c r="G24" s="5">
        <v>0.27900000000000003</v>
      </c>
      <c r="H24" s="5"/>
      <c r="I24" s="5"/>
      <c r="J24" s="6"/>
    </row>
    <row r="25" spans="1:10" x14ac:dyDescent="0.25">
      <c r="A25" s="2">
        <v>0.189</v>
      </c>
      <c r="B25" s="2">
        <f>A25/2</f>
        <v>9.4500000000000001E-2</v>
      </c>
      <c r="C25" s="105">
        <v>0.4</v>
      </c>
      <c r="D25" s="111"/>
      <c r="E25" s="2"/>
      <c r="F25" s="2"/>
      <c r="G25" s="2"/>
      <c r="H25" s="2"/>
      <c r="I25" s="105"/>
      <c r="J25" s="106"/>
    </row>
    <row r="26" spans="1:10" x14ac:dyDescent="0.25">
      <c r="A26" s="8"/>
      <c r="B26" s="8"/>
      <c r="C26" s="8"/>
      <c r="D26" s="8"/>
      <c r="E26" s="107">
        <v>1</v>
      </c>
      <c r="F26" s="112"/>
      <c r="G26" s="8"/>
      <c r="H26" s="8"/>
      <c r="I26" s="107"/>
      <c r="J26" s="108"/>
    </row>
    <row r="27" spans="1:10" x14ac:dyDescent="0.25">
      <c r="A27" s="5"/>
      <c r="B27" s="5"/>
      <c r="C27" s="5"/>
      <c r="D27" s="5"/>
      <c r="E27" s="73"/>
      <c r="F27" s="73"/>
      <c r="G27" s="5"/>
      <c r="H27" s="5"/>
      <c r="I27" s="66"/>
      <c r="J27" s="67"/>
    </row>
    <row r="28" spans="1:10" ht="15.75" thickBot="1" x14ac:dyDescent="0.3">
      <c r="A28" s="5"/>
      <c r="B28" s="5"/>
      <c r="C28" s="5"/>
      <c r="D28" s="5"/>
      <c r="E28" s="73"/>
      <c r="F28" s="73"/>
      <c r="G28" s="5">
        <v>0.218</v>
      </c>
      <c r="H28" s="5">
        <f>G28/2</f>
        <v>0.109</v>
      </c>
      <c r="I28" s="109">
        <v>0.32500000000000001</v>
      </c>
      <c r="J28" s="110"/>
    </row>
    <row r="29" spans="1:10" x14ac:dyDescent="0.25">
      <c r="A29" s="2">
        <v>0.27</v>
      </c>
      <c r="B29" s="2">
        <f>A29/2</f>
        <v>0.13500000000000001</v>
      </c>
      <c r="C29" s="105">
        <v>0.59399999999999997</v>
      </c>
      <c r="D29" s="111"/>
      <c r="E29" s="2"/>
      <c r="F29" s="2"/>
      <c r="G29" s="2"/>
      <c r="H29" s="2"/>
      <c r="I29" s="105"/>
      <c r="J29" s="106"/>
    </row>
    <row r="30" spans="1:10" x14ac:dyDescent="0.25">
      <c r="A30" s="13"/>
      <c r="B30" s="13"/>
      <c r="C30" s="14"/>
      <c r="D30" s="14"/>
      <c r="E30" s="13"/>
      <c r="F30" s="13"/>
      <c r="G30" s="13"/>
      <c r="H30" s="13"/>
      <c r="I30" s="15"/>
      <c r="J30" s="16"/>
    </row>
    <row r="31" spans="1:10" ht="15.75" thickBot="1" x14ac:dyDescent="0.3">
      <c r="A31" s="5"/>
      <c r="B31" s="5"/>
      <c r="C31" s="73"/>
      <c r="D31" s="73"/>
      <c r="E31" s="5"/>
      <c r="F31" s="5"/>
      <c r="G31" s="5">
        <v>0.14000000000000001</v>
      </c>
      <c r="H31" s="5">
        <f>G31/2</f>
        <v>7.0000000000000007E-2</v>
      </c>
      <c r="I31" s="109">
        <v>0.219</v>
      </c>
      <c r="J31" s="110"/>
    </row>
    <row r="32" spans="1:10" x14ac:dyDescent="0.25">
      <c r="A32" s="2">
        <v>0.10199999999999999</v>
      </c>
      <c r="B32" s="2">
        <f>A32/2</f>
        <v>5.0999999999999997E-2</v>
      </c>
      <c r="C32" s="105">
        <v>0.216</v>
      </c>
      <c r="D32" s="111"/>
      <c r="E32" s="2"/>
      <c r="F32" s="2"/>
      <c r="G32" s="2"/>
      <c r="H32" s="2"/>
      <c r="I32" s="105"/>
      <c r="J32" s="106"/>
    </row>
    <row r="33" spans="1:10" x14ac:dyDescent="0.25">
      <c r="A33" s="13"/>
      <c r="B33" s="13"/>
      <c r="C33" s="14"/>
      <c r="D33" s="14"/>
      <c r="E33" s="13"/>
      <c r="F33" s="13"/>
      <c r="G33" s="13"/>
      <c r="H33" s="13"/>
      <c r="I33" s="15"/>
      <c r="J33" s="16"/>
    </row>
    <row r="34" spans="1:10" ht="15.75" thickBot="1" x14ac:dyDescent="0.3">
      <c r="A34" s="5"/>
      <c r="B34" s="5"/>
      <c r="C34" s="73"/>
      <c r="D34" s="73"/>
      <c r="E34" s="5"/>
      <c r="F34" s="5"/>
      <c r="G34" s="5">
        <v>0.216</v>
      </c>
      <c r="H34" s="5">
        <f>G34/2</f>
        <v>0.108</v>
      </c>
      <c r="I34" s="109">
        <v>0.48299999999999998</v>
      </c>
      <c r="J34" s="110"/>
    </row>
    <row r="35" spans="1:10" ht="15.75" thickBot="1" x14ac:dyDescent="0.3">
      <c r="A35" s="18"/>
      <c r="B35" s="18"/>
      <c r="C35" s="18"/>
      <c r="D35" s="18"/>
      <c r="E35" s="114">
        <v>0.94399999999999995</v>
      </c>
      <c r="F35" s="115"/>
      <c r="G35" s="18"/>
      <c r="H35" s="18"/>
      <c r="I35" s="114"/>
      <c r="J35" s="116"/>
    </row>
    <row r="36" spans="1:10" x14ac:dyDescent="0.25">
      <c r="A36" s="105">
        <v>0.29099999999999998</v>
      </c>
      <c r="B36" s="111"/>
      <c r="C36" s="105">
        <v>0.34799999999999998</v>
      </c>
      <c r="D36" s="111"/>
      <c r="E36" s="2"/>
      <c r="F36" s="2"/>
      <c r="G36" s="2"/>
      <c r="H36" s="2"/>
      <c r="I36" s="105"/>
      <c r="J36" s="106"/>
    </row>
    <row r="37" spans="1:10" x14ac:dyDescent="0.25">
      <c r="A37" s="8"/>
      <c r="B37" s="8"/>
      <c r="C37" s="8"/>
      <c r="D37" s="8"/>
      <c r="E37" s="107">
        <v>0.88100000000000001</v>
      </c>
      <c r="F37" s="112"/>
      <c r="G37" s="8"/>
      <c r="H37" s="8"/>
      <c r="I37" s="107"/>
      <c r="J37" s="108"/>
    </row>
    <row r="38" spans="1:10" x14ac:dyDescent="0.25">
      <c r="A38" s="8"/>
      <c r="B38" s="8"/>
      <c r="C38" s="8"/>
      <c r="D38" s="8"/>
      <c r="E38" s="70"/>
      <c r="F38" s="70"/>
      <c r="G38" s="8">
        <v>0.49399999999999999</v>
      </c>
      <c r="H38" s="8"/>
      <c r="I38" s="107"/>
      <c r="J38" s="108"/>
    </row>
    <row r="39" spans="1:10" ht="15.75" thickBot="1" x14ac:dyDescent="0.3">
      <c r="A39" s="5"/>
      <c r="B39" s="5"/>
      <c r="C39" s="5"/>
      <c r="D39" s="5"/>
      <c r="E39" s="73"/>
      <c r="F39" s="73"/>
      <c r="G39" s="5">
        <v>0.27100000000000002</v>
      </c>
      <c r="H39" s="5"/>
      <c r="I39" s="109">
        <v>0.22700000000000001</v>
      </c>
      <c r="J39" s="110"/>
    </row>
    <row r="40" spans="1:10" x14ac:dyDescent="0.25">
      <c r="A40" s="2">
        <v>0.34899999999999998</v>
      </c>
      <c r="B40" s="12"/>
      <c r="C40" s="105">
        <v>0.20100000000000001</v>
      </c>
      <c r="D40" s="111"/>
      <c r="E40" s="2"/>
      <c r="F40" s="2"/>
      <c r="G40" s="2"/>
      <c r="H40" s="2"/>
      <c r="I40" s="105"/>
      <c r="J40" s="106"/>
    </row>
    <row r="41" spans="1:10" x14ac:dyDescent="0.25">
      <c r="A41" s="8"/>
      <c r="B41" s="8"/>
      <c r="C41" s="8"/>
      <c r="D41" s="8"/>
      <c r="E41" s="107">
        <v>0.45500000000000002</v>
      </c>
      <c r="F41" s="112"/>
      <c r="G41" s="8"/>
      <c r="H41" s="8"/>
      <c r="I41" s="107"/>
      <c r="J41" s="108"/>
    </row>
    <row r="42" spans="1:10" x14ac:dyDescent="0.25">
      <c r="A42" s="8"/>
      <c r="B42" s="8"/>
      <c r="C42" s="8"/>
      <c r="D42" s="8"/>
      <c r="E42" s="70"/>
      <c r="F42" s="70"/>
      <c r="G42" s="8">
        <v>0.85399999999999998</v>
      </c>
      <c r="H42" s="8"/>
      <c r="I42" s="107"/>
      <c r="J42" s="108"/>
    </row>
    <row r="43" spans="1:10" ht="15.75" thickBot="1" x14ac:dyDescent="0.3">
      <c r="A43" s="5"/>
      <c r="B43" s="5"/>
      <c r="C43" s="5"/>
      <c r="D43" s="5"/>
      <c r="E43" s="73"/>
      <c r="F43" s="73"/>
      <c r="G43" s="5">
        <v>0.21</v>
      </c>
      <c r="H43" s="5"/>
      <c r="I43" s="109">
        <v>0.104</v>
      </c>
      <c r="J43" s="110"/>
    </row>
    <row r="44" spans="1:10" x14ac:dyDescent="0.25">
      <c r="A44" s="33"/>
      <c r="B44" s="2"/>
      <c r="C44" s="2"/>
      <c r="D44" s="2"/>
      <c r="E44" s="105">
        <v>0.38100000000000001</v>
      </c>
      <c r="F44" s="111"/>
      <c r="G44" s="2"/>
      <c r="H44" s="2"/>
      <c r="I44" s="105"/>
      <c r="J44" s="106"/>
    </row>
    <row r="45" spans="1:10" x14ac:dyDescent="0.25">
      <c r="A45" s="34">
        <v>0.48499999999999999</v>
      </c>
      <c r="B45" s="21"/>
      <c r="C45" s="107">
        <v>0.26400000000000001</v>
      </c>
      <c r="D45" s="112"/>
      <c r="E45" s="8"/>
      <c r="F45" s="8"/>
      <c r="G45" s="8"/>
      <c r="H45" s="8"/>
      <c r="I45" s="107"/>
      <c r="J45" s="108"/>
    </row>
    <row r="46" spans="1:10" x14ac:dyDescent="0.25">
      <c r="A46" s="34"/>
      <c r="B46" s="21"/>
      <c r="C46" s="70"/>
      <c r="D46" s="70"/>
      <c r="E46" s="8"/>
      <c r="F46" s="8"/>
      <c r="G46" s="8">
        <v>0.72299999999999998</v>
      </c>
      <c r="H46" s="8"/>
      <c r="I46" s="107"/>
      <c r="J46" s="108"/>
    </row>
    <row r="47" spans="1:10" ht="15.75" thickBot="1" x14ac:dyDescent="0.3">
      <c r="A47" s="35"/>
      <c r="B47" s="39"/>
      <c r="C47" s="71"/>
      <c r="D47" s="71"/>
      <c r="E47" s="27"/>
      <c r="F47" s="27"/>
      <c r="G47" s="27">
        <v>0.17299999999999999</v>
      </c>
      <c r="H47" s="27"/>
      <c r="I47" s="109">
        <v>5.1999999999999998E-2</v>
      </c>
      <c r="J47" s="110"/>
    </row>
    <row r="48" spans="1:10" x14ac:dyDescent="0.25">
      <c r="A48" s="37">
        <v>0.18</v>
      </c>
      <c r="B48" s="30"/>
      <c r="C48" s="105">
        <v>8.5000000000000006E-2</v>
      </c>
      <c r="D48" s="111"/>
      <c r="E48" s="25"/>
      <c r="F48" s="25"/>
      <c r="G48" s="25"/>
      <c r="H48" s="25"/>
      <c r="I48" s="105"/>
      <c r="J48" s="106"/>
    </row>
    <row r="49" spans="1:10" x14ac:dyDescent="0.25">
      <c r="A49" s="34"/>
      <c r="B49" s="21"/>
      <c r="C49" s="70"/>
      <c r="D49" s="70"/>
      <c r="E49" s="8"/>
      <c r="F49" s="8"/>
      <c r="G49" s="8">
        <v>1</v>
      </c>
      <c r="H49" s="8"/>
      <c r="I49" s="107"/>
      <c r="J49" s="108"/>
    </row>
    <row r="50" spans="1:10" x14ac:dyDescent="0.25">
      <c r="A50" s="34"/>
      <c r="B50" s="21"/>
      <c r="C50" s="70"/>
      <c r="D50" s="70"/>
      <c r="E50" s="8"/>
      <c r="F50" s="8"/>
      <c r="G50" s="8">
        <v>0.246</v>
      </c>
      <c r="H50" s="8"/>
      <c r="I50" s="107">
        <v>0.13500000000000001</v>
      </c>
      <c r="J50" s="108"/>
    </row>
    <row r="51" spans="1:10" ht="15.75" thickBot="1" x14ac:dyDescent="0.3">
      <c r="A51" s="35"/>
      <c r="B51" s="27"/>
      <c r="C51" s="27"/>
      <c r="D51" s="27"/>
      <c r="E51" s="109">
        <v>0.38100000000000001</v>
      </c>
      <c r="F51" s="113"/>
      <c r="G51" s="27"/>
      <c r="H51" s="27"/>
      <c r="I51" s="109"/>
      <c r="J51" s="110"/>
    </row>
    <row r="52" spans="1:10" x14ac:dyDescent="0.25">
      <c r="A52" s="25">
        <v>0.28399999999999997</v>
      </c>
      <c r="B52" s="30"/>
      <c r="C52" s="105">
        <v>0.24399999999999999</v>
      </c>
      <c r="D52" s="111"/>
      <c r="E52" s="25"/>
      <c r="F52" s="25"/>
      <c r="G52" s="25"/>
      <c r="H52" s="25"/>
      <c r="I52" s="105"/>
      <c r="J52" s="106"/>
    </row>
    <row r="53" spans="1:10" x14ac:dyDescent="0.25">
      <c r="A53" s="8"/>
      <c r="B53" s="8"/>
      <c r="C53" s="8"/>
      <c r="D53" s="8"/>
      <c r="E53" s="107">
        <v>0.57399999999999995</v>
      </c>
      <c r="F53" s="112"/>
      <c r="G53" s="8"/>
      <c r="H53" s="8"/>
      <c r="I53" s="107"/>
      <c r="J53" s="108"/>
    </row>
    <row r="54" spans="1:10" x14ac:dyDescent="0.25">
      <c r="A54" s="8"/>
      <c r="B54" s="8"/>
      <c r="C54" s="8"/>
      <c r="D54" s="8"/>
      <c r="E54" s="70"/>
      <c r="F54" s="70"/>
      <c r="G54" s="8">
        <v>0.56411</v>
      </c>
      <c r="H54" s="8"/>
      <c r="I54" s="107"/>
      <c r="J54" s="108"/>
    </row>
    <row r="55" spans="1:10" ht="15.75" thickBot="1" x14ac:dyDescent="0.3">
      <c r="A55" s="5"/>
      <c r="B55" s="5"/>
      <c r="C55" s="5"/>
      <c r="D55" s="5"/>
      <c r="E55" s="73"/>
      <c r="F55" s="73"/>
      <c r="G55" s="5">
        <v>0.13300000000000001</v>
      </c>
      <c r="H55" s="5"/>
      <c r="I55" s="109">
        <v>0.14799999999999999</v>
      </c>
      <c r="J55" s="110"/>
    </row>
    <row r="56" spans="1:10" x14ac:dyDescent="0.25">
      <c r="A56" s="2"/>
      <c r="B56" s="2"/>
      <c r="C56" s="2"/>
      <c r="D56" s="2"/>
      <c r="E56" s="72"/>
      <c r="F56" s="72"/>
      <c r="G56" s="2">
        <v>0.182</v>
      </c>
      <c r="H56" s="2"/>
      <c r="I56" s="105"/>
      <c r="J56" s="106"/>
    </row>
    <row r="57" spans="1:10" x14ac:dyDescent="0.25">
      <c r="A57" s="8"/>
      <c r="B57" s="8"/>
      <c r="C57" s="8"/>
      <c r="D57" s="8"/>
      <c r="E57" s="70"/>
      <c r="F57" s="70"/>
      <c r="G57" s="8">
        <v>0.52200000000000002</v>
      </c>
      <c r="H57" s="8"/>
      <c r="I57" s="107"/>
      <c r="J57" s="108"/>
    </row>
    <row r="58" spans="1:10" x14ac:dyDescent="0.25">
      <c r="A58" s="8"/>
      <c r="B58" s="8"/>
      <c r="C58" s="8"/>
      <c r="D58" s="8"/>
      <c r="E58" s="70"/>
      <c r="F58" s="70"/>
      <c r="G58" s="8"/>
      <c r="H58" s="8"/>
      <c r="I58" s="64"/>
      <c r="J58" s="65"/>
    </row>
    <row r="59" spans="1:10" x14ac:dyDescent="0.25">
      <c r="A59" s="8"/>
      <c r="B59" s="8"/>
      <c r="C59" s="8"/>
      <c r="D59" s="8"/>
      <c r="E59" s="70"/>
      <c r="F59" s="70"/>
      <c r="G59" s="8">
        <v>0.45100000000000001</v>
      </c>
      <c r="H59" s="8"/>
      <c r="I59" s="107">
        <v>0.60697000000000001</v>
      </c>
      <c r="J59" s="108"/>
    </row>
    <row r="60" spans="1:10" ht="15.75" thickBot="1" x14ac:dyDescent="0.3">
      <c r="A60" s="5"/>
      <c r="B60" s="5"/>
      <c r="C60" s="5"/>
      <c r="D60" s="5"/>
      <c r="E60" s="73"/>
      <c r="F60" s="73"/>
      <c r="G60" s="5">
        <v>0.18</v>
      </c>
      <c r="H60" s="5"/>
      <c r="I60" s="109">
        <v>0.26100000000000001</v>
      </c>
      <c r="J60" s="110"/>
    </row>
    <row r="61" spans="1:10" x14ac:dyDescent="0.25">
      <c r="A61" s="2"/>
      <c r="B61" s="2"/>
      <c r="C61" s="2"/>
      <c r="D61" s="2"/>
      <c r="E61" s="105">
        <v>0.40600000000000003</v>
      </c>
      <c r="F61" s="111"/>
      <c r="G61" s="2"/>
      <c r="H61" s="2"/>
      <c r="I61" s="105"/>
      <c r="J61" s="106"/>
    </row>
    <row r="62" spans="1:10" x14ac:dyDescent="0.25">
      <c r="A62" s="8"/>
      <c r="B62" s="8"/>
      <c r="C62" s="8"/>
      <c r="D62" s="8"/>
      <c r="E62" s="8"/>
      <c r="F62" s="8"/>
      <c r="G62" s="8">
        <v>0.27900000000000003</v>
      </c>
      <c r="H62" s="8"/>
      <c r="I62" s="107">
        <v>0.80176999999999998</v>
      </c>
      <c r="J62" s="108"/>
    </row>
    <row r="63" spans="1:10" x14ac:dyDescent="0.25">
      <c r="A63" s="8"/>
      <c r="B63" s="8"/>
      <c r="C63" s="8"/>
      <c r="D63" s="8"/>
      <c r="E63" s="8"/>
      <c r="F63" s="8"/>
      <c r="G63" s="8">
        <v>0.215</v>
      </c>
      <c r="H63" s="8"/>
      <c r="I63" s="107">
        <v>0.54300000000000004</v>
      </c>
      <c r="J63" s="108"/>
    </row>
    <row r="64" spans="1:10" x14ac:dyDescent="0.25">
      <c r="A64" s="8"/>
      <c r="B64" s="8"/>
      <c r="C64" s="8"/>
      <c r="D64" s="8"/>
      <c r="E64" s="8"/>
      <c r="F64" s="8"/>
      <c r="G64" s="8">
        <v>0.124</v>
      </c>
      <c r="H64" s="8"/>
      <c r="I64" s="107"/>
      <c r="J64" s="108"/>
    </row>
    <row r="65" spans="1:10" ht="15.75" thickBot="1" x14ac:dyDescent="0.3">
      <c r="A65" s="5"/>
      <c r="B65" s="5"/>
      <c r="C65" s="5"/>
      <c r="D65" s="5"/>
      <c r="E65" s="5"/>
      <c r="F65" s="5"/>
      <c r="G65" s="5">
        <v>0.109</v>
      </c>
      <c r="H65" s="5"/>
      <c r="I65" s="109">
        <v>0.58299999999999996</v>
      </c>
      <c r="J65" s="110"/>
    </row>
    <row r="66" spans="1:10" x14ac:dyDescent="0.25">
      <c r="A66" s="33"/>
      <c r="B66" s="2"/>
      <c r="C66" s="2"/>
      <c r="D66" s="2"/>
      <c r="E66" s="2"/>
      <c r="F66" s="2"/>
      <c r="G66" s="2">
        <v>0.224</v>
      </c>
      <c r="H66" s="2"/>
      <c r="I66" s="105">
        <v>1</v>
      </c>
      <c r="J66" s="106"/>
    </row>
    <row r="67" spans="1:10" x14ac:dyDescent="0.25">
      <c r="A67" s="37"/>
      <c r="B67" s="25"/>
      <c r="C67" s="25"/>
      <c r="D67" s="25"/>
      <c r="E67" s="25"/>
      <c r="F67" s="25"/>
      <c r="G67" s="25"/>
      <c r="H67" s="25"/>
      <c r="I67" s="68"/>
      <c r="J67" s="69"/>
    </row>
    <row r="68" spans="1:10" x14ac:dyDescent="0.25">
      <c r="A68" s="34"/>
      <c r="B68" s="8"/>
      <c r="C68" s="8"/>
      <c r="D68" s="8"/>
      <c r="E68" s="8"/>
      <c r="F68" s="8"/>
      <c r="G68" s="8">
        <v>0.19</v>
      </c>
      <c r="H68" s="8"/>
      <c r="I68" s="107"/>
      <c r="J68" s="108"/>
    </row>
    <row r="69" spans="1:10" ht="15.75" thickBot="1" x14ac:dyDescent="0.3">
      <c r="A69" s="35"/>
      <c r="B69" s="27"/>
      <c r="C69" s="27"/>
      <c r="D69" s="27"/>
      <c r="E69" s="27"/>
      <c r="F69" s="27"/>
      <c r="G69" s="27">
        <v>0.122</v>
      </c>
      <c r="H69" s="27"/>
      <c r="I69" s="109">
        <v>0.36899999999999999</v>
      </c>
      <c r="J69" s="110"/>
    </row>
  </sheetData>
  <mergeCells count="88">
    <mergeCell ref="A1:B1"/>
    <mergeCell ref="C1:D1"/>
    <mergeCell ref="E1:F1"/>
    <mergeCell ref="G1:H1"/>
    <mergeCell ref="I1:J1"/>
    <mergeCell ref="E3:F3"/>
    <mergeCell ref="I3:J3"/>
    <mergeCell ref="A2:B2"/>
    <mergeCell ref="C2:D2"/>
    <mergeCell ref="E2:F2"/>
    <mergeCell ref="G2:H2"/>
    <mergeCell ref="I2:J2"/>
    <mergeCell ref="A4:B4"/>
    <mergeCell ref="C4:D4"/>
    <mergeCell ref="A5:B5"/>
    <mergeCell ref="C5:D5"/>
    <mergeCell ref="C3:D3"/>
    <mergeCell ref="E9:F9"/>
    <mergeCell ref="C10:D10"/>
    <mergeCell ref="E11:F11"/>
    <mergeCell ref="C6:D6"/>
    <mergeCell ref="E7:F7"/>
    <mergeCell ref="C8:D8"/>
    <mergeCell ref="E17:F17"/>
    <mergeCell ref="C19:D19"/>
    <mergeCell ref="E20:F20"/>
    <mergeCell ref="C13:D13"/>
    <mergeCell ref="E14:F14"/>
    <mergeCell ref="C16:D16"/>
    <mergeCell ref="E26:F26"/>
    <mergeCell ref="I26:J26"/>
    <mergeCell ref="C22:D22"/>
    <mergeCell ref="E23:F23"/>
    <mergeCell ref="C25:D25"/>
    <mergeCell ref="I25:J25"/>
    <mergeCell ref="I31:J31"/>
    <mergeCell ref="C32:D32"/>
    <mergeCell ref="I32:J32"/>
    <mergeCell ref="I28:J28"/>
    <mergeCell ref="C29:D29"/>
    <mergeCell ref="I29:J29"/>
    <mergeCell ref="A36:B36"/>
    <mergeCell ref="C36:D36"/>
    <mergeCell ref="I36:J36"/>
    <mergeCell ref="I34:J34"/>
    <mergeCell ref="E35:F35"/>
    <mergeCell ref="I35:J35"/>
    <mergeCell ref="I39:J39"/>
    <mergeCell ref="C40:D40"/>
    <mergeCell ref="I40:J40"/>
    <mergeCell ref="E37:F37"/>
    <mergeCell ref="I37:J37"/>
    <mergeCell ref="I38:J38"/>
    <mergeCell ref="I43:J43"/>
    <mergeCell ref="E44:F44"/>
    <mergeCell ref="I44:J44"/>
    <mergeCell ref="E41:F41"/>
    <mergeCell ref="I41:J41"/>
    <mergeCell ref="I42:J42"/>
    <mergeCell ref="C48:D48"/>
    <mergeCell ref="I48:J48"/>
    <mergeCell ref="C45:D45"/>
    <mergeCell ref="I45:J45"/>
    <mergeCell ref="I46:J46"/>
    <mergeCell ref="I49:J49"/>
    <mergeCell ref="I50:J50"/>
    <mergeCell ref="E51:F51"/>
    <mergeCell ref="I51:J51"/>
    <mergeCell ref="I47:J47"/>
    <mergeCell ref="I54:J54"/>
    <mergeCell ref="I55:J55"/>
    <mergeCell ref="I56:J56"/>
    <mergeCell ref="C52:D52"/>
    <mergeCell ref="I52:J52"/>
    <mergeCell ref="E53:F53"/>
    <mergeCell ref="I53:J53"/>
    <mergeCell ref="E61:F61"/>
    <mergeCell ref="I61:J61"/>
    <mergeCell ref="I62:J62"/>
    <mergeCell ref="I57:J57"/>
    <mergeCell ref="I59:J59"/>
    <mergeCell ref="I60:J60"/>
    <mergeCell ref="I66:J66"/>
    <mergeCell ref="I68:J68"/>
    <mergeCell ref="I69:J69"/>
    <mergeCell ref="I63:J63"/>
    <mergeCell ref="I64:J64"/>
    <mergeCell ref="I65:J65"/>
  </mergeCells>
  <conditionalFormatting sqref="A45:J69 A4:J43">
    <cfRule type="cellIs" dxfId="154" priority="13" operator="between">
      <formula>0.15</formula>
      <formula>0.3</formula>
    </cfRule>
    <cfRule type="cellIs" dxfId="153" priority="14" operator="between">
      <formula>0.3</formula>
      <formula>0.6</formula>
    </cfRule>
    <cfRule type="cellIs" dxfId="152" priority="15" operator="greaterThan">
      <formula>0.6</formula>
    </cfRule>
    <cfRule type="cellIs" dxfId="151" priority="16" operator="lessThan">
      <formula>0.15</formula>
    </cfRule>
  </conditionalFormatting>
  <conditionalFormatting sqref="A44:J44">
    <cfRule type="cellIs" dxfId="150" priority="9" operator="between">
      <formula>0.15</formula>
      <formula>0.3</formula>
    </cfRule>
    <cfRule type="cellIs" dxfId="149" priority="10" operator="between">
      <formula>0.3</formula>
      <formula>0.6</formula>
    </cfRule>
    <cfRule type="cellIs" dxfId="148" priority="11" operator="greaterThan">
      <formula>0.6</formula>
    </cfRule>
    <cfRule type="cellIs" dxfId="147" priority="12" operator="lessThan">
      <formula>0.15</formula>
    </cfRule>
  </conditionalFormatting>
  <pageMargins left="0.7" right="0.7" top="0.75" bottom="0.75" header="0.3" footer="0.3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BI30"/>
  <sheetViews>
    <sheetView zoomScale="80" zoomScaleNormal="80" workbookViewId="0">
      <pane xSplit="11" ySplit="2" topLeftCell="L9" activePane="bottomRight" state="frozen"/>
      <selection pane="topRight" activeCell="L1" sqref="L1"/>
      <selection pane="bottomLeft" activeCell="A3" sqref="A3"/>
      <selection pane="bottomRight" activeCell="C21" sqref="C21:L21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6.85546875" bestFit="1" customWidth="1"/>
    <col min="45" max="45" width="6.42578125" bestFit="1" customWidth="1"/>
    <col min="46" max="46" width="7.42578125" bestFit="1" customWidth="1"/>
    <col min="47" max="47" width="7.85546875" bestFit="1" customWidth="1"/>
    <col min="48" max="48" width="5.5703125" bestFit="1" customWidth="1"/>
    <col min="49" max="49" width="7.42578125" bestFit="1" customWidth="1"/>
    <col min="50" max="50" width="7.85546875" bestFit="1" customWidth="1"/>
    <col min="51" max="51" width="5.140625" bestFit="1" customWidth="1"/>
    <col min="52" max="52" width="6.42578125" bestFit="1" customWidth="1"/>
    <col min="53" max="53" width="6.85546875" bestFit="1" customWidth="1"/>
    <col min="54" max="54" width="5.140625" bestFit="1" customWidth="1"/>
    <col min="55" max="55" width="6.42578125" bestFit="1" customWidth="1"/>
    <col min="56" max="56" width="6.85546875" bestFit="1" customWidth="1"/>
    <col min="57" max="58" width="6.42578125" bestFit="1" customWidth="1"/>
    <col min="59" max="59" width="6.85546875" bestFit="1" customWidth="1"/>
    <col min="60" max="60" width="6.42578125" bestFit="1" customWidth="1"/>
    <col min="61" max="61" width="5.140625" bestFit="1" customWidth="1"/>
    <col min="62" max="62" width="6.42578125" bestFit="1" customWidth="1"/>
  </cols>
  <sheetData>
    <row r="1" spans="1:61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102</v>
      </c>
      <c r="AW1" t="s">
        <v>101</v>
      </c>
      <c r="BB1" t="s">
        <v>104</v>
      </c>
      <c r="BF1" t="s">
        <v>118</v>
      </c>
    </row>
    <row r="2" spans="1:61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7" t="s">
        <v>90</v>
      </c>
      <c r="AS2" s="57" t="s">
        <v>114</v>
      </c>
      <c r="AT2" s="57" t="s">
        <v>92</v>
      </c>
      <c r="AU2" s="57" t="s">
        <v>95</v>
      </c>
      <c r="AV2" s="57" t="s">
        <v>94</v>
      </c>
      <c r="AW2" s="56" t="s">
        <v>90</v>
      </c>
      <c r="AX2" s="56" t="s">
        <v>114</v>
      </c>
      <c r="AY2" s="56" t="s">
        <v>92</v>
      </c>
      <c r="AZ2" s="56" t="s">
        <v>95</v>
      </c>
      <c r="BA2" s="56" t="s">
        <v>94</v>
      </c>
      <c r="BB2" s="57" t="s">
        <v>92</v>
      </c>
      <c r="BC2" s="57" t="s">
        <v>95</v>
      </c>
      <c r="BD2" s="57" t="s">
        <v>94</v>
      </c>
      <c r="BE2" s="57" t="s">
        <v>95</v>
      </c>
      <c r="BF2" s="56" t="s">
        <v>95</v>
      </c>
      <c r="BG2" s="56" t="s">
        <v>94</v>
      </c>
      <c r="BH2" s="56" t="s">
        <v>95</v>
      </c>
      <c r="BI2" s="56" t="s">
        <v>92</v>
      </c>
    </row>
    <row r="3" spans="1:61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IF(TODAY()-B3&gt;335,((F3+1+(LOG(D3)*4/3))*0.291),((F3+(((TODAY()-B3)^0.5)/(336^0.5))+(LOG(D3)*4/3))*0.291))</f>
        <v>3.7939226851488534</v>
      </c>
      <c r="AS3" s="58">
        <f ca="1">IF(TODAY()-B3&gt;335,((F3+1+(LOG(D3)*4/3))*0.348),((F3+(((TODAY()-B3)^0.5)/(336^0.5))+(LOG(D3)*4/3))*0.348))</f>
        <v>4.53706218017801</v>
      </c>
      <c r="AT3" s="58">
        <f ca="1">IF(TODAY()-B3&gt;335,((G3+1+(LOG(D3)*4/3))*0.881),((G3+(((TODAY()-B3)^0.5)/(336^0.5))+(LOG(D3)*4/3))*0.881))</f>
        <v>3.5570683354506536</v>
      </c>
      <c r="AU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AV3" s="58">
        <f ca="1">IF(TODAY()-B3&gt;335,((I3+1+(LOG(D3)*4/3))*0.241),((I3+(((TODAY()-B3)^0.5)/(336^0.5))+(LOG(D3)*4/3))*0.241))</f>
        <v>1.2140459351232775</v>
      </c>
      <c r="AW3" s="58">
        <f ca="1">IF(TODAY()-B3&gt;335,((F3+1+(LOG(D3)*4/3))*0.18),((F3+(((TODAY()-B3)^0.5)/(336^0.5))+(LOG(D3)*4/3))*0.18))</f>
        <v>2.3467563000920744</v>
      </c>
      <c r="AX3" s="58">
        <f ca="1">IF(TODAY()-B3&gt;335,((F3+1+(LOG(D3)*4/3))*0.068),((F3+(((TODAY()-B3)^0.5)/(336^0.5))+(LOG(D3)*4/3))*0.068))</f>
        <v>0.88655238003478376</v>
      </c>
      <c r="AY3" s="58">
        <f ca="1">IF(TODAY()-B3&gt;335,((G3+1+(LOG(D3)*4/3))*0.305),((G3+(((TODAY()-B3)^0.5)/(336^0.5))+(LOG(D3)*4/3))*0.305))</f>
        <v>1.2314481751560151</v>
      </c>
      <c r="AZ3" s="58">
        <f ca="1">IF(TODAY()-B3&gt;335,((H3+1+(LOG(D3)*4/3))*1)+((I3+1+(LOG(D3)*4/3))*0.286),((H3+(((TODAY()-B3)^0.5)/(336^0.5))+(LOG(D3)*4/3))*1)+((I3+(((TODAY()-B3)^0.5)/(336^0.5))+(LOG(D3)*4/3))*0.286))</f>
        <v>6.4782700106578215</v>
      </c>
      <c r="BA3" s="58">
        <f ca="1">IF(TODAY()-B3&gt;335,((I3+1+(LOG(D3)*4/3))*0.135),((I3+(((TODAY()-B3)^0.5)/(336^0.5))+(LOG(D3)*4/3))*0.135))</f>
        <v>0.68006722506905593</v>
      </c>
      <c r="BB3" s="58">
        <f ca="1">IF(TODAY()-B3&gt;335,((G3+1+(LOG(D3)*4/3))*0.406),((G3+(((TODAY()-B3)^0.5)/(336^0.5))+(LOG(D3)*4/3))*0.406))</f>
        <v>1.6392392102076794</v>
      </c>
      <c r="BC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D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E3" s="58">
        <f ca="1">BC3</f>
        <v>2.4975557352665048</v>
      </c>
      <c r="BF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G3" s="58">
        <f ca="1">IF(TODAY()-B3&gt;335,((J3+1+(LOG(D3)*4/3))*1)+((I3+1+(LOG(D3)*4/3))*0.369),((J3+(((TODAY()-B3)^0.5)/(336^0.5))+(LOG(D3)*4/3))*1)+((I3+(((TODAY()-B3)^0.5)/(336^0.5))+(LOG(D3)*4/3))*0.369))</f>
        <v>5.8963854157002782</v>
      </c>
      <c r="BH3" s="58">
        <f ca="1">BF3</f>
        <v>2.8783843053186806</v>
      </c>
      <c r="BI3" s="58">
        <f ca="1">IF(TODAY()-B3&gt;335,((G3+1+(LOG(D3)*4/3))*0.25),((G3+(((TODAY()-B3)^0.5)/(336^0.5))+(LOG(D3)*4/3))*0.25))</f>
        <v>1.0093837501278813</v>
      </c>
    </row>
    <row r="4" spans="1:61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IF(TODAY()-B4&gt;335,((F4+1+(LOG(D4)*4/3))*0.291),((F4+(((TODAY()-B4)^0.5)/(336^0.5))+(LOG(D4)*4/3))*0.291))</f>
        <v>4.6669226851488537</v>
      </c>
      <c r="AS4" s="58">
        <f t="shared" ref="AS4:AS13" ca="1" si="30">IF(TODAY()-B4&gt;335,((F4+1+(LOG(D4)*4/3))*0.348),((F4+(((TODAY()-B4)^0.5)/(336^0.5))+(LOG(D4)*4/3))*0.348))</f>
        <v>5.5810621801780105</v>
      </c>
      <c r="AT4" s="58">
        <f t="shared" ref="AT4:AT13" ca="1" si="31">IF(TODAY()-B4&gt;335,((G4+1+(LOG(D4)*4/3))*0.881),((G4+(((TODAY()-B4)^0.5)/(336^0.5))+(LOG(D4)*4/3))*0.881))</f>
        <v>3.5570683354506536</v>
      </c>
      <c r="AU4" s="58">
        <f t="shared" ref="AU4:AU13" ca="1" si="32">IF(TODAY()-B4&gt;335,((H4+1+(LOG(D4)*4/3))*0.574)+((I4+1+(LOG(D4)*4/3))*0.315),((H4+(((TODAY()-B4)^0.5)/(336^0.5))+(LOG(D4)*4/3))*0.574)+((I4+(((TODAY()-B4)^0.5)/(336^0.5))+(LOG(D4)*4/3))*0.315))</f>
        <v>12.479368615454746</v>
      </c>
      <c r="AV4" s="58">
        <f t="shared" ref="AV4:AV13" ca="1" si="33">IF(TODAY()-B4&gt;335,((I4+1+(LOG(D4)*4/3))*0.241),((I4+(((TODAY()-B4)^0.5)/(336^0.5))+(LOG(D4)*4/3))*0.241))</f>
        <v>3.3830459351232776</v>
      </c>
      <c r="AW4" s="58">
        <f t="shared" ref="AW4:AW13" ca="1" si="34">IF(TODAY()-B4&gt;335,((F4+1+(LOG(D4)*4/3))*0.18),((F4+(((TODAY()-B4)^0.5)/(336^0.5))+(LOG(D4)*4/3))*0.18))</f>
        <v>2.8867563000920744</v>
      </c>
      <c r="AX4" s="58">
        <f t="shared" ref="AX4:AX13" ca="1" si="35">IF(TODAY()-B4&gt;335,((F4+1+(LOG(D4)*4/3))*0.068),((F4+(((TODAY()-B4)^0.5)/(336^0.5))+(LOG(D4)*4/3))*0.068))</f>
        <v>1.0905523800347838</v>
      </c>
      <c r="AY4" s="58">
        <f t="shared" ref="AY4:AY13" ca="1" si="36">IF(TODAY()-B4&gt;335,((G4+1+(LOG(D4)*4/3))*0.305),((G4+(((TODAY()-B4)^0.5)/(336^0.5))+(LOG(D4)*4/3))*0.305))</f>
        <v>1.2314481751560151</v>
      </c>
      <c r="AZ4" s="58">
        <f t="shared" ref="AZ4:AZ13" ca="1" si="37">IF(TODAY()-B4&gt;335,((H4+1+(LOG(D4)*4/3))*1)+((I4+1+(LOG(D4)*4/3))*0.286),((H4+(((TODAY()-B4)^0.5)/(336^0.5))+(LOG(D4)*4/3))*1)+((I4+(((TODAY()-B4)^0.5)/(336^0.5))+(LOG(D4)*4/3))*0.286))</f>
        <v>18.052270010657821</v>
      </c>
      <c r="BA4" s="58">
        <f t="shared" ref="BA4:BA13" ca="1" si="38">IF(TODAY()-B4&gt;335,((I4+1+(LOG(D4)*4/3))*0.135),((I4+(((TODAY()-B4)^0.5)/(336^0.5))+(LOG(D4)*4/3))*0.135))</f>
        <v>1.8950672250690561</v>
      </c>
      <c r="BB4" s="58">
        <f t="shared" ref="BB4:BB13" ca="1" si="39">IF(TODAY()-B4&gt;335,((G4+1+(LOG(D4)*4/3))*0.406),((G4+(((TODAY()-B4)^0.5)/(336^0.5))+(LOG(D4)*4/3))*0.406))</f>
        <v>1.6392392102076794</v>
      </c>
      <c r="BC4" s="58">
        <f t="shared" ref="BC4:BC13" ca="1" si="40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D4" s="58">
        <f t="shared" ref="BD4:BD13" ca="1" si="41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E4" s="58">
        <f t="shared" ref="BE4:BE13" ca="1" si="42">BC4</f>
        <v>6.043555735266505</v>
      </c>
      <c r="BF4" s="58">
        <f t="shared" ref="BF4:BF13" ca="1" si="43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G4" s="58">
        <f t="shared" ref="BG4:BG13" ca="1" si="44">IF(TODAY()-B4&gt;335,((J4+1+(LOG(D4)*4/3))*1)+((I4+1+(LOG(D4)*4/3))*0.369),((J4+(((TODAY()-B4)^0.5)/(336^0.5))+(LOG(D4)*4/3))*1)+((I4+(((TODAY()-B4)^0.5)/(336^0.5))+(LOG(D4)*4/3))*0.369))</f>
        <v>9.2173854157002779</v>
      </c>
      <c r="BH4" s="58">
        <f t="shared" ref="BH4:BH13" ca="1" si="45">BF4</f>
        <v>6.1453843053186805</v>
      </c>
      <c r="BI4" s="58">
        <f t="shared" ref="BI4:BI13" ca="1" si="46">IF(TODAY()-B4&gt;335,((G4+1+(LOG(D4)*4/3))*0.25),((G4+(((TODAY()-B4)^0.5)/(336^0.5))+(LOG(D4)*4/3))*0.25))</f>
        <v>1.0093837501278813</v>
      </c>
    </row>
    <row r="5" spans="1:61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47">((2*(I5+1))+(F5+1))/8</f>
        <v>5.125</v>
      </c>
      <c r="M5" s="45">
        <f t="shared" ref="M5:M13" si="48">(0.5*J5+ 0.3*K5)/10</f>
        <v>0.4</v>
      </c>
      <c r="N5" s="45">
        <f t="shared" ref="N5:N13" si="49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4.6669226851488537</v>
      </c>
      <c r="AS5" s="58">
        <f t="shared" ca="1" si="30"/>
        <v>5.5810621801780105</v>
      </c>
      <c r="AT5" s="58">
        <f t="shared" ca="1" si="31"/>
        <v>12.367068335450654</v>
      </c>
      <c r="AU5" s="58">
        <f t="shared" ca="1" si="32"/>
        <v>6.7393686154547456</v>
      </c>
      <c r="AV5" s="58">
        <f t="shared" ca="1" si="33"/>
        <v>3.3830459351232776</v>
      </c>
      <c r="AW5" s="58">
        <f t="shared" ca="1" si="34"/>
        <v>2.8867563000920744</v>
      </c>
      <c r="AX5" s="58">
        <f t="shared" ca="1" si="35"/>
        <v>1.0905523800347838</v>
      </c>
      <c r="AY5" s="58">
        <f t="shared" ca="1" si="36"/>
        <v>4.2814481751560152</v>
      </c>
      <c r="AZ5" s="58">
        <f t="shared" ca="1" si="37"/>
        <v>8.0522700106578213</v>
      </c>
      <c r="BA5" s="58">
        <f t="shared" ca="1" si="38"/>
        <v>1.8950672250690561</v>
      </c>
      <c r="BB5" s="58">
        <f t="shared" ca="1" si="39"/>
        <v>5.6992392102076792</v>
      </c>
      <c r="BC5" s="58">
        <f t="shared" ca="1" si="40"/>
        <v>4.6035557352665037</v>
      </c>
      <c r="BD5" s="58">
        <f t="shared" ca="1" si="41"/>
        <v>9.976264410575979</v>
      </c>
      <c r="BE5" s="58">
        <f t="shared" ca="1" si="42"/>
        <v>4.6035557352665037</v>
      </c>
      <c r="BF5" s="58">
        <f t="shared" ca="1" si="43"/>
        <v>3.9353843053186801</v>
      </c>
      <c r="BG5" s="58">
        <f t="shared" ca="1" si="44"/>
        <v>9.2173854157002779</v>
      </c>
      <c r="BH5" s="58">
        <f t="shared" ca="1" si="45"/>
        <v>3.9353843053186801</v>
      </c>
      <c r="BI5" s="58">
        <f t="shared" ca="1" si="46"/>
        <v>3.5093837501278813</v>
      </c>
    </row>
    <row r="6" spans="1:61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47"/>
        <v>5.125</v>
      </c>
      <c r="M6" s="45">
        <f t="shared" si="48"/>
        <v>0.4</v>
      </c>
      <c r="N6" s="45">
        <f t="shared" si="49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4.6669226851488537</v>
      </c>
      <c r="AS6" s="58">
        <f t="shared" ca="1" si="30"/>
        <v>5.5810621801780105</v>
      </c>
      <c r="AT6" s="58">
        <f t="shared" ca="1" si="31"/>
        <v>3.5570683354506536</v>
      </c>
      <c r="AU6" s="58">
        <f t="shared" ca="1" si="32"/>
        <v>12.479368615454746</v>
      </c>
      <c r="AV6" s="58">
        <f t="shared" ca="1" si="33"/>
        <v>3.3830459351232776</v>
      </c>
      <c r="AW6" s="58">
        <f t="shared" ca="1" si="34"/>
        <v>2.8867563000920744</v>
      </c>
      <c r="AX6" s="58">
        <f t="shared" ca="1" si="35"/>
        <v>1.0905523800347838</v>
      </c>
      <c r="AY6" s="58">
        <f t="shared" ca="1" si="36"/>
        <v>1.2314481751560151</v>
      </c>
      <c r="AZ6" s="58">
        <f t="shared" ca="1" si="37"/>
        <v>18.052270010657821</v>
      </c>
      <c r="BA6" s="58">
        <f t="shared" ca="1" si="38"/>
        <v>1.8950672250690561</v>
      </c>
      <c r="BB6" s="58">
        <f t="shared" ca="1" si="39"/>
        <v>1.6392392102076794</v>
      </c>
      <c r="BC6" s="58">
        <f t="shared" ca="1" si="40"/>
        <v>6.043555735266505</v>
      </c>
      <c r="BD6" s="58">
        <f t="shared" ca="1" si="41"/>
        <v>9.976264410575979</v>
      </c>
      <c r="BE6" s="58">
        <f t="shared" ca="1" si="42"/>
        <v>6.043555735266505</v>
      </c>
      <c r="BF6" s="58">
        <f t="shared" ca="1" si="43"/>
        <v>6.1453843053186805</v>
      </c>
      <c r="BG6" s="58">
        <f t="shared" ca="1" si="44"/>
        <v>9.2173854157002779</v>
      </c>
      <c r="BH6" s="58">
        <f t="shared" ca="1" si="45"/>
        <v>6.1453843053186805</v>
      </c>
      <c r="BI6" s="58">
        <f t="shared" ca="1" si="46"/>
        <v>1.0093837501278813</v>
      </c>
    </row>
    <row r="7" spans="1:61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47"/>
        <v>2.375</v>
      </c>
      <c r="M7" s="45">
        <f t="shared" si="48"/>
        <v>0.65</v>
      </c>
      <c r="N7" s="45">
        <f t="shared" si="49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1.1749226851488537</v>
      </c>
      <c r="AS7" s="58">
        <f t="shared" ca="1" si="30"/>
        <v>1.4050621801780105</v>
      </c>
      <c r="AT7" s="58">
        <f t="shared" ca="1" si="31"/>
        <v>14.129068335450654</v>
      </c>
      <c r="AU7" s="58">
        <f t="shared" ca="1" si="32"/>
        <v>12.626368615454744</v>
      </c>
      <c r="AV7" s="58">
        <f t="shared" ca="1" si="33"/>
        <v>2.1780459351232775</v>
      </c>
      <c r="AW7" s="58">
        <f t="shared" ca="1" si="34"/>
        <v>0.72675630009207448</v>
      </c>
      <c r="AX7" s="58">
        <f t="shared" ca="1" si="35"/>
        <v>0.27455238003478372</v>
      </c>
      <c r="AY7" s="58">
        <f t="shared" ca="1" si="36"/>
        <v>4.8914481751560155</v>
      </c>
      <c r="AZ7" s="58">
        <f t="shared" ca="1" si="37"/>
        <v>19.622270010657822</v>
      </c>
      <c r="BA7" s="58">
        <f t="shared" ca="1" si="38"/>
        <v>1.2200672250690561</v>
      </c>
      <c r="BB7" s="58">
        <f t="shared" ca="1" si="39"/>
        <v>6.5112392102076795</v>
      </c>
      <c r="BC7" s="58">
        <f t="shared" ca="1" si="40"/>
        <v>5.8605557352665052</v>
      </c>
      <c r="BD7" s="58">
        <f t="shared" ca="1" si="41"/>
        <v>10.176264410575978</v>
      </c>
      <c r="BE7" s="58">
        <f t="shared" ca="1" si="42"/>
        <v>5.8605557352665052</v>
      </c>
      <c r="BF7" s="58">
        <f t="shared" ca="1" si="43"/>
        <v>7.3983843053186806</v>
      </c>
      <c r="BG7" s="58">
        <f t="shared" ca="1" si="44"/>
        <v>12.372385415700277</v>
      </c>
      <c r="BH7" s="58">
        <f t="shared" ca="1" si="45"/>
        <v>7.3983843053186806</v>
      </c>
      <c r="BI7" s="58">
        <f t="shared" ca="1" si="46"/>
        <v>4.0093837501278813</v>
      </c>
    </row>
    <row r="8" spans="1:61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12</v>
      </c>
      <c r="I8" s="45">
        <v>7</v>
      </c>
      <c r="J8" s="45">
        <v>2</v>
      </c>
      <c r="K8" s="45">
        <v>10</v>
      </c>
      <c r="L8" s="45">
        <f t="shared" si="47"/>
        <v>2.375</v>
      </c>
      <c r="M8" s="45">
        <f t="shared" si="48"/>
        <v>0.4</v>
      </c>
      <c r="N8" s="45">
        <f t="shared" si="49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3"/>
        <v>3.7145322004706034</v>
      </c>
      <c r="Y8" s="58">
        <f t="shared" ca="1" si="10"/>
        <v>1.6715394902117713</v>
      </c>
      <c r="Z8" s="58">
        <f t="shared" ca="1" si="11"/>
        <v>2.6782683450854248</v>
      </c>
      <c r="AA8" s="58">
        <f t="shared" ca="1" si="12"/>
        <v>8.2540705803007768</v>
      </c>
      <c r="AB8" s="58">
        <f t="shared" ca="1" si="13"/>
        <v>3.0443013903856899</v>
      </c>
      <c r="AC8" s="58">
        <f t="shared" ca="1" si="14"/>
        <v>2.8585747803621597</v>
      </c>
      <c r="AD8" s="58">
        <f t="shared" ca="1" si="15"/>
        <v>2.0772976907866045</v>
      </c>
      <c r="AE8" s="58">
        <f t="shared" ca="1" si="16"/>
        <v>1.3864055984822878</v>
      </c>
      <c r="AF8" s="58">
        <f t="shared" ca="1" si="17"/>
        <v>1.9582044752480896</v>
      </c>
      <c r="AG8" s="58">
        <f t="shared" ca="1" si="18"/>
        <v>1.0659092401350427</v>
      </c>
      <c r="AH8" s="58">
        <f t="shared" ca="1" si="19"/>
        <v>6.1103008351948915</v>
      </c>
      <c r="AI8" s="58">
        <f t="shared" ca="1" si="20"/>
        <v>11.263805590447074</v>
      </c>
      <c r="AJ8" s="58">
        <f t="shared" ca="1" si="21"/>
        <v>0.4699518200265993</v>
      </c>
      <c r="AK8" s="58">
        <f t="shared" ca="1" si="22"/>
        <v>1.0901344501381118</v>
      </c>
      <c r="AL8" s="58">
        <f t="shared" ca="1" si="23"/>
        <v>2.398295790303846</v>
      </c>
      <c r="AM8" s="58">
        <f t="shared" ca="1" si="24"/>
        <v>0.54506722506905592</v>
      </c>
      <c r="AN8" s="58">
        <f t="shared" ca="1" si="25"/>
        <v>15.13943304048288</v>
      </c>
      <c r="AO8" s="58">
        <f t="shared" ca="1" si="26"/>
        <v>1.1748795500664984</v>
      </c>
      <c r="AP8" s="58">
        <f t="shared" ca="1" si="27"/>
        <v>1.7829977551498768</v>
      </c>
      <c r="AQ8" s="58">
        <f t="shared" ca="1" si="28"/>
        <v>0.58743977503324918</v>
      </c>
      <c r="AR8" s="58">
        <f t="shared" ca="1" si="29"/>
        <v>1.1749226851488537</v>
      </c>
      <c r="AS8" s="58">
        <f t="shared" ca="1" si="30"/>
        <v>1.4050621801780105</v>
      </c>
      <c r="AT8" s="58">
        <f t="shared" ca="1" si="31"/>
        <v>14.129068335450654</v>
      </c>
      <c r="AU8" s="58">
        <f t="shared" ca="1" si="32"/>
        <v>10.904368615454747</v>
      </c>
      <c r="AV8" s="58">
        <f t="shared" ca="1" si="33"/>
        <v>2.1780459351232775</v>
      </c>
      <c r="AW8" s="58">
        <f t="shared" ca="1" si="34"/>
        <v>0.72675630009207448</v>
      </c>
      <c r="AX8" s="58">
        <f t="shared" ca="1" si="35"/>
        <v>0.27455238003478372</v>
      </c>
      <c r="AY8" s="58">
        <f t="shared" ca="1" si="36"/>
        <v>4.8914481751560155</v>
      </c>
      <c r="AZ8" s="58">
        <f t="shared" ca="1" si="37"/>
        <v>16.622270010657822</v>
      </c>
      <c r="BA8" s="58">
        <f t="shared" ca="1" si="38"/>
        <v>1.2200672250690561</v>
      </c>
      <c r="BB8" s="58">
        <f t="shared" ca="1" si="39"/>
        <v>6.5112392102076795</v>
      </c>
      <c r="BC8" s="58">
        <f t="shared" ca="1" si="40"/>
        <v>4.793555735266505</v>
      </c>
      <c r="BD8" s="58">
        <f t="shared" ca="1" si="41"/>
        <v>7.2612644105759774</v>
      </c>
      <c r="BE8" s="58">
        <f t="shared" ca="1" si="42"/>
        <v>4.793555735266505</v>
      </c>
      <c r="BF8" s="58">
        <f t="shared" ca="1" si="43"/>
        <v>5.4353843053186806</v>
      </c>
      <c r="BG8" s="58">
        <f t="shared" ca="1" si="44"/>
        <v>7.3723854157002773</v>
      </c>
      <c r="BH8" s="58">
        <f t="shared" ca="1" si="45"/>
        <v>5.4353843053186806</v>
      </c>
      <c r="BI8" s="58">
        <f t="shared" ca="1" si="46"/>
        <v>4.0093837501278813</v>
      </c>
    </row>
    <row r="9" spans="1:61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47"/>
        <v>5.125</v>
      </c>
      <c r="M9" s="45">
        <f t="shared" si="48"/>
        <v>0.4</v>
      </c>
      <c r="N9" s="45">
        <f t="shared" si="49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4.6669226851488537</v>
      </c>
      <c r="AS9" s="58">
        <f t="shared" ca="1" si="30"/>
        <v>5.5810621801780105</v>
      </c>
      <c r="AT9" s="58">
        <f t="shared" ca="1" si="31"/>
        <v>12.367068335450654</v>
      </c>
      <c r="AU9" s="58">
        <f t="shared" ca="1" si="32"/>
        <v>6.7393686154547456</v>
      </c>
      <c r="AV9" s="58">
        <f t="shared" ca="1" si="33"/>
        <v>3.3830459351232776</v>
      </c>
      <c r="AW9" s="58">
        <f t="shared" ca="1" si="34"/>
        <v>2.8867563000920744</v>
      </c>
      <c r="AX9" s="58">
        <f t="shared" ca="1" si="35"/>
        <v>1.0905523800347838</v>
      </c>
      <c r="AY9" s="58">
        <f t="shared" ca="1" si="36"/>
        <v>4.2814481751560152</v>
      </c>
      <c r="AZ9" s="58">
        <f t="shared" ca="1" si="37"/>
        <v>8.0522700106578213</v>
      </c>
      <c r="BA9" s="58">
        <f t="shared" ca="1" si="38"/>
        <v>1.8950672250690561</v>
      </c>
      <c r="BB9" s="58">
        <f t="shared" ca="1" si="39"/>
        <v>5.6992392102076792</v>
      </c>
      <c r="BC9" s="58">
        <f t="shared" ca="1" si="40"/>
        <v>4.6035557352665037</v>
      </c>
      <c r="BD9" s="58">
        <f t="shared" ca="1" si="41"/>
        <v>9.976264410575979</v>
      </c>
      <c r="BE9" s="58">
        <f t="shared" ca="1" si="42"/>
        <v>4.6035557352665037</v>
      </c>
      <c r="BF9" s="58">
        <f t="shared" ca="1" si="43"/>
        <v>3.9353843053186801</v>
      </c>
      <c r="BG9" s="58">
        <f t="shared" ca="1" si="44"/>
        <v>9.2173854157002779</v>
      </c>
      <c r="BH9" s="58">
        <f t="shared" ca="1" si="45"/>
        <v>3.9353843053186801</v>
      </c>
      <c r="BI9" s="58">
        <f t="shared" ca="1" si="46"/>
        <v>3.5093837501278813</v>
      </c>
    </row>
    <row r="10" spans="1:61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47"/>
        <v>2.375</v>
      </c>
      <c r="M10" s="45">
        <f t="shared" si="48"/>
        <v>0.65</v>
      </c>
      <c r="N10" s="45">
        <f t="shared" si="49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10.018070580300776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2.0988763203497318</v>
      </c>
      <c r="AE10" s="58">
        <f t="shared" ca="1" si="16"/>
        <v>1.4236190434773814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13.282805590447072</v>
      </c>
      <c r="AJ10" s="58">
        <f t="shared" ca="1" si="21"/>
        <v>0.4699518200265993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1.1748795500664984</v>
      </c>
      <c r="AP10" s="58">
        <f t="shared" ca="1" si="27"/>
        <v>2.6479977551498766</v>
      </c>
      <c r="AQ10" s="58">
        <f t="shared" ca="1" si="28"/>
        <v>0.58743977503324918</v>
      </c>
      <c r="AR10" s="58">
        <f t="shared" ca="1" si="29"/>
        <v>1.1749226851488537</v>
      </c>
      <c r="AS10" s="58">
        <f t="shared" ca="1" si="30"/>
        <v>1.4050621801780105</v>
      </c>
      <c r="AT10" s="58">
        <f t="shared" ca="1" si="31"/>
        <v>14.129068335450654</v>
      </c>
      <c r="AU10" s="58">
        <f t="shared" ca="1" si="32"/>
        <v>12.626368615454744</v>
      </c>
      <c r="AV10" s="58">
        <f t="shared" ca="1" si="33"/>
        <v>2.1780459351232775</v>
      </c>
      <c r="AW10" s="58">
        <f t="shared" ca="1" si="34"/>
        <v>0.72675630009207448</v>
      </c>
      <c r="AX10" s="58">
        <f t="shared" ca="1" si="35"/>
        <v>0.27455238003478372</v>
      </c>
      <c r="AY10" s="58">
        <f t="shared" ca="1" si="36"/>
        <v>4.8914481751560155</v>
      </c>
      <c r="AZ10" s="58">
        <f t="shared" ca="1" si="37"/>
        <v>19.622270010657822</v>
      </c>
      <c r="BA10" s="58">
        <f t="shared" ca="1" si="38"/>
        <v>1.2200672250690561</v>
      </c>
      <c r="BB10" s="58">
        <f t="shared" ca="1" si="39"/>
        <v>6.5112392102076795</v>
      </c>
      <c r="BC10" s="58">
        <f t="shared" ca="1" si="40"/>
        <v>5.8605557352665052</v>
      </c>
      <c r="BD10" s="58">
        <f t="shared" ca="1" si="41"/>
        <v>10.176264410575978</v>
      </c>
      <c r="BE10" s="58">
        <f t="shared" ca="1" si="42"/>
        <v>5.8605557352665052</v>
      </c>
      <c r="BF10" s="58">
        <f t="shared" ca="1" si="43"/>
        <v>7.3983843053186806</v>
      </c>
      <c r="BG10" s="58">
        <f t="shared" ca="1" si="44"/>
        <v>12.372385415700277</v>
      </c>
      <c r="BH10" s="58">
        <f t="shared" ca="1" si="45"/>
        <v>7.3983843053186806</v>
      </c>
      <c r="BI10" s="58">
        <f t="shared" ca="1" si="46"/>
        <v>4.0093837501278813</v>
      </c>
    </row>
    <row r="11" spans="1:61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47"/>
        <v>2.375</v>
      </c>
      <c r="M11" s="45">
        <f t="shared" si="48"/>
        <v>0.65</v>
      </c>
      <c r="N11" s="45">
        <f t="shared" si="49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1.1749226851488537</v>
      </c>
      <c r="AS11" s="58">
        <f t="shared" ca="1" si="30"/>
        <v>1.4050621801780105</v>
      </c>
      <c r="AT11" s="58">
        <f t="shared" ca="1" si="31"/>
        <v>14.129068335450654</v>
      </c>
      <c r="AU11" s="58">
        <f t="shared" ca="1" si="32"/>
        <v>12.626368615454744</v>
      </c>
      <c r="AV11" s="58">
        <f t="shared" ca="1" si="33"/>
        <v>2.1780459351232775</v>
      </c>
      <c r="AW11" s="58">
        <f t="shared" ca="1" si="34"/>
        <v>0.72675630009207448</v>
      </c>
      <c r="AX11" s="58">
        <f t="shared" ca="1" si="35"/>
        <v>0.27455238003478372</v>
      </c>
      <c r="AY11" s="58">
        <f t="shared" ca="1" si="36"/>
        <v>4.8914481751560155</v>
      </c>
      <c r="AZ11" s="58">
        <f t="shared" ca="1" si="37"/>
        <v>19.622270010657822</v>
      </c>
      <c r="BA11" s="58">
        <f t="shared" ca="1" si="38"/>
        <v>1.2200672250690561</v>
      </c>
      <c r="BB11" s="58">
        <f t="shared" ca="1" si="39"/>
        <v>6.5112392102076795</v>
      </c>
      <c r="BC11" s="58">
        <f t="shared" ca="1" si="40"/>
        <v>5.8605557352665052</v>
      </c>
      <c r="BD11" s="58">
        <f t="shared" ca="1" si="41"/>
        <v>10.176264410575978</v>
      </c>
      <c r="BE11" s="58">
        <f t="shared" ca="1" si="42"/>
        <v>5.8605557352665052</v>
      </c>
      <c r="BF11" s="58">
        <f t="shared" ca="1" si="43"/>
        <v>7.3983843053186806</v>
      </c>
      <c r="BG11" s="58">
        <f t="shared" ca="1" si="44"/>
        <v>12.372385415700277</v>
      </c>
      <c r="BH11" s="58">
        <f t="shared" ca="1" si="45"/>
        <v>7.3983843053186806</v>
      </c>
      <c r="BI11" s="58">
        <f t="shared" ca="1" si="46"/>
        <v>4.0093837501278813</v>
      </c>
    </row>
    <row r="12" spans="1:61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47"/>
        <v>4.125</v>
      </c>
      <c r="M12" s="45">
        <f t="shared" si="48"/>
        <v>0.9</v>
      </c>
      <c r="N12" s="45">
        <f t="shared" si="49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1.1749226851488537</v>
      </c>
      <c r="AS12" s="58">
        <f t="shared" ca="1" si="30"/>
        <v>1.4050621801780105</v>
      </c>
      <c r="AT12" s="58">
        <f t="shared" ca="1" si="31"/>
        <v>14.129068335450654</v>
      </c>
      <c r="AU12" s="58">
        <f t="shared" ca="1" si="32"/>
        <v>7.3693686154547455</v>
      </c>
      <c r="AV12" s="58">
        <f t="shared" ca="1" si="33"/>
        <v>3.8650459351232773</v>
      </c>
      <c r="AW12" s="58">
        <f t="shared" ca="1" si="34"/>
        <v>0.72675630009207448</v>
      </c>
      <c r="AX12" s="58">
        <f t="shared" ca="1" si="35"/>
        <v>0.27455238003478372</v>
      </c>
      <c r="AY12" s="58">
        <f t="shared" ca="1" si="36"/>
        <v>4.8914481751560155</v>
      </c>
      <c r="AZ12" s="58">
        <f t="shared" ca="1" si="37"/>
        <v>8.6242700106578205</v>
      </c>
      <c r="BA12" s="58">
        <f t="shared" ca="1" si="38"/>
        <v>2.1650672250690559</v>
      </c>
      <c r="BB12" s="58">
        <f t="shared" ca="1" si="39"/>
        <v>6.5112392102076795</v>
      </c>
      <c r="BC12" s="58">
        <f t="shared" ca="1" si="40"/>
        <v>6.3735557352665042</v>
      </c>
      <c r="BD12" s="58">
        <f t="shared" ca="1" si="41"/>
        <v>16.892264410575976</v>
      </c>
      <c r="BE12" s="58">
        <f t="shared" ca="1" si="42"/>
        <v>6.3735557352665042</v>
      </c>
      <c r="BF12" s="58">
        <f t="shared" ca="1" si="43"/>
        <v>6.81938430531868</v>
      </c>
      <c r="BG12" s="58">
        <f t="shared" ca="1" si="44"/>
        <v>19.955385415700277</v>
      </c>
      <c r="BH12" s="58">
        <f t="shared" ca="1" si="45"/>
        <v>6.81938430531868</v>
      </c>
      <c r="BI12" s="58">
        <f t="shared" ca="1" si="46"/>
        <v>4.0093837501278813</v>
      </c>
    </row>
    <row r="13" spans="1:61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47"/>
        <v>4.125</v>
      </c>
      <c r="M13" s="45">
        <f t="shared" si="48"/>
        <v>0.9</v>
      </c>
      <c r="N13" s="45">
        <f t="shared" si="49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1.1749226851488537</v>
      </c>
      <c r="AS13" s="58">
        <f t="shared" ca="1" si="30"/>
        <v>1.4050621801780105</v>
      </c>
      <c r="AT13" s="58">
        <f t="shared" ca="1" si="31"/>
        <v>14.129068335450654</v>
      </c>
      <c r="AU13" s="58">
        <f t="shared" ca="1" si="32"/>
        <v>7.3693686154547455</v>
      </c>
      <c r="AV13" s="58">
        <f t="shared" ca="1" si="33"/>
        <v>3.8650459351232773</v>
      </c>
      <c r="AW13" s="58">
        <f t="shared" ca="1" si="34"/>
        <v>0.72675630009207448</v>
      </c>
      <c r="AX13" s="58">
        <f t="shared" ca="1" si="35"/>
        <v>0.27455238003478372</v>
      </c>
      <c r="AY13" s="58">
        <f t="shared" ca="1" si="36"/>
        <v>4.8914481751560155</v>
      </c>
      <c r="AZ13" s="58">
        <f t="shared" ca="1" si="37"/>
        <v>8.6242700106578205</v>
      </c>
      <c r="BA13" s="58">
        <f t="shared" ca="1" si="38"/>
        <v>2.1650672250690559</v>
      </c>
      <c r="BB13" s="58">
        <f t="shared" ca="1" si="39"/>
        <v>6.5112392102076795</v>
      </c>
      <c r="BC13" s="58">
        <f t="shared" ca="1" si="40"/>
        <v>6.3735557352665042</v>
      </c>
      <c r="BD13" s="58">
        <f t="shared" ca="1" si="41"/>
        <v>16.892264410575976</v>
      </c>
      <c r="BE13" s="58">
        <f t="shared" ca="1" si="42"/>
        <v>6.3735557352665042</v>
      </c>
      <c r="BF13" s="58">
        <f t="shared" ca="1" si="43"/>
        <v>6.81938430531868</v>
      </c>
      <c r="BG13" s="58">
        <f t="shared" ca="1" si="44"/>
        <v>19.955385415700277</v>
      </c>
      <c r="BH13" s="58">
        <f t="shared" ca="1" si="45"/>
        <v>6.81938430531868</v>
      </c>
      <c r="BI13" s="58">
        <f t="shared" ca="1" si="46"/>
        <v>4.0093837501278813</v>
      </c>
    </row>
    <row r="15" spans="1:61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1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0">M4</f>
        <v>0.4</v>
      </c>
      <c r="L17" s="49">
        <f t="shared" si="50"/>
        <v>0.8600000000000001</v>
      </c>
    </row>
    <row r="18" spans="1:20" x14ac:dyDescent="0.25">
      <c r="A18" s="48" t="s">
        <v>122</v>
      </c>
      <c r="B18" s="54">
        <f>1-0.036</f>
        <v>0.96399999999999997</v>
      </c>
      <c r="C18" s="49">
        <f ca="1">AB5*B18</f>
        <v>11.656978540331806</v>
      </c>
      <c r="D18" s="49">
        <f ca="1">AC5*B18</f>
        <v>10.94581008826912</v>
      </c>
      <c r="E18" s="49">
        <f ca="1">C18/2</f>
        <v>5.8284892701659032</v>
      </c>
      <c r="F18" s="49">
        <f ca="1">AD5*B18</f>
        <v>1.8354842892559373</v>
      </c>
      <c r="G18" s="49">
        <f ca="1">AE5*B18</f>
        <v>1.8119300796749098</v>
      </c>
      <c r="H18" s="49">
        <v>0</v>
      </c>
      <c r="I18" s="49">
        <v>0</v>
      </c>
      <c r="J18" s="49">
        <f>L5*B18</f>
        <v>4.9405000000000001</v>
      </c>
      <c r="K18" s="49">
        <f>M5*B18</f>
        <v>0.3856</v>
      </c>
      <c r="L18" s="49">
        <f>N5*B18</f>
        <v>0.82904000000000011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0"/>
        <v>0.4</v>
      </c>
      <c r="L19" s="49">
        <f t="shared" si="50"/>
        <v>0.8600000000000001</v>
      </c>
    </row>
    <row r="20" spans="1:20" x14ac:dyDescent="0.25">
      <c r="A20" s="48" t="s">
        <v>101</v>
      </c>
      <c r="B20" s="54">
        <v>1</v>
      </c>
      <c r="C20" s="49">
        <f ca="1">AW7</f>
        <v>0.72675630009207448</v>
      </c>
      <c r="D20" s="49">
        <f ca="1">AX7</f>
        <v>0.27455238003478372</v>
      </c>
      <c r="E20" s="49">
        <v>0</v>
      </c>
      <c r="F20" s="49">
        <f ca="1">AY7</f>
        <v>4.8914481751560155</v>
      </c>
      <c r="G20" s="49">
        <f t="shared" ref="G20:H20" ca="1" si="51">AZ7</f>
        <v>19.622270010657822</v>
      </c>
      <c r="H20" s="49">
        <f t="shared" ca="1" si="51"/>
        <v>1.2200672250690561</v>
      </c>
      <c r="I20" s="49">
        <v>0</v>
      </c>
      <c r="J20" s="49">
        <v>0</v>
      </c>
      <c r="K20" s="49">
        <f t="shared" si="50"/>
        <v>0.65</v>
      </c>
      <c r="L20" s="49">
        <f t="shared" si="50"/>
        <v>0.38</v>
      </c>
    </row>
    <row r="21" spans="1:20" x14ac:dyDescent="0.25">
      <c r="A21" s="48" t="s">
        <v>102</v>
      </c>
      <c r="B21" s="54">
        <f>1-0.065</f>
        <v>0.93500000000000005</v>
      </c>
      <c r="C21" s="49">
        <f ca="1">AR8*B21</f>
        <v>1.0985527106141781</v>
      </c>
      <c r="D21" s="49">
        <f ca="1">AS8*B21</f>
        <v>1.3137331384664399</v>
      </c>
      <c r="E21" s="49">
        <v>0</v>
      </c>
      <c r="F21" s="49">
        <f ca="1">AT8*B21</f>
        <v>13.210678893646362</v>
      </c>
      <c r="G21" s="49">
        <f ca="1">AU8*B21</f>
        <v>10.195584655450189</v>
      </c>
      <c r="H21" s="49">
        <f ca="1">AV8*B21</f>
        <v>2.0364729493402645</v>
      </c>
      <c r="I21" s="49">
        <v>0</v>
      </c>
      <c r="J21" s="49">
        <v>0</v>
      </c>
      <c r="K21" s="49">
        <f>M8*B21</f>
        <v>0.37400000000000005</v>
      </c>
      <c r="L21" s="49">
        <f>N8*B21</f>
        <v>0.3553</v>
      </c>
      <c r="T21" s="62"/>
    </row>
    <row r="22" spans="1:20" x14ac:dyDescent="0.25">
      <c r="A22" s="48" t="s">
        <v>122</v>
      </c>
      <c r="B22" s="54">
        <f>1-0.036</f>
        <v>0.96399999999999997</v>
      </c>
      <c r="C22" s="49">
        <f ca="1">E22/2</f>
        <v>5.8284892701659032</v>
      </c>
      <c r="D22" s="49">
        <f ca="1">AC9*B22</f>
        <v>10.94581008826912</v>
      </c>
      <c r="E22" s="49">
        <f ca="1">AB9*B22</f>
        <v>11.656978540331806</v>
      </c>
      <c r="F22" s="49">
        <f ca="1">AD9*B22</f>
        <v>1.8354842892559373</v>
      </c>
      <c r="G22" s="49">
        <v>0</v>
      </c>
      <c r="H22" s="49">
        <v>0</v>
      </c>
      <c r="I22" s="49">
        <f ca="1">AE9*B22</f>
        <v>1.8119300796749098</v>
      </c>
      <c r="J22" s="49">
        <f>L9*B22</f>
        <v>4.9405000000000001</v>
      </c>
      <c r="K22" s="49">
        <f>M9*B22</f>
        <v>0.3856</v>
      </c>
      <c r="L22" s="49">
        <f>N9*B22</f>
        <v>0.82904000000000011</v>
      </c>
    </row>
    <row r="23" spans="1:20" x14ac:dyDescent="0.25">
      <c r="A23" s="48" t="s">
        <v>102</v>
      </c>
      <c r="B23" s="54">
        <f>1-0.065</f>
        <v>0.93500000000000005</v>
      </c>
      <c r="C23" s="49">
        <v>0</v>
      </c>
      <c r="D23" s="49">
        <f ca="1">AS10*B23</f>
        <v>1.3137331384664399</v>
      </c>
      <c r="E23" s="49">
        <f ca="1">AR10*B23</f>
        <v>1.0985527106141781</v>
      </c>
      <c r="F23" s="49">
        <f ca="1">AT10*B23</f>
        <v>13.210678893646362</v>
      </c>
      <c r="G23" s="49">
        <v>0</v>
      </c>
      <c r="H23" s="49">
        <f ca="1">AV10*B23</f>
        <v>2.0364729493402645</v>
      </c>
      <c r="I23" s="49">
        <f ca="1">AU10*B23</f>
        <v>11.805654655450187</v>
      </c>
      <c r="J23" s="49">
        <v>0</v>
      </c>
      <c r="K23" s="49">
        <f>M10*B23</f>
        <v>0.60775000000000001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AX11</f>
        <v>0.27455238003478372</v>
      </c>
      <c r="E24" s="49">
        <f ca="1">AR11</f>
        <v>1.1749226851488537</v>
      </c>
      <c r="F24" s="49">
        <f ca="1">AY11</f>
        <v>4.8914481751560155</v>
      </c>
      <c r="G24" s="49">
        <v>0</v>
      </c>
      <c r="H24" s="49">
        <f ca="1">BA11</f>
        <v>1.2200672250690561</v>
      </c>
      <c r="I24" s="49">
        <f ca="1">AZ11</f>
        <v>19.622270010657822</v>
      </c>
      <c r="J24" s="49">
        <v>0</v>
      </c>
      <c r="K24" s="49">
        <f t="shared" si="50"/>
        <v>0.65</v>
      </c>
      <c r="L24" s="49">
        <f t="shared" si="50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BI12*B25</f>
        <v>3.7888676438708475</v>
      </c>
      <c r="G25" s="49">
        <f ca="1">BF12*B25</f>
        <v>6.4443181685261521</v>
      </c>
      <c r="H25" s="49">
        <f ca="1">BG12*B25</f>
        <v>18.857839217836762</v>
      </c>
      <c r="I25" s="49">
        <f ca="1">BH12*B25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BI13*B26</f>
        <v>3.7888676438708475</v>
      </c>
      <c r="G26" s="49">
        <f ca="1">BF13*B26</f>
        <v>6.4443181685261521</v>
      </c>
      <c r="H26" s="49">
        <f ca="1">BG13*B26</f>
        <v>18.857839217836762</v>
      </c>
      <c r="I26" s="49">
        <f ca="1">BH13*B26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47.835077077121134</v>
      </c>
      <c r="D27" s="51">
        <f t="shared" ref="D27:L27" ca="1" si="52">SUM(D16:D26)</f>
        <v>58.642727879624609</v>
      </c>
      <c r="E27" s="51">
        <f t="shared" ca="1" si="52"/>
        <v>48.283243462177907</v>
      </c>
      <c r="F27" s="51">
        <f t="shared" ca="1" si="52"/>
        <v>48.801494694029167</v>
      </c>
      <c r="G27" s="51">
        <f t="shared" ca="1" si="52"/>
        <v>52.772491663136002</v>
      </c>
      <c r="H27" s="51">
        <f t="shared" ca="1" si="52"/>
        <v>44.228758784492165</v>
      </c>
      <c r="I27" s="51">
        <f t="shared" ca="1" si="52"/>
        <v>54.382561663136002</v>
      </c>
      <c r="J27" s="52">
        <f t="shared" si="52"/>
        <v>21.131</v>
      </c>
      <c r="K27" s="52">
        <f t="shared" si="52"/>
        <v>6.0739500000000008</v>
      </c>
      <c r="L27" s="52">
        <f t="shared" si="52"/>
        <v>6.4268799999999988</v>
      </c>
    </row>
    <row r="28" spans="1:20" ht="15.75" x14ac:dyDescent="0.25">
      <c r="A28" s="50"/>
      <c r="B28" s="50" t="s">
        <v>105</v>
      </c>
      <c r="C28" s="53">
        <f ca="1">C27*0.34</f>
        <v>16.263926206221186</v>
      </c>
      <c r="D28" s="53">
        <f ca="1">D27*0.245</f>
        <v>14.367468330508029</v>
      </c>
      <c r="E28" s="53">
        <f ca="1">E27*0.34</f>
        <v>16.416302777140491</v>
      </c>
      <c r="F28" s="53">
        <f ca="1">F27*0.125</f>
        <v>6.1001868367536458</v>
      </c>
      <c r="G28" s="53">
        <f ca="1">G27*0.25</f>
        <v>13.193122915784</v>
      </c>
      <c r="H28" s="53">
        <f ca="1">H27*0.19</f>
        <v>8.4034641690535121</v>
      </c>
      <c r="I28" s="53">
        <f ca="1">I27*0.25</f>
        <v>13.595640415784001</v>
      </c>
    </row>
    <row r="29" spans="1:20" ht="15.75" x14ac:dyDescent="0.25">
      <c r="A29" s="50"/>
      <c r="B29" s="50" t="s">
        <v>106</v>
      </c>
      <c r="C29" s="53">
        <f ca="1">C28*1.2/1.05</f>
        <v>18.587344235681353</v>
      </c>
      <c r="D29" s="53">
        <f t="shared" ref="D29:E29" ca="1" si="53">D28*1.2/1.05</f>
        <v>16.419963806294888</v>
      </c>
      <c r="E29" s="53">
        <f t="shared" ca="1" si="53"/>
        <v>18.76148888816056</v>
      </c>
      <c r="F29" s="53">
        <f ca="1">F28</f>
        <v>6.1001868367536458</v>
      </c>
      <c r="G29" s="53">
        <f ca="1">G28*0.925/1.05</f>
        <v>11.622513044857333</v>
      </c>
      <c r="H29" s="53">
        <f t="shared" ref="H29:I29" ca="1" si="54">H28*0.925/1.05</f>
        <v>7.4030517679757137</v>
      </c>
      <c r="I29" s="53">
        <f t="shared" ca="1" si="54"/>
        <v>11.977111794857334</v>
      </c>
    </row>
    <row r="30" spans="1:20" ht="15.75" x14ac:dyDescent="0.25">
      <c r="A30" s="50"/>
      <c r="B30" s="50" t="s">
        <v>107</v>
      </c>
      <c r="C30" s="53">
        <f ca="1">C28*0.925/1.05</f>
        <v>14.327744515004378</v>
      </c>
      <c r="D30" s="53">
        <f t="shared" ref="D30:E30" ca="1" si="55">D28*0.925/1.05</f>
        <v>12.657055434018977</v>
      </c>
      <c r="E30" s="53">
        <f t="shared" ca="1" si="55"/>
        <v>14.461981017957099</v>
      </c>
      <c r="F30" s="53">
        <f ca="1">F29</f>
        <v>6.1001868367536458</v>
      </c>
      <c r="G30" s="53">
        <f ca="1">G28*1.135/1.05</f>
        <v>14.261137628014133</v>
      </c>
      <c r="H30" s="53">
        <f t="shared" ref="H30:I30" ca="1" si="56">H28*1.135/1.05</f>
        <v>9.0837446017864156</v>
      </c>
      <c r="I30" s="53">
        <f t="shared" ca="1" si="56"/>
        <v>14.696239878014133</v>
      </c>
    </row>
  </sheetData>
  <conditionalFormatting sqref="O3:P13">
    <cfRule type="cellIs" dxfId="73" priority="12" operator="greaterThan">
      <formula>15</formula>
    </cfRule>
  </conditionalFormatting>
  <conditionalFormatting sqref="L3:L13">
    <cfRule type="cellIs" dxfId="72" priority="11" operator="greaterThan">
      <formula>3.2</formula>
    </cfRule>
  </conditionalFormatting>
  <conditionalFormatting sqref="M3:N13">
    <cfRule type="cellIs" dxfId="71" priority="10" operator="greaterThan">
      <formula>0.6</formula>
    </cfRule>
  </conditionalFormatting>
  <conditionalFormatting sqref="Q3:V13 X3:Y13 AF3:AG13 AK3:AM13 AR3:AR13 AW3:AX13">
    <cfRule type="cellIs" dxfId="70" priority="9" operator="greaterThan">
      <formula>12.5</formula>
    </cfRule>
  </conditionalFormatting>
  <conditionalFormatting sqref="W3:W13 AH3:AH13 AN3:AN13 AT3:AT13 AY3:AY13 BB3:BB13">
    <cfRule type="cellIs" dxfId="69" priority="8" operator="greaterThan">
      <formula>12.5</formula>
    </cfRule>
  </conditionalFormatting>
  <conditionalFormatting sqref="AA3:AA13 AI3:AJ13 AO3:AQ13 AU3:AV13 AZ3:BA13 BC3:BH13">
    <cfRule type="cellIs" dxfId="68" priority="7" operator="greaterThan">
      <formula>12.5</formula>
    </cfRule>
  </conditionalFormatting>
  <conditionalFormatting sqref="D3:D13">
    <cfRule type="cellIs" dxfId="67" priority="6" operator="greaterThan">
      <formula>7</formula>
    </cfRule>
  </conditionalFormatting>
  <conditionalFormatting sqref="E3:K11 E12:E13">
    <cfRule type="colorScale" priority="13">
      <colorScale>
        <cfvo type="min"/>
        <cfvo type="max"/>
        <color rgb="FFFCFCFF"/>
        <color rgb="FFF8696B"/>
      </colorScale>
    </cfRule>
  </conditionalFormatting>
  <conditionalFormatting sqref="AB3:AC13">
    <cfRule type="cellIs" dxfId="66" priority="5" operator="greaterThan">
      <formula>12.5</formula>
    </cfRule>
  </conditionalFormatting>
  <conditionalFormatting sqref="AE3:AE13">
    <cfRule type="cellIs" dxfId="65" priority="4" operator="greaterThan">
      <formula>12.5</formula>
    </cfRule>
  </conditionalFormatting>
  <conditionalFormatting sqref="BI3:BI13">
    <cfRule type="cellIs" dxfId="64" priority="3" operator="greaterThan">
      <formula>12.5</formula>
    </cfRule>
  </conditionalFormatting>
  <conditionalFormatting sqref="F12:K12">
    <cfRule type="colorScale" priority="2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BY30"/>
  <sheetViews>
    <sheetView zoomScale="80" zoomScaleNormal="80" workbookViewId="0">
      <pane xSplit="11" ySplit="2" topLeftCell="Z3" activePane="bottomRight" state="frozen"/>
      <selection pane="topRight" activeCell="L1" sqref="L1"/>
      <selection pane="bottomLeft" activeCell="A3" sqref="A3"/>
      <selection pane="bottomRight" activeCell="I28" sqref="I28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5.5703125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12</v>
      </c>
      <c r="H4" s="45">
        <v>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3.340933330121743</v>
      </c>
      <c r="X4" s="58">
        <f t="shared" ref="X4:X13" ca="1" si="10">IF(TODAY()-B4&gt;335,((F4+1+(LOG(D4)*4/3))*0.378),((F4+(((TODAY()-B4)^0.5)/(336^0.516))+(LOG(D4)*4/3))*0.378))</f>
        <v>6.0621882301933567</v>
      </c>
      <c r="Y4" s="58">
        <f t="shared" ref="Y4:Y13" ca="1" si="11">IF(TODAY()-B4&gt;335,((F4+1+(LOG(D4)*4/3))*0.723),((F4+(((TODAY()-B4)^0.5)/(336^0.5))+(LOG(D4)*4/3))*0.723))</f>
        <v>11.595137805369832</v>
      </c>
      <c r="Z4" s="58">
        <f t="shared" ref="Z4:Z13" ca="1" si="12">X4/2</f>
        <v>3.0310941150966784</v>
      </c>
      <c r="AA4" s="58">
        <f t="shared" ref="AA4:AA13" ca="1" si="13">IF(TODAY()-B4&gt;335,((G4+1+(LOG(D4)*4/3))*0.385),((G4+(((TODAY()-B4)^0.5)/(336^0.238))+(LOG(D4)*4/3))*0.385))</f>
        <v>5.4044509751969372</v>
      </c>
      <c r="AB4" s="58">
        <f t="shared" ca="1" si="3"/>
        <v>14.754532200470603</v>
      </c>
      <c r="AC4" s="58">
        <f t="shared" ref="AC4:AC13" ca="1" si="14">IF(TODAY()-B4&gt;335,((F4+1+(LOG(D4)*4/3))*0.414),((F4+(((TODAY()-B4)^0.5)/(336^0.414))+(LOG(D4)*4/3))*0.414))</f>
        <v>6.6395394902117708</v>
      </c>
      <c r="AD4" s="58">
        <f t="shared" ref="AD4:AD13" ca="1" si="15">IF(TODAY()-B4&gt;335,((G4+1+(LOG(D4)*4/3))*0.167),((G4+(((TODAY()-B4)^0.5)/(336^0.5))+(LOG(D4)*4/3))*0.167))</f>
        <v>2.3442683450854247</v>
      </c>
      <c r="AE4" s="58">
        <f t="shared" ref="AE4:AE13" ca="1" si="16">IF(TODAY()-B4&gt;335,((H4+1+(LOG(D4)*4/3))*0.588),((H4+(((TODAY()-B4)^0.5)/(336^0.5))+(LOG(D4)*4/3))*0.588))</f>
        <v>2.3740705803007764</v>
      </c>
      <c r="AF4" s="58">
        <f t="shared" ref="AF4:AF13" ca="1" si="17">IF(TODAY()-B4&gt;335,((F4+1+(LOG(D4)*4/3))*0.754),((F4+(((TODAY()-B4)^0.5)/(336^0.5))+(LOG(D4)*4/3))*0.754))</f>
        <v>12.092301390385691</v>
      </c>
      <c r="AG4" s="58">
        <f t="shared" ref="AG4:AG13" ca="1" si="18">IF(TODAY()-B4&gt;335,((F4+1+(LOG(D4)*4/3))*0.708),((F4+(((TODAY()-B4)^0.5)/(336^0.414))+(LOG(D4)*4/3))*0.708))</f>
        <v>11.354574780362158</v>
      </c>
      <c r="AH4" s="58">
        <f t="shared" ref="AH4:AH13" ca="1" si="19">IF(TODAY()-F4&gt;335,((K4+1+(LOG(H4)*4/3))*0.167),((K4+(((TODAY()-F4)^0.5)/(336^0.5))+(LOG(H4)*4/3))*0.167))</f>
        <v>1.9040293457011799</v>
      </c>
      <c r="AI4" s="58">
        <f t="shared" ref="AI4:AI13" ca="1" si="20">IF(TODAY()-F4&gt;335,((L4+1+(LOG(H4)*4/3))*0.288),((L4+(((TODAY()-F4)^0.5)/(336^0.5))+(LOG(H4)*4/3))*0.288))</f>
        <v>1.8795955183349689</v>
      </c>
      <c r="AJ4" s="58">
        <f t="shared" ref="AJ4:AJ13" ca="1" si="21">IF(TODAY()-B4&gt;335,((F4+1+(LOG(D4)*4/3))*0.485),((F4+(((TODAY()-B4)^0.5)/(336^0.5))+(LOG(D4)*4/3))*0.485))</f>
        <v>7.7782044752480894</v>
      </c>
      <c r="AK4" s="58">
        <f t="shared" ref="AK4:AK13" ca="1" si="22">IF(TODAY()-B4&gt;335,((F4+1+(LOG(D4)*4/3))*0.264),((F4+(((TODAY()-B4)^0.5)/(336^0.5))+(LOG(D4)*4/3))*0.264))</f>
        <v>4.2339092401350431</v>
      </c>
      <c r="AL4" s="58">
        <f t="shared" ref="AL4:AL13" ca="1" si="23">IF(TODAY()-B4&gt;335,((G4+1+(LOG(D4)*4/3))*0.381),((G4+(((TODAY()-B4)^0.5)/(336^0.5))+(LOG(D4)*4/3))*0.381))</f>
        <v>5.3483008351948911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5.5388055904470725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4.3301344501381118</v>
      </c>
      <c r="AP4" s="58">
        <f t="shared" ref="AP4:AP13" ca="1" si="27">IF(TODAY()-B4&gt;335,((F4+1+(LOG(D4)*4/3))*0.594),((F4+(((TODAY()-B4)^0.5)/(336^0.5))+(LOG(D4)*4/3))*0.594))</f>
        <v>9.5262957903038448</v>
      </c>
      <c r="AQ4" s="58">
        <f t="shared" ref="AQ4:AQ13" ca="1" si="28">AO4/2</f>
        <v>2.1650672250690559</v>
      </c>
      <c r="AR4" s="58">
        <f t="shared" ref="AR4:AR13" ca="1" si="29">IF(TODAY()-B4&gt;335,((G4+1+(LOG(D4)*4/3))*0.944),((G4+(((TODAY()-B4)^0.5)/(336^0.5))+(LOG(D4)*4/3))*0.944))</f>
        <v>13.25143304048288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3.0310941150966784</v>
      </c>
      <c r="AW4" s="58">
        <f t="shared" ref="AW4:AW13" ca="1" si="34">IF(TODAY()-B4&gt;335,((F4+1+(LOG(D4)*4/3))*0.4),((F4+(((TODAY()-B4)^0.5)/(336^0.5))+(LOG(D4)*4/3))*0.4))</f>
        <v>6.4150140002046108</v>
      </c>
      <c r="AX4" s="58">
        <f t="shared" ref="AX4:AX13" ca="1" si="35">AV4/2</f>
        <v>1.5155470575483392</v>
      </c>
      <c r="AY4" s="58">
        <f t="shared" ref="AY4:AY13" ca="1" si="36">IF(TODAY()-B4&gt;335,((G4+1+(LOG(D4)*4/3))*1),((G4+(((TODAY()-B4)^0.5)/(336^0.5))+(LOG(D4)*4/3))*1))</f>
        <v>14.037535000511525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4.6669226851488537</v>
      </c>
      <c r="BD4" s="58">
        <f t="shared" ref="BD4:BD13" ca="1" si="41">IF(TODAY()-B4&gt;335,((F4+1+(LOG(D4)*4/3))*0.348),((F4+(((TODAY()-B4)^0.5)/(336^0.5))+(LOG(D4)*4/3))*0.348))</f>
        <v>5.5810621801780105</v>
      </c>
      <c r="BE4" s="58">
        <f t="shared" ref="BE4:BE13" ca="1" si="42">IF(TODAY()-B4&gt;335,((G4+1+(LOG(D4)*4/3))*0.881),((G4+(((TODAY()-B4)^0.5)/(336^0.5))+(LOG(D4)*4/3))*0.881))</f>
        <v>12.367068335450654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6.7393686154547456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2.8867563000920744</v>
      </c>
      <c r="BI4" s="58">
        <f t="shared" ref="BI4:BI13" ca="1" si="46">IF(TODAY()-B4&gt;335,((F4+1+(LOG(D4)*4/3))*0.068),((F4+(((TODAY()-B4)^0.5)/(336^0.5))+(LOG(D4)*4/3))*0.068))</f>
        <v>1.0905523800347838</v>
      </c>
      <c r="BJ4" s="58">
        <f t="shared" ref="BJ4:BJ13" ca="1" si="47">IF(TODAY()-B4&gt;335,((G4+1+(LOG(D4)*4/3))*0.305),((G4+(((TODAY()-B4)^0.5)/(336^0.5))+(LOG(D4)*4/3))*0.305))</f>
        <v>4.2814481751560152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8.0522700106578213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4.5546599401452728</v>
      </c>
      <c r="BN4" s="58">
        <f t="shared" ref="BN4:BN13" ca="1" si="51">IF(TODAY()-B4&gt;335,((F4+1+(LOG(D4)*4/3))*0.244),((F4+(((TODAY()-B4)^0.5)/(336^0.5))+(LOG(D4)*4/3))*0.244))</f>
        <v>3.9131585401248121</v>
      </c>
      <c r="BO4" s="58">
        <f t="shared" ref="BO4:BO13" ca="1" si="52">IF(TODAY()-B4&gt;335,((G4+1+(LOG(D4)*4/3))*0.631),((G4+(((TODAY()-B4)^0.5)/(336^0.5))+(LOG(D4)*4/3))*0.631))</f>
        <v>8.8576845853227724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5.5435938254578154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5.6992392102076792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4.6035557352665037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4.6035557352665037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3.9353843053186801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3.9353843053186801</v>
      </c>
      <c r="BY4" s="58">
        <f t="shared" ref="BY4:BY13" ca="1" si="62">IF(TODAY()-B4&gt;335,((G4+1+(LOG(D4)*4/3))*0.25),((G4+(((TODAY()-B4)^0.5)/(336^0.5))+(LOG(D4)*4/3))*0.25))</f>
        <v>3.5093837501278813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2</v>
      </c>
      <c r="G5" s="45">
        <v>14</v>
      </c>
      <c r="H5" s="45">
        <v>2</v>
      </c>
      <c r="I5" s="45">
        <v>14</v>
      </c>
      <c r="J5" s="45">
        <v>12</v>
      </c>
      <c r="K5" s="45">
        <v>10</v>
      </c>
      <c r="L5" s="45">
        <f t="shared" ref="L5:L13" si="63">((2*(I5+1))+(F5+1))/8</f>
        <v>4.125</v>
      </c>
      <c r="M5" s="45">
        <f t="shared" ref="M5:M13" si="64">(0.5*J5+ 0.3*K5)/10</f>
        <v>0.9</v>
      </c>
      <c r="N5" s="45">
        <f t="shared" ref="N5:N13" si="65">(0.4*F5+0.3*K5)/10</f>
        <v>0.38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2.3307680554465611</v>
      </c>
      <c r="R5" s="58">
        <f t="shared" ca="1" si="5"/>
        <v>3.4804576856603786</v>
      </c>
      <c r="S5" s="58">
        <f t="shared" ca="1" si="6"/>
        <v>2.3307680554465611</v>
      </c>
      <c r="T5" s="58">
        <f t="shared" ca="1" si="7"/>
        <v>2.0833680602639468</v>
      </c>
      <c r="U5" s="58">
        <f t="shared" ca="1" si="2"/>
        <v>4.0375350005115251</v>
      </c>
      <c r="V5" s="58">
        <f t="shared" ca="1" si="8"/>
        <v>1.0416840301319734</v>
      </c>
      <c r="W5" s="58">
        <f t="shared" ca="1" si="9"/>
        <v>3.816933330121743</v>
      </c>
      <c r="X5" s="58">
        <f t="shared" ca="1" si="10"/>
        <v>1.5261882301933565</v>
      </c>
      <c r="Y5" s="58">
        <f t="shared" ca="1" si="11"/>
        <v>2.9191378053698327</v>
      </c>
      <c r="Z5" s="58">
        <f t="shared" ca="1" si="12"/>
        <v>0.76309411509667824</v>
      </c>
      <c r="AA5" s="58">
        <f t="shared" ca="1" si="13"/>
        <v>6.1744509751969376</v>
      </c>
      <c r="AB5" s="58">
        <f t="shared" ca="1" si="3"/>
        <v>3.7145322004706034</v>
      </c>
      <c r="AC5" s="58">
        <f t="shared" ca="1" si="14"/>
        <v>1.6715394902117713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3.0443013903856899</v>
      </c>
      <c r="AG5" s="58">
        <f t="shared" ca="1" si="18"/>
        <v>2.8585747803621597</v>
      </c>
      <c r="AH5" s="58">
        <f t="shared" ca="1" si="19"/>
        <v>1.9040293457011799</v>
      </c>
      <c r="AI5" s="58">
        <f t="shared" ca="1" si="20"/>
        <v>1.5915955183349688</v>
      </c>
      <c r="AJ5" s="58">
        <f t="shared" ca="1" si="21"/>
        <v>1.9582044752480896</v>
      </c>
      <c r="AK5" s="58">
        <f t="shared" ca="1" si="22"/>
        <v>1.0659092401350427</v>
      </c>
      <c r="AL5" s="58">
        <f t="shared" ca="1" si="23"/>
        <v>6.1103008351948915</v>
      </c>
      <c r="AM5" s="58">
        <f t="shared" ca="1" si="24"/>
        <v>5.9408055904470736</v>
      </c>
      <c r="AN5" s="58">
        <f t="shared" ca="1" si="25"/>
        <v>0.83395182002659929</v>
      </c>
      <c r="AO5" s="58">
        <f t="shared" ca="1" si="26"/>
        <v>1.0901344501381118</v>
      </c>
      <c r="AP5" s="58">
        <f t="shared" ca="1" si="27"/>
        <v>2.398295790303846</v>
      </c>
      <c r="AQ5" s="58">
        <f t="shared" ca="1" si="28"/>
        <v>0.54506722506905592</v>
      </c>
      <c r="AR5" s="58">
        <f t="shared" ca="1" si="29"/>
        <v>15.13943304048288</v>
      </c>
      <c r="AS5" s="58">
        <f t="shared" ca="1" si="30"/>
        <v>2.0848795500664985</v>
      </c>
      <c r="AT5" s="58">
        <f t="shared" ca="1" si="31"/>
        <v>4.3529977551498771</v>
      </c>
      <c r="AU5" s="58">
        <f t="shared" ca="1" si="32"/>
        <v>1.0424397750332492</v>
      </c>
      <c r="AV5" s="58">
        <f t="shared" ca="1" si="33"/>
        <v>0.76309411509667824</v>
      </c>
      <c r="AW5" s="58">
        <f t="shared" ca="1" si="34"/>
        <v>1.6150140002046101</v>
      </c>
      <c r="AX5" s="58">
        <f t="shared" ca="1" si="35"/>
        <v>0.38154705754833912</v>
      </c>
      <c r="AY5" s="58">
        <f t="shared" ca="1" si="36"/>
        <v>16.037535000511525</v>
      </c>
      <c r="AZ5" s="58">
        <f t="shared" ca="1" si="37"/>
        <v>4.0574963551294161</v>
      </c>
      <c r="BA5" s="58">
        <f t="shared" ca="1" si="38"/>
        <v>8.4166817852818507</v>
      </c>
      <c r="BB5" s="58">
        <f t="shared" ca="1" si="39"/>
        <v>2.028748177564708</v>
      </c>
      <c r="BC5" s="58">
        <f t="shared" ca="1" si="40"/>
        <v>1.1749226851488537</v>
      </c>
      <c r="BD5" s="58">
        <f t="shared" ca="1" si="41"/>
        <v>1.4050621801780105</v>
      </c>
      <c r="BE5" s="58">
        <f t="shared" ca="1" si="42"/>
        <v>14.129068335450654</v>
      </c>
      <c r="BF5" s="58">
        <f t="shared" ca="1" si="43"/>
        <v>7.3693686154547455</v>
      </c>
      <c r="BG5" s="58">
        <f t="shared" ca="1" si="44"/>
        <v>3.8650459351232773</v>
      </c>
      <c r="BH5" s="58">
        <f t="shared" ca="1" si="45"/>
        <v>0.72675630009207448</v>
      </c>
      <c r="BI5" s="58">
        <f t="shared" ca="1" si="46"/>
        <v>0.27455238003478372</v>
      </c>
      <c r="BJ5" s="58">
        <f t="shared" ca="1" si="47"/>
        <v>4.8914481751560155</v>
      </c>
      <c r="BK5" s="58">
        <f t="shared" ca="1" si="48"/>
        <v>8.6242700106578205</v>
      </c>
      <c r="BL5" s="58">
        <f t="shared" ca="1" si="49"/>
        <v>2.1650672250690559</v>
      </c>
      <c r="BM5" s="58">
        <f t="shared" ca="1" si="50"/>
        <v>1.1466599401452731</v>
      </c>
      <c r="BN5" s="58">
        <f t="shared" ca="1" si="51"/>
        <v>0.98515854012481208</v>
      </c>
      <c r="BO5" s="58">
        <f t="shared" ca="1" si="52"/>
        <v>10.119684585322773</v>
      </c>
      <c r="BP5" s="58">
        <f t="shared" ca="1" si="53"/>
        <v>5.9295938254578147</v>
      </c>
      <c r="BQ5" s="58">
        <f t="shared" ca="1" si="54"/>
        <v>2.3735551800757055</v>
      </c>
      <c r="BR5" s="58">
        <f t="shared" ca="1" si="55"/>
        <v>6.5112392102076795</v>
      </c>
      <c r="BS5" s="58">
        <f t="shared" ca="1" si="56"/>
        <v>6.3735557352665042</v>
      </c>
      <c r="BT5" s="58">
        <f t="shared" ca="1" si="57"/>
        <v>16.892264410575976</v>
      </c>
      <c r="BU5" s="58">
        <f t="shared" ca="1" si="58"/>
        <v>6.3735557352665042</v>
      </c>
      <c r="BV5" s="58">
        <f t="shared" ca="1" si="59"/>
        <v>6.81938430531868</v>
      </c>
      <c r="BW5" s="58">
        <f t="shared" ca="1" si="60"/>
        <v>19.955385415700277</v>
      </c>
      <c r="BX5" s="58">
        <f t="shared" ca="1" si="61"/>
        <v>6.81938430531868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63"/>
        <v>5.125</v>
      </c>
      <c r="M6" s="45">
        <f t="shared" si="64"/>
        <v>0.4</v>
      </c>
      <c r="N6" s="45">
        <f t="shared" si="65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10"/>
        <v>6.0621882301933567</v>
      </c>
      <c r="Y6" s="58">
        <f t="shared" ca="1" si="11"/>
        <v>11.595137805369832</v>
      </c>
      <c r="Z6" s="58">
        <f t="shared" ca="1" si="12"/>
        <v>3.0310941150966784</v>
      </c>
      <c r="AA6" s="58">
        <f t="shared" ca="1" si="13"/>
        <v>1.5544509751969373</v>
      </c>
      <c r="AB6" s="58">
        <f t="shared" ca="1" si="3"/>
        <v>14.754532200470603</v>
      </c>
      <c r="AC6" s="58">
        <f t="shared" ca="1" si="14"/>
        <v>6.6395394902117708</v>
      </c>
      <c r="AD6" s="58">
        <f t="shared" ca="1" si="15"/>
        <v>0.67426834508542477</v>
      </c>
      <c r="AE6" s="58">
        <f t="shared" ca="1" si="16"/>
        <v>8.2540705803007768</v>
      </c>
      <c r="AF6" s="58">
        <f t="shared" ca="1" si="17"/>
        <v>12.092301390385691</v>
      </c>
      <c r="AG6" s="58">
        <f t="shared" ca="1" si="18"/>
        <v>11.354574780362158</v>
      </c>
      <c r="AH6" s="58">
        <f t="shared" ca="1" si="19"/>
        <v>2.0772976907866045</v>
      </c>
      <c r="AI6" s="58">
        <f t="shared" ca="1" si="20"/>
        <v>2.1784055984822879</v>
      </c>
      <c r="AJ6" s="58">
        <f t="shared" ca="1" si="21"/>
        <v>7.7782044752480894</v>
      </c>
      <c r="AK6" s="58">
        <f t="shared" ca="1" si="22"/>
        <v>4.2339092401350431</v>
      </c>
      <c r="AL6" s="58">
        <f t="shared" ca="1" si="23"/>
        <v>1.538300835194891</v>
      </c>
      <c r="AM6" s="58">
        <f t="shared" ca="1" si="24"/>
        <v>12.268805590447073</v>
      </c>
      <c r="AN6" s="58">
        <f t="shared" ca="1" si="25"/>
        <v>0.72995182002659931</v>
      </c>
      <c r="AO6" s="58">
        <f t="shared" ca="1" si="26"/>
        <v>4.3301344501381118</v>
      </c>
      <c r="AP6" s="58">
        <f t="shared" ca="1" si="27"/>
        <v>9.5262957903038448</v>
      </c>
      <c r="AQ6" s="58">
        <f t="shared" ca="1" si="28"/>
        <v>2.1650672250690559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3.0310941150966784</v>
      </c>
      <c r="AW6" s="58">
        <f t="shared" ca="1" si="34"/>
        <v>6.4150140002046108</v>
      </c>
      <c r="AX6" s="58">
        <f t="shared" ca="1" si="35"/>
        <v>1.5155470575483392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4.6669226851488537</v>
      </c>
      <c r="BD6" s="58">
        <f t="shared" ca="1" si="41"/>
        <v>5.5810621801780105</v>
      </c>
      <c r="BE6" s="58">
        <f t="shared" ca="1" si="42"/>
        <v>3.5570683354506536</v>
      </c>
      <c r="BF6" s="58">
        <f t="shared" ca="1" si="43"/>
        <v>12.479368615454746</v>
      </c>
      <c r="BG6" s="58">
        <f t="shared" ca="1" si="44"/>
        <v>3.3830459351232776</v>
      </c>
      <c r="BH6" s="58">
        <f t="shared" ca="1" si="45"/>
        <v>2.8867563000920744</v>
      </c>
      <c r="BI6" s="58">
        <f t="shared" ca="1" si="46"/>
        <v>1.0905523800347838</v>
      </c>
      <c r="BJ6" s="58">
        <f t="shared" ca="1" si="47"/>
        <v>1.2314481751560151</v>
      </c>
      <c r="BK6" s="58">
        <f t="shared" ca="1" si="48"/>
        <v>18.052270010657821</v>
      </c>
      <c r="BL6" s="58">
        <f t="shared" ca="1" si="49"/>
        <v>1.8950672250690561</v>
      </c>
      <c r="BM6" s="58">
        <f t="shared" ca="1" si="50"/>
        <v>4.5546599401452728</v>
      </c>
      <c r="BN6" s="58">
        <f t="shared" ca="1" si="51"/>
        <v>3.9131585401248121</v>
      </c>
      <c r="BO6" s="58">
        <f t="shared" ca="1" si="52"/>
        <v>2.5476845853227723</v>
      </c>
      <c r="BP6" s="58">
        <f t="shared" ca="1" si="53"/>
        <v>12.563593825457815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6.043555735266505</v>
      </c>
      <c r="BT6" s="58">
        <f t="shared" ca="1" si="57"/>
        <v>9.976264410575979</v>
      </c>
      <c r="BU6" s="58">
        <f t="shared" ca="1" si="58"/>
        <v>6.043555735266505</v>
      </c>
      <c r="BV6" s="58">
        <f t="shared" ca="1" si="59"/>
        <v>6.1453843053186805</v>
      </c>
      <c r="BW6" s="58">
        <f t="shared" ca="1" si="60"/>
        <v>9.2173854157002779</v>
      </c>
      <c r="BX6" s="58">
        <f t="shared" ca="1" si="61"/>
        <v>6.1453843053186805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63"/>
        <v>2.375</v>
      </c>
      <c r="M7" s="45">
        <f t="shared" si="64"/>
        <v>0.65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10.018070580300776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2.0988763203497318</v>
      </c>
      <c r="AI7" s="58">
        <f t="shared" ca="1" si="20"/>
        <v>1.4236190434773814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13.282805590447072</v>
      </c>
      <c r="AN7" s="58">
        <f t="shared" ca="1" si="25"/>
        <v>0.4699518200265993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1.1748795500664984</v>
      </c>
      <c r="AT7" s="58">
        <f t="shared" ca="1" si="31"/>
        <v>2.6479977551498766</v>
      </c>
      <c r="AU7" s="58">
        <f t="shared" ca="1" si="32"/>
        <v>0.58743977503324918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2.2864963551294157</v>
      </c>
      <c r="BA7" s="58">
        <f t="shared" ca="1" si="38"/>
        <v>4.9796817852818505</v>
      </c>
      <c r="BB7" s="58">
        <f t="shared" ca="1" si="39"/>
        <v>1.1432481775647079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12.626368615454744</v>
      </c>
      <c r="BG7" s="58">
        <f t="shared" ca="1" si="44"/>
        <v>2.1780459351232775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19.622270010657822</v>
      </c>
      <c r="BL7" s="58">
        <f t="shared" ca="1" si="49"/>
        <v>1.2200672250690561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13.704593825457815</v>
      </c>
      <c r="BQ7" s="58">
        <f t="shared" ca="1" si="54"/>
        <v>1.3375551800757057</v>
      </c>
      <c r="BR7" s="58">
        <f t="shared" ca="1" si="55"/>
        <v>6.5112392102076795</v>
      </c>
      <c r="BS7" s="58">
        <f t="shared" ca="1" si="56"/>
        <v>5.8605557352665052</v>
      </c>
      <c r="BT7" s="58">
        <f t="shared" ca="1" si="57"/>
        <v>10.176264410575978</v>
      </c>
      <c r="BU7" s="58">
        <f t="shared" ca="1" si="58"/>
        <v>5.8605557352665052</v>
      </c>
      <c r="BV7" s="58">
        <f t="shared" ca="1" si="59"/>
        <v>7.3983843053186806</v>
      </c>
      <c r="BW7" s="58">
        <f t="shared" ca="1" si="60"/>
        <v>12.372385415700277</v>
      </c>
      <c r="BX7" s="58">
        <f t="shared" ca="1" si="61"/>
        <v>7.3983843053186806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2</v>
      </c>
      <c r="I8" s="45">
        <v>14</v>
      </c>
      <c r="J8" s="45">
        <v>12</v>
      </c>
      <c r="K8" s="45">
        <v>10</v>
      </c>
      <c r="L8" s="45">
        <f t="shared" si="63"/>
        <v>4.125</v>
      </c>
      <c r="M8" s="45">
        <f t="shared" si="64"/>
        <v>0.9</v>
      </c>
      <c r="N8" s="45">
        <f t="shared" si="65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10"/>
        <v>1.5261882301933565</v>
      </c>
      <c r="Y8" s="58">
        <f t="shared" ca="1" si="11"/>
        <v>2.9191378053698327</v>
      </c>
      <c r="Z8" s="58">
        <f t="shared" ca="1" si="12"/>
        <v>0.76309411509667824</v>
      </c>
      <c r="AA8" s="58">
        <f t="shared" ca="1" si="13"/>
        <v>6.1744509751969376</v>
      </c>
      <c r="AB8" s="58">
        <f t="shared" ca="1" si="3"/>
        <v>3.7145322004706034</v>
      </c>
      <c r="AC8" s="58">
        <f t="shared" ca="1" si="14"/>
        <v>1.6715394902117713</v>
      </c>
      <c r="AD8" s="58">
        <f t="shared" ca="1" si="15"/>
        <v>2.6782683450854248</v>
      </c>
      <c r="AE8" s="58">
        <f t="shared" ca="1" si="16"/>
        <v>2.3740705803007764</v>
      </c>
      <c r="AF8" s="58">
        <f t="shared" ca="1" si="17"/>
        <v>3.0443013903856899</v>
      </c>
      <c r="AG8" s="58">
        <f t="shared" ca="1" si="18"/>
        <v>2.8585747803621597</v>
      </c>
      <c r="AH8" s="58">
        <f t="shared" ca="1" si="19"/>
        <v>1.9040293457011799</v>
      </c>
      <c r="AI8" s="58">
        <f t="shared" ca="1" si="20"/>
        <v>1.5915955183349688</v>
      </c>
      <c r="AJ8" s="58">
        <f t="shared" ca="1" si="21"/>
        <v>1.9582044752480896</v>
      </c>
      <c r="AK8" s="58">
        <f t="shared" ca="1" si="22"/>
        <v>1.0659092401350427</v>
      </c>
      <c r="AL8" s="58">
        <f t="shared" ca="1" si="23"/>
        <v>6.1103008351948915</v>
      </c>
      <c r="AM8" s="58">
        <f t="shared" ca="1" si="24"/>
        <v>5.9408055904470736</v>
      </c>
      <c r="AN8" s="58">
        <f t="shared" ca="1" si="25"/>
        <v>0.83395182002659929</v>
      </c>
      <c r="AO8" s="58">
        <f t="shared" ca="1" si="26"/>
        <v>1.0901344501381118</v>
      </c>
      <c r="AP8" s="58">
        <f t="shared" ca="1" si="27"/>
        <v>2.398295790303846</v>
      </c>
      <c r="AQ8" s="58">
        <f t="shared" ca="1" si="28"/>
        <v>0.54506722506905592</v>
      </c>
      <c r="AR8" s="58">
        <f t="shared" ca="1" si="29"/>
        <v>15.13943304048288</v>
      </c>
      <c r="AS8" s="58">
        <f t="shared" ca="1" si="30"/>
        <v>2.0848795500664985</v>
      </c>
      <c r="AT8" s="58">
        <f t="shared" ca="1" si="31"/>
        <v>4.3529977551498771</v>
      </c>
      <c r="AU8" s="58">
        <f t="shared" ca="1" si="32"/>
        <v>1.0424397750332492</v>
      </c>
      <c r="AV8" s="58">
        <f t="shared" ca="1" si="33"/>
        <v>0.76309411509667824</v>
      </c>
      <c r="AW8" s="58">
        <f t="shared" ca="1" si="34"/>
        <v>1.6150140002046101</v>
      </c>
      <c r="AX8" s="58">
        <f t="shared" ca="1" si="35"/>
        <v>0.38154705754833912</v>
      </c>
      <c r="AY8" s="58">
        <f t="shared" ca="1" si="36"/>
        <v>16.037535000511525</v>
      </c>
      <c r="AZ8" s="58">
        <f t="shared" ca="1" si="37"/>
        <v>4.0574963551294161</v>
      </c>
      <c r="BA8" s="58">
        <f t="shared" ca="1" si="38"/>
        <v>8.4166817852818507</v>
      </c>
      <c r="BB8" s="58">
        <f t="shared" ca="1" si="39"/>
        <v>2.028748177564708</v>
      </c>
      <c r="BC8" s="58">
        <f t="shared" ca="1" si="40"/>
        <v>1.1749226851488537</v>
      </c>
      <c r="BD8" s="58">
        <f t="shared" ca="1" si="41"/>
        <v>1.4050621801780105</v>
      </c>
      <c r="BE8" s="58">
        <f t="shared" ca="1" si="42"/>
        <v>14.129068335450654</v>
      </c>
      <c r="BF8" s="58">
        <f t="shared" ca="1" si="43"/>
        <v>7.3693686154547455</v>
      </c>
      <c r="BG8" s="58">
        <f t="shared" ca="1" si="44"/>
        <v>3.8650459351232773</v>
      </c>
      <c r="BH8" s="58">
        <f t="shared" ca="1" si="45"/>
        <v>0.72675630009207448</v>
      </c>
      <c r="BI8" s="58">
        <f t="shared" ca="1" si="46"/>
        <v>0.27455238003478372</v>
      </c>
      <c r="BJ8" s="58">
        <f t="shared" ca="1" si="47"/>
        <v>4.8914481751560155</v>
      </c>
      <c r="BK8" s="58">
        <f t="shared" ca="1" si="48"/>
        <v>8.6242700106578205</v>
      </c>
      <c r="BL8" s="58">
        <f t="shared" ca="1" si="49"/>
        <v>2.1650672250690559</v>
      </c>
      <c r="BM8" s="58">
        <f t="shared" ca="1" si="50"/>
        <v>1.1466599401452731</v>
      </c>
      <c r="BN8" s="58">
        <f t="shared" ca="1" si="51"/>
        <v>0.98515854012481208</v>
      </c>
      <c r="BO8" s="58">
        <f t="shared" ca="1" si="52"/>
        <v>10.119684585322773</v>
      </c>
      <c r="BP8" s="58">
        <f t="shared" ca="1" si="53"/>
        <v>5.9295938254578147</v>
      </c>
      <c r="BQ8" s="58">
        <f t="shared" ca="1" si="54"/>
        <v>2.3735551800757055</v>
      </c>
      <c r="BR8" s="58">
        <f t="shared" ca="1" si="55"/>
        <v>6.5112392102076795</v>
      </c>
      <c r="BS8" s="58">
        <f t="shared" ca="1" si="56"/>
        <v>6.3735557352665042</v>
      </c>
      <c r="BT8" s="58">
        <f t="shared" ca="1" si="57"/>
        <v>16.892264410575976</v>
      </c>
      <c r="BU8" s="58">
        <f t="shared" ca="1" si="58"/>
        <v>6.3735557352665042</v>
      </c>
      <c r="BV8" s="58">
        <f t="shared" ca="1" si="59"/>
        <v>6.81938430531868</v>
      </c>
      <c r="BW8" s="58">
        <f t="shared" ca="1" si="60"/>
        <v>19.955385415700277</v>
      </c>
      <c r="BX8" s="58">
        <f t="shared" ca="1" si="61"/>
        <v>6.81938430531868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63"/>
        <v>2.375</v>
      </c>
      <c r="M10" s="45">
        <f t="shared" si="64"/>
        <v>0.65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10.018070580300776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2.0988763203497318</v>
      </c>
      <c r="AI10" s="58">
        <f t="shared" ca="1" si="20"/>
        <v>1.4236190434773814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13.282805590447072</v>
      </c>
      <c r="AN10" s="58">
        <f t="shared" ca="1" si="25"/>
        <v>0.4699518200265993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1.1748795500664984</v>
      </c>
      <c r="AT10" s="58">
        <f t="shared" ca="1" si="31"/>
        <v>2.6479977551498766</v>
      </c>
      <c r="AU10" s="58">
        <f t="shared" ca="1" si="32"/>
        <v>0.58743977503324918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2.2864963551294157</v>
      </c>
      <c r="BA10" s="58">
        <f t="shared" ca="1" si="38"/>
        <v>4.9796817852818505</v>
      </c>
      <c r="BB10" s="58">
        <f t="shared" ca="1" si="39"/>
        <v>1.1432481775647079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12.626368615454744</v>
      </c>
      <c r="BG10" s="58">
        <f t="shared" ca="1" si="44"/>
        <v>2.1780459351232775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19.622270010657822</v>
      </c>
      <c r="BL10" s="58">
        <f t="shared" ca="1" si="49"/>
        <v>1.2200672250690561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13.704593825457815</v>
      </c>
      <c r="BQ10" s="58">
        <f t="shared" ca="1" si="54"/>
        <v>1.3375551800757057</v>
      </c>
      <c r="BR10" s="58">
        <f t="shared" ca="1" si="55"/>
        <v>6.5112392102076795</v>
      </c>
      <c r="BS10" s="58">
        <f t="shared" ca="1" si="56"/>
        <v>5.8605557352665052</v>
      </c>
      <c r="BT10" s="58">
        <f t="shared" ca="1" si="57"/>
        <v>10.176264410575978</v>
      </c>
      <c r="BU10" s="58">
        <f t="shared" ca="1" si="58"/>
        <v>5.8605557352665052</v>
      </c>
      <c r="BV10" s="58">
        <f t="shared" ca="1" si="59"/>
        <v>7.3983843053186806</v>
      </c>
      <c r="BW10" s="58">
        <f t="shared" ca="1" si="60"/>
        <v>12.372385415700277</v>
      </c>
      <c r="BX10" s="58">
        <f t="shared" ca="1" si="61"/>
        <v>7.3983843053186806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129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14.754532200470603</v>
      </c>
      <c r="D17" s="49">
        <f ca="1">AC4</f>
        <v>6.6395394902117708</v>
      </c>
      <c r="E17" s="49">
        <v>0</v>
      </c>
      <c r="F17" s="49">
        <f ca="1">AD4</f>
        <v>2.3442683450854247</v>
      </c>
      <c r="G17" s="49">
        <f ca="1">AE4</f>
        <v>2.3740705803007764</v>
      </c>
      <c r="H17" s="49">
        <v>0</v>
      </c>
      <c r="I17" s="49">
        <v>0</v>
      </c>
      <c r="J17" s="49">
        <f>L4</f>
        <v>5.125</v>
      </c>
      <c r="K17" s="49">
        <f t="shared" si="66"/>
        <v>0.4</v>
      </c>
      <c r="L17" s="49">
        <f t="shared" si="67"/>
        <v>0.8600000000000001</v>
      </c>
    </row>
    <row r="18" spans="1:24" x14ac:dyDescent="0.25">
      <c r="A18" s="48" t="s">
        <v>104</v>
      </c>
      <c r="B18" s="54">
        <f>1-0.135</f>
        <v>0.86499999999999999</v>
      </c>
      <c r="C18" s="49">
        <v>0</v>
      </c>
      <c r="D18" s="49">
        <v>0</v>
      </c>
      <c r="E18" s="49">
        <v>0</v>
      </c>
      <c r="F18" s="49">
        <f ca="1">BR5*B18</f>
        <v>5.6322219168296428</v>
      </c>
      <c r="G18" s="49">
        <f ca="1">BS5*B18</f>
        <v>5.5131257110055261</v>
      </c>
      <c r="H18" s="49">
        <f ca="1">BT5*B18</f>
        <v>14.61180871514822</v>
      </c>
      <c r="I18" s="49">
        <f ca="1">BU5*B18</f>
        <v>5.5131257110055261</v>
      </c>
      <c r="J18" s="49">
        <v>0</v>
      </c>
      <c r="K18" s="49">
        <f t="shared" si="66"/>
        <v>0.77849999999999997</v>
      </c>
      <c r="L18" s="49">
        <f t="shared" si="67"/>
        <v>0.32869999999999999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6.6395394902117708</v>
      </c>
      <c r="E19" s="49">
        <f ca="1">AB6</f>
        <v>14.754532200470603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8.2540705803007768</v>
      </c>
      <c r="J19" s="49">
        <f>L6</f>
        <v>5.125</v>
      </c>
      <c r="K19" s="49">
        <f t="shared" si="66"/>
        <v>0.4</v>
      </c>
      <c r="L19" s="49">
        <f t="shared" si="67"/>
        <v>0.8600000000000001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13.704593825457815</v>
      </c>
      <c r="H20" s="49">
        <f t="shared" ca="1" si="68"/>
        <v>1.3375551800757057</v>
      </c>
      <c r="I20" s="49">
        <v>0</v>
      </c>
      <c r="J20" s="49">
        <v>0</v>
      </c>
      <c r="K20" s="49">
        <f t="shared" si="66"/>
        <v>0.65</v>
      </c>
      <c r="L20" s="49">
        <f t="shared" si="67"/>
        <v>0.38</v>
      </c>
    </row>
    <row r="21" spans="1:24" x14ac:dyDescent="0.25">
      <c r="A21" s="48" t="s">
        <v>125</v>
      </c>
      <c r="B21" s="54">
        <f>1-0.175</f>
        <v>0.82499999999999996</v>
      </c>
      <c r="C21" s="49">
        <f ca="1">AV8*B21</f>
        <v>0.62955264495475949</v>
      </c>
      <c r="D21" s="49">
        <f ca="1">AW8*B21</f>
        <v>1.3323865501688033</v>
      </c>
      <c r="E21" s="49">
        <f ca="1">AX8*B21</f>
        <v>0.31477632247737974</v>
      </c>
      <c r="F21" s="49">
        <f ca="1">AY8*B21</f>
        <v>13.230966375422007</v>
      </c>
      <c r="G21" s="49">
        <f ca="1">AZ8*B21</f>
        <v>3.3474344929817681</v>
      </c>
      <c r="H21" s="49">
        <f ca="1">BA8*B21</f>
        <v>6.9437624728575269</v>
      </c>
      <c r="I21" s="49">
        <f ca="1">BB8*B21</f>
        <v>1.673717246490884</v>
      </c>
      <c r="J21" s="49">
        <v>0</v>
      </c>
      <c r="K21" s="49">
        <f>M8*B21</f>
        <v>0.74249999999999994</v>
      </c>
      <c r="L21" s="49">
        <f>N8*B21</f>
        <v>0.3135</v>
      </c>
      <c r="T21" s="62"/>
      <c r="X21" s="62"/>
    </row>
    <row r="22" spans="1:24" x14ac:dyDescent="0.25">
      <c r="A22" s="48" t="s">
        <v>125</v>
      </c>
      <c r="B22" s="54">
        <f>1-0.175</f>
        <v>0.82499999999999996</v>
      </c>
      <c r="C22" s="49">
        <f ca="1">AX9*B22</f>
        <v>0.31477632247737974</v>
      </c>
      <c r="D22" s="49">
        <f ca="1">AW9*B22</f>
        <v>1.3323865501688033</v>
      </c>
      <c r="E22" s="49">
        <f ca="1">AV9*B22</f>
        <v>0.62955264495475949</v>
      </c>
      <c r="F22" s="49">
        <f ca="1">AY9*B22</f>
        <v>13.230966375422007</v>
      </c>
      <c r="G22" s="49">
        <f ca="1">BB9*B22</f>
        <v>1.673717246490884</v>
      </c>
      <c r="H22" s="49">
        <f ca="1">BA9*B22</f>
        <v>6.9437624728575269</v>
      </c>
      <c r="I22" s="49">
        <f ca="1">AZ9*B22</f>
        <v>3.3474344929817681</v>
      </c>
      <c r="J22" s="49">
        <v>0</v>
      </c>
      <c r="K22" s="49">
        <f t="shared" ref="K22:K23" si="69">M9*B22</f>
        <v>0.74249999999999994</v>
      </c>
      <c r="L22" s="49">
        <f t="shared" ref="L22:L23" si="70">N9*B22</f>
        <v>0.3135</v>
      </c>
    </row>
    <row r="23" spans="1:24" x14ac:dyDescent="0.25">
      <c r="A23" s="48" t="s">
        <v>102</v>
      </c>
      <c r="B23" s="54">
        <f>1-0.175</f>
        <v>0.82499999999999996</v>
      </c>
      <c r="C23" s="49">
        <v>0</v>
      </c>
      <c r="D23" s="49">
        <f ca="1">BD10*B23</f>
        <v>1.1591762986468586</v>
      </c>
      <c r="E23" s="49">
        <f ca="1">BC10*B23</f>
        <v>0.96931121524780428</v>
      </c>
      <c r="F23" s="49">
        <f ca="1">BE10*B23</f>
        <v>11.65648137674679</v>
      </c>
      <c r="G23" s="49">
        <v>0</v>
      </c>
      <c r="H23" s="49">
        <f ca="1">BG10*B23</f>
        <v>1.7968878964767039</v>
      </c>
      <c r="I23" s="49">
        <f ca="1">BF10*B23</f>
        <v>10.416754107750164</v>
      </c>
      <c r="J23" s="49">
        <v>0</v>
      </c>
      <c r="K23" s="49">
        <f t="shared" si="69"/>
        <v>0.53625</v>
      </c>
      <c r="L23" s="49">
        <f t="shared" si="70"/>
        <v>0.3135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104</v>
      </c>
      <c r="B25" s="54">
        <f>1-0.135</f>
        <v>0.86499999999999999</v>
      </c>
      <c r="C25" s="49">
        <v>0</v>
      </c>
      <c r="D25" s="49">
        <v>0</v>
      </c>
      <c r="E25" s="49">
        <v>0</v>
      </c>
      <c r="F25" s="49">
        <f ca="1">BR12*B25</f>
        <v>5.6322219168296428</v>
      </c>
      <c r="G25" s="49">
        <f ca="1">BS12*B25</f>
        <v>5.5131257110055261</v>
      </c>
      <c r="H25" s="49">
        <f ca="1">BT12*B25</f>
        <v>14.61180871514822</v>
      </c>
      <c r="I25" s="49">
        <f ca="1">BU12*B25</f>
        <v>5.5131257110055261</v>
      </c>
      <c r="J25" s="49">
        <v>0</v>
      </c>
      <c r="K25" s="49">
        <f t="shared" ref="K25:K26" si="71">M12*B25</f>
        <v>0.77849999999999997</v>
      </c>
      <c r="L25" s="49">
        <f t="shared" ref="L25:L26" si="72">N12*B25</f>
        <v>0.32869999999999999</v>
      </c>
    </row>
    <row r="26" spans="1:24" x14ac:dyDescent="0.25">
      <c r="A26" s="48" t="s">
        <v>104</v>
      </c>
      <c r="B26" s="54">
        <f>1-0.135</f>
        <v>0.86499999999999999</v>
      </c>
      <c r="C26" s="49">
        <v>0</v>
      </c>
      <c r="D26" s="49">
        <v>0</v>
      </c>
      <c r="E26" s="49">
        <v>0</v>
      </c>
      <c r="F26" s="49">
        <f ca="1">BR13*B26</f>
        <v>5.6322219168296428</v>
      </c>
      <c r="G26" s="49">
        <f ca="1">BS13*B26</f>
        <v>5.5131257110055261</v>
      </c>
      <c r="H26" s="49">
        <f ca="1">BT13*B26</f>
        <v>14.61180871514822</v>
      </c>
      <c r="I26" s="49">
        <f ca="1">BU13*B26</f>
        <v>5.5131257110055261</v>
      </c>
      <c r="J26" s="49">
        <v>0</v>
      </c>
      <c r="K26" s="49">
        <f t="shared" si="71"/>
        <v>0.77849999999999997</v>
      </c>
      <c r="L26" s="49">
        <f t="shared" si="72"/>
        <v>0.32869999999999999</v>
      </c>
    </row>
    <row r="27" spans="1:24" x14ac:dyDescent="0.25">
      <c r="A27" s="50"/>
      <c r="B27" s="46"/>
      <c r="C27" s="51">
        <f ca="1">SUM(C16:C26)</f>
        <v>30.018289163494575</v>
      </c>
      <c r="D27" s="51">
        <f t="shared" ref="D27:L27" ca="1" si="73">SUM(D16:D26)</f>
        <v>37.792196985227982</v>
      </c>
      <c r="E27" s="51">
        <f t="shared" ca="1" si="73"/>
        <v>31.015863123745959</v>
      </c>
      <c r="F27" s="51">
        <f t="shared" ca="1" si="73"/>
        <v>73.044749328729381</v>
      </c>
      <c r="G27" s="51">
        <f t="shared" ca="1" si="73"/>
        <v>37.639193278247824</v>
      </c>
      <c r="H27" s="51">
        <f t="shared" ca="1" si="73"/>
        <v>62.077461392781188</v>
      </c>
      <c r="I27" s="51">
        <f t="shared" ca="1" si="73"/>
        <v>59.853623571198</v>
      </c>
      <c r="J27" s="52">
        <f t="shared" si="73"/>
        <v>10.25</v>
      </c>
      <c r="K27" s="52">
        <f t="shared" si="73"/>
        <v>6.97675</v>
      </c>
      <c r="L27" s="52">
        <f t="shared" si="73"/>
        <v>5.2666000000000004</v>
      </c>
    </row>
    <row r="28" spans="1:24" ht="15.75" x14ac:dyDescent="0.25">
      <c r="A28" s="50"/>
      <c r="B28" s="50" t="s">
        <v>105</v>
      </c>
      <c r="C28" s="53">
        <f ca="1">C27*0.34</f>
        <v>10.206218315588156</v>
      </c>
      <c r="D28" s="53">
        <f ca="1">D27*0.245</f>
        <v>9.2590882613808549</v>
      </c>
      <c r="E28" s="53">
        <f ca="1">E27*0.34</f>
        <v>10.545393462073626</v>
      </c>
      <c r="F28" s="53">
        <f ca="1">F27*0.125</f>
        <v>9.1305936660911726</v>
      </c>
      <c r="G28" s="53">
        <f ca="1">G27*0.25</f>
        <v>9.4097983195619559</v>
      </c>
      <c r="H28" s="53">
        <f ca="1">H27*0.19</f>
        <v>11.794717664628426</v>
      </c>
      <c r="I28" s="53">
        <f ca="1">I27*0.25</f>
        <v>14.9634058927995</v>
      </c>
    </row>
    <row r="29" spans="1:24" ht="15.75" x14ac:dyDescent="0.25">
      <c r="A29" s="50"/>
      <c r="B29" s="50" t="s">
        <v>106</v>
      </c>
      <c r="C29" s="53">
        <f ca="1">C28*1.2/1.05</f>
        <v>11.664249503529321</v>
      </c>
      <c r="D29" s="53">
        <f t="shared" ref="D29:E29" ca="1" si="74">D28*1.2/1.05</f>
        <v>10.581815155863834</v>
      </c>
      <c r="E29" s="53">
        <f t="shared" ca="1" si="74"/>
        <v>12.051878242369858</v>
      </c>
      <c r="F29" s="53">
        <f ca="1">F28</f>
        <v>9.1305936660911726</v>
      </c>
      <c r="G29" s="53">
        <f ca="1">G28*0.925/1.05</f>
        <v>8.28958423389982</v>
      </c>
      <c r="H29" s="53">
        <f t="shared" ref="H29:I29" ca="1" si="75">H28*0.925/1.05</f>
        <v>10.390584609315518</v>
      </c>
      <c r="I29" s="53">
        <f t="shared" ca="1" si="75"/>
        <v>13.182048048418608</v>
      </c>
    </row>
    <row r="30" spans="1:24" ht="15.75" x14ac:dyDescent="0.25">
      <c r="A30" s="50"/>
      <c r="B30" s="50" t="s">
        <v>107</v>
      </c>
      <c r="C30" s="53">
        <f ca="1">C28*0.925/1.05</f>
        <v>8.9911923256371846</v>
      </c>
      <c r="D30" s="53">
        <f t="shared" ref="D30:E30" ca="1" si="76">D28*0.925/1.05</f>
        <v>8.1568158493117071</v>
      </c>
      <c r="E30" s="53">
        <f t="shared" ca="1" si="76"/>
        <v>9.2899894784934336</v>
      </c>
      <c r="F30" s="53">
        <f ca="1">F29</f>
        <v>9.1305936660911726</v>
      </c>
      <c r="G30" s="53">
        <f ca="1">G28*1.135/1.05</f>
        <v>10.171543897812208</v>
      </c>
      <c r="H30" s="53">
        <f t="shared" ref="H30:I30" ca="1" si="77">H28*1.135/1.05</f>
        <v>12.749528142241202</v>
      </c>
      <c r="I30" s="53">
        <f t="shared" ca="1" si="77"/>
        <v>16.174729226978506</v>
      </c>
    </row>
  </sheetData>
  <conditionalFormatting sqref="O3:P13">
    <cfRule type="cellIs" dxfId="63" priority="20" operator="greaterThan">
      <formula>15</formula>
    </cfRule>
  </conditionalFormatting>
  <conditionalFormatting sqref="L3:L13">
    <cfRule type="cellIs" dxfId="62" priority="19" operator="greaterThan">
      <formula>3.2</formula>
    </cfRule>
  </conditionalFormatting>
  <conditionalFormatting sqref="M3:N13">
    <cfRule type="cellIs" dxfId="61" priority="18" operator="greaterThan">
      <formula>0.6</formula>
    </cfRule>
  </conditionalFormatting>
  <conditionalFormatting sqref="Q3:V13 AB3:AC13 AJ3:AK13 AO3:AQ13 BC3:BC13 BH3:BI13">
    <cfRule type="cellIs" dxfId="60" priority="17" operator="greaterThan">
      <formula>12.5</formula>
    </cfRule>
  </conditionalFormatting>
  <conditionalFormatting sqref="W3:W13 AL3:AL13 AR3:AR13 BE3:BE13 BJ3:BJ13 BR3:BR13">
    <cfRule type="cellIs" dxfId="59" priority="16" operator="greaterThan">
      <formula>12.5</formula>
    </cfRule>
  </conditionalFormatting>
  <conditionalFormatting sqref="AE3:AE13 AM3:AN13 AS3:AU13 BF3:BG13 BK3:BL13 BS3:BX13">
    <cfRule type="cellIs" dxfId="58" priority="15" operator="greaterThan">
      <formula>12.5</formula>
    </cfRule>
  </conditionalFormatting>
  <conditionalFormatting sqref="D3:D13">
    <cfRule type="cellIs" dxfId="57" priority="14" operator="greaterThan">
      <formula>7</formula>
    </cfRule>
  </conditionalFormatting>
  <conditionalFormatting sqref="E3:K4 E6:K11">
    <cfRule type="colorScale" priority="21">
      <colorScale>
        <cfvo type="min"/>
        <cfvo type="max"/>
        <color rgb="FFFCFCFF"/>
        <color rgb="FFF8696B"/>
      </colorScale>
    </cfRule>
  </conditionalFormatting>
  <conditionalFormatting sqref="AF3:AG13">
    <cfRule type="cellIs" dxfId="56" priority="13" operator="greaterThan">
      <formula>12.5</formula>
    </cfRule>
  </conditionalFormatting>
  <conditionalFormatting sqref="AI3:AI13">
    <cfRule type="cellIs" dxfId="55" priority="12" operator="greaterThan">
      <formula>12.5</formula>
    </cfRule>
  </conditionalFormatting>
  <conditionalFormatting sqref="BY3:BY13">
    <cfRule type="cellIs" dxfId="54" priority="11" operator="greaterThan">
      <formula>12.5</formula>
    </cfRule>
  </conditionalFormatting>
  <conditionalFormatting sqref="BM3:BN13">
    <cfRule type="cellIs" dxfId="53" priority="10" operator="greaterThan">
      <formula>12.5</formula>
    </cfRule>
  </conditionalFormatting>
  <conditionalFormatting sqref="BO3:BO13">
    <cfRule type="cellIs" dxfId="52" priority="9" operator="greaterThan">
      <formula>12.5</formula>
    </cfRule>
  </conditionalFormatting>
  <conditionalFormatting sqref="BP3:BQ13">
    <cfRule type="cellIs" dxfId="51" priority="8" operator="greaterThan">
      <formula>12.5</formula>
    </cfRule>
  </conditionalFormatting>
  <conditionalFormatting sqref="AV3:AX13">
    <cfRule type="cellIs" dxfId="50" priority="7" operator="greaterThan">
      <formula>12.5</formula>
    </cfRule>
  </conditionalFormatting>
  <conditionalFormatting sqref="AY3:AY13">
    <cfRule type="cellIs" dxfId="49" priority="6" operator="greaterThan">
      <formula>12.5</formula>
    </cfRule>
  </conditionalFormatting>
  <conditionalFormatting sqref="AZ3:BB13">
    <cfRule type="cellIs" dxfId="48" priority="5" operator="greaterThan">
      <formula>12.5</formula>
    </cfRule>
  </conditionalFormatting>
  <conditionalFormatting sqref="E12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X3:Z13">
    <cfRule type="cellIs" dxfId="47" priority="3" operator="greaterThan">
      <formula>12.5</formula>
    </cfRule>
  </conditionalFormatting>
  <conditionalFormatting sqref="AA3:AA13">
    <cfRule type="cellIs" dxfId="46" priority="2" operator="greaterThan">
      <formula>12.5</formula>
    </cfRule>
  </conditionalFormatting>
  <conditionalFormatting sqref="E5:K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7030A0"/>
  </sheetPr>
  <dimension ref="A1:BY30"/>
  <sheetViews>
    <sheetView zoomScale="80" zoomScaleNormal="80" workbookViewId="0">
      <pane xSplit="11" ySplit="2" topLeftCell="L18" activePane="bottomRight" state="frozen"/>
      <selection pane="topRight" activeCell="L1" sqref="L1"/>
      <selection pane="bottomLeft" activeCell="A3" sqref="A3"/>
      <selection pane="bottomRight" activeCell="S24" sqref="S24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6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15</v>
      </c>
      <c r="G4" s="45">
        <v>2</v>
      </c>
      <c r="H4" s="45">
        <v>7</v>
      </c>
      <c r="I4" s="45">
        <v>12</v>
      </c>
      <c r="J4" s="45">
        <v>2</v>
      </c>
      <c r="K4" s="45">
        <v>19</v>
      </c>
      <c r="L4" s="45">
        <f>((2*(I4+1))+(F4+1))/8</f>
        <v>5.25</v>
      </c>
      <c r="M4" s="45">
        <f>(0.5*J4+ 0.3*K4)/10</f>
        <v>0.67</v>
      </c>
      <c r="N4" s="45">
        <f>(0.4*F4+0.3*K4)/10</f>
        <v>1.17</v>
      </c>
      <c r="O4" s="45">
        <f t="shared" ca="1" si="0"/>
        <v>19.476972753142121</v>
      </c>
      <c r="P4" s="45">
        <f t="shared" ca="1" si="1"/>
        <v>21.022502819241964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5.9187680554465611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9.0054576856603781</v>
      </c>
      <c r="S4" s="58">
        <f t="shared" ref="S4:S13" ca="1" si="6">Q4</f>
        <v>5.9187680554465611</v>
      </c>
      <c r="T4" s="58">
        <f t="shared" ref="T4:T13" ca="1" si="7">IF(TODAY()-B4&gt;335,((F4+1+(LOG(D4)*4/3))*0.516),((F4+(((TODAY()-B4)^0.5)/(336^0.516))+(LOG(D4)*4/3))*0.516))</f>
        <v>8.791368060263947</v>
      </c>
      <c r="U4" s="58">
        <f t="shared" ca="1" si="2"/>
        <v>17.037535000511525</v>
      </c>
      <c r="V4" s="58">
        <f t="shared" ref="V4:V13" ca="1" si="8">T4/2</f>
        <v>4.3956840301319735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ref="X4:X13" ca="1" si="10">IF(TODAY()-B4&gt;335,((F4+1+(LOG(D4)*4/3))*0.378),((F4+(((TODAY()-B4)^0.5)/(336^0.516))+(LOG(D4)*4/3))*0.378))</f>
        <v>6.4401882301933568</v>
      </c>
      <c r="Y4" s="58">
        <f t="shared" ref="Y4:Y13" ca="1" si="11">IF(TODAY()-B4&gt;335,((F4+1+(LOG(D4)*4/3))*0.723),((F4+(((TODAY()-B4)^0.5)/(336^0.5))+(LOG(D4)*4/3))*0.723))</f>
        <v>12.318137805369831</v>
      </c>
      <c r="Z4" s="58">
        <f t="shared" ref="Z4:Z13" ca="1" si="12">X4/2</f>
        <v>3.2200941150966784</v>
      </c>
      <c r="AA4" s="58">
        <f t="shared" ref="AA4:AA13" ca="1" si="13">IF(TODAY()-B4&gt;335,((G4+1+(LOG(D4)*4/3))*0.385),((G4+(((TODAY()-B4)^0.5)/(336^0.238))+(LOG(D4)*4/3))*0.385))</f>
        <v>1.5544509751969373</v>
      </c>
      <c r="AB4" s="58">
        <f t="shared" ca="1" si="3"/>
        <v>15.674532200470605</v>
      </c>
      <c r="AC4" s="58">
        <f t="shared" ref="AC4:AC13" ca="1" si="14">IF(TODAY()-B4&gt;335,((F4+1+(LOG(D4)*4/3))*0.414),((F4+(((TODAY()-B4)^0.5)/(336^0.414))+(LOG(D4)*4/3))*0.414))</f>
        <v>7.0535394902117714</v>
      </c>
      <c r="AD4" s="58">
        <f t="shared" ref="AD4:AD13" ca="1" si="15">IF(TODAY()-B4&gt;335,((G4+1+(LOG(D4)*4/3))*0.167),((G4+(((TODAY()-B4)^0.5)/(336^0.5))+(LOG(D4)*4/3))*0.167))</f>
        <v>0.67426834508542477</v>
      </c>
      <c r="AE4" s="58">
        <f t="shared" ref="AE4:AE13" ca="1" si="16">IF(TODAY()-B4&gt;335,((H4+1+(LOG(D4)*4/3))*0.588),((H4+(((TODAY()-B4)^0.5)/(336^0.5))+(LOG(D4)*4/3))*0.588))</f>
        <v>5.3140705803007764</v>
      </c>
      <c r="AF4" s="58">
        <f t="shared" ref="AF4:AF13" ca="1" si="17">IF(TODAY()-B4&gt;335,((F4+1+(LOG(D4)*4/3))*0.754),((F4+(((TODAY()-B4)^0.5)/(336^0.5))+(LOG(D4)*4/3))*0.754))</f>
        <v>12.84630139038569</v>
      </c>
      <c r="AG4" s="58">
        <f t="shared" ref="AG4:AG13" ca="1" si="18">IF(TODAY()-B4&gt;335,((F4+1+(LOG(D4)*4/3))*0.708),((F4+(((TODAY()-B4)^0.5)/(336^0.414))+(LOG(D4)*4/3))*0.708))</f>
        <v>12.062574780362159</v>
      </c>
      <c r="AH4" s="58">
        <f t="shared" ref="AH4:AH13" ca="1" si="19">IF(TODAY()-F4&gt;335,((K4+1+(LOG(H4)*4/3))*0.167),((K4+(((TODAY()-F4)^0.5)/(336^0.5))+(LOG(H4)*4/3))*0.167))</f>
        <v>3.5281751635765084</v>
      </c>
      <c r="AI4" s="58">
        <f t="shared" ref="AI4:AI13" ca="1" si="20">IF(TODAY()-F4&gt;335,((L4+1+(LOG(H4)*4/3))*0.288),((L4+(((TODAY()-F4)^0.5)/(336^0.5))+(LOG(H4)*4/3))*0.288))</f>
        <v>2.1245176473654745</v>
      </c>
      <c r="AJ4" s="58">
        <f t="shared" ref="AJ4:AJ13" ca="1" si="21">IF(TODAY()-B4&gt;335,((F4+1+(LOG(D4)*4/3))*0.485),((F4+(((TODAY()-B4)^0.5)/(336^0.5))+(LOG(D4)*4/3))*0.485))</f>
        <v>8.2632044752480898</v>
      </c>
      <c r="AK4" s="58">
        <f t="shared" ref="AK4:AK13" ca="1" si="22">IF(TODAY()-B4&gt;335,((F4+1+(LOG(D4)*4/3))*0.264),((F4+(((TODAY()-B4)^0.5)/(336^0.5))+(LOG(D4)*4/3))*0.264))</f>
        <v>4.4979092401350425</v>
      </c>
      <c r="AL4" s="58">
        <f t="shared" ref="AL4:AL13" ca="1" si="23">IF(TODAY()-B4&gt;335,((G4+1+(LOG(D4)*4/3))*0.381),((G4+(((TODAY()-B4)^0.5)/(336^0.5))+(LOG(D4)*4/3))*0.381))</f>
        <v>1.538300835194891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8.9038055904470745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4.6001344501381123</v>
      </c>
      <c r="AP4" s="58">
        <f t="shared" ref="AP4:AP13" ca="1" si="27">IF(TODAY()-B4&gt;335,((F4+1+(LOG(D4)*4/3))*0.594),((F4+(((TODAY()-B4)^0.5)/(336^0.5))+(LOG(D4)*4/3))*0.594))</f>
        <v>10.120295790303846</v>
      </c>
      <c r="AQ4" s="58">
        <f t="shared" ref="AQ4:AQ13" ca="1" si="28">AO4/2</f>
        <v>2.3000672250690561</v>
      </c>
      <c r="AR4" s="58">
        <f t="shared" ref="AR4:AR13" ca="1" si="29">IF(TODAY()-B4&gt;335,((G4+1+(LOG(D4)*4/3))*0.944),((G4+(((TODAY()-B4)^0.5)/(336^0.5))+(LOG(D4)*4/3))*0.944))</f>
        <v>3.8114330404828793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3.2200941150966784</v>
      </c>
      <c r="AW4" s="58">
        <f t="shared" ref="AW4:AW13" ca="1" si="34">IF(TODAY()-B4&gt;335,((F4+1+(LOG(D4)*4/3))*0.4),((F4+(((TODAY()-B4)^0.5)/(336^0.5))+(LOG(D4)*4/3))*0.4))</f>
        <v>6.8150140002046102</v>
      </c>
      <c r="AX4" s="58">
        <f t="shared" ref="AX4:AX13" ca="1" si="35">AV4/2</f>
        <v>1.6100470575483392</v>
      </c>
      <c r="AY4" s="58">
        <f t="shared" ref="AY4:AY13" ca="1" si="36">IF(TODAY()-B4&gt;335,((G4+1+(LOG(D4)*4/3))*1),((G4+(((TODAY()-B4)^0.5)/(336^0.5))+(LOG(D4)*4/3))*1))</f>
        <v>4.0375350005115251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4.9579226851488531</v>
      </c>
      <c r="BD4" s="58">
        <f t="shared" ref="BD4:BD13" ca="1" si="41">IF(TODAY()-B4&gt;335,((F4+1+(LOG(D4)*4/3))*0.348),((F4+(((TODAY()-B4)^0.5)/(336^0.5))+(LOG(D4)*4/3))*0.348))</f>
        <v>5.9290621801780103</v>
      </c>
      <c r="BE4" s="58">
        <f t="shared" ref="BE4:BE13" ca="1" si="42">IF(TODAY()-B4&gt;335,((G4+1+(LOG(D4)*4/3))*0.881),((G4+(((TODAY()-B4)^0.5)/(336^0.5))+(LOG(D4)*4/3))*0.881))</f>
        <v>3.5570683354506536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9.6093686154547449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3.0667563000920746</v>
      </c>
      <c r="BI4" s="58">
        <f t="shared" ref="BI4:BI13" ca="1" si="46">IF(TODAY()-B4&gt;335,((F4+1+(LOG(D4)*4/3))*0.068),((F4+(((TODAY()-B4)^0.5)/(336^0.5))+(LOG(D4)*4/3))*0.068))</f>
        <v>1.1585523800347839</v>
      </c>
      <c r="BJ4" s="58">
        <f t="shared" ref="BJ4:BJ13" ca="1" si="47">IF(TODAY()-B4&gt;335,((G4+1+(LOG(D4)*4/3))*0.305),((G4+(((TODAY()-B4)^0.5)/(336^0.5))+(LOG(D4)*4/3))*0.305))</f>
        <v>1.2314481751560151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13.052270010657821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4.8386599401452726</v>
      </c>
      <c r="BN4" s="58">
        <f t="shared" ref="BN4:BN13" ca="1" si="51">IF(TODAY()-B4&gt;335,((F4+1+(LOG(D4)*4/3))*0.244),((F4+(((TODAY()-B4)^0.5)/(336^0.5))+(LOG(D4)*4/3))*0.244))</f>
        <v>4.1571585401248123</v>
      </c>
      <c r="BO4" s="58">
        <f t="shared" ref="BO4:BO13" ca="1" si="52">IF(TODAY()-B4&gt;335,((G4+1+(LOG(D4)*4/3))*0.631),((G4+(((TODAY()-B4)^0.5)/(336^0.5))+(LOG(D4)*4/3))*0.631))</f>
        <v>2.5476845853227723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9.0535938254578134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1.6392392102076794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5.3235557352665044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5.3235557352665044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5.0403843053186801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5.0403843053186801</v>
      </c>
      <c r="BY4" s="58">
        <f t="shared" ref="BY4:BY13" ca="1" si="62">IF(TODAY()-B4&gt;335,((G4+1+(LOG(D4)*4/3))*0.25),((G4+(((TODAY()-B4)^0.5)/(336^0.5))+(LOG(D4)*4/3))*0.25))</f>
        <v>1.0093837501278813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2</v>
      </c>
      <c r="J5" s="45">
        <v>2</v>
      </c>
      <c r="K5" s="45">
        <v>10</v>
      </c>
      <c r="L5" s="45">
        <f t="shared" ref="L5:L13" si="63">((2*(I5+1))+(F5+1))/8</f>
        <v>2.375</v>
      </c>
      <c r="M5" s="45">
        <f t="shared" ref="M5:M13" si="64">(0.5*J5+ 0.3*K5)/10</f>
        <v>0.4</v>
      </c>
      <c r="N5" s="45">
        <f t="shared" ref="N5:N13" si="65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2"/>
        <v>14.037535000511525</v>
      </c>
      <c r="V5" s="58">
        <f t="shared" ca="1" si="8"/>
        <v>3.6216840301319735</v>
      </c>
      <c r="W5" s="58">
        <f t="shared" ca="1" si="9"/>
        <v>3.816933330121743</v>
      </c>
      <c r="X5" s="58">
        <f t="shared" ca="1" si="10"/>
        <v>5.3061882301933565</v>
      </c>
      <c r="Y5" s="58">
        <f t="shared" ca="1" si="11"/>
        <v>10.149137805369833</v>
      </c>
      <c r="Z5" s="58">
        <f t="shared" ca="1" si="12"/>
        <v>2.6530941150966783</v>
      </c>
      <c r="AA5" s="58">
        <f t="shared" ca="1" si="13"/>
        <v>6.1744509751969376</v>
      </c>
      <c r="AB5" s="58">
        <f t="shared" ca="1" si="3"/>
        <v>12.914532200470603</v>
      </c>
      <c r="AC5" s="58">
        <f t="shared" ca="1" si="14"/>
        <v>5.8115394902117714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10.58430139038569</v>
      </c>
      <c r="AG5" s="58">
        <f t="shared" ca="1" si="18"/>
        <v>9.9385747803621598</v>
      </c>
      <c r="AH5" s="58">
        <f t="shared" ca="1" si="19"/>
        <v>1.9040293457011799</v>
      </c>
      <c r="AI5" s="58">
        <f t="shared" ca="1" si="20"/>
        <v>1.0875955183349686</v>
      </c>
      <c r="AJ5" s="58">
        <f t="shared" ca="1" si="21"/>
        <v>6.8082044752480897</v>
      </c>
      <c r="AK5" s="58">
        <f t="shared" ca="1" si="22"/>
        <v>3.7059092401350426</v>
      </c>
      <c r="AL5" s="58">
        <f t="shared" ca="1" si="23"/>
        <v>6.1103008351948915</v>
      </c>
      <c r="AM5" s="58">
        <f t="shared" ca="1" si="24"/>
        <v>3.5288055904470732</v>
      </c>
      <c r="AN5" s="58">
        <f t="shared" ca="1" si="25"/>
        <v>0.20995182002659929</v>
      </c>
      <c r="AO5" s="58">
        <f t="shared" ca="1" si="26"/>
        <v>3.7901344501381122</v>
      </c>
      <c r="AP5" s="58">
        <f t="shared" ca="1" si="27"/>
        <v>8.3382957903038459</v>
      </c>
      <c r="AQ5" s="58">
        <f t="shared" ca="1" si="28"/>
        <v>1.8950672250690561</v>
      </c>
      <c r="AR5" s="58">
        <f t="shared" ca="1" si="29"/>
        <v>15.13943304048288</v>
      </c>
      <c r="AS5" s="58">
        <f t="shared" ca="1" si="30"/>
        <v>0.52487955006649833</v>
      </c>
      <c r="AT5" s="58">
        <f t="shared" ca="1" si="31"/>
        <v>1.1829977551498767</v>
      </c>
      <c r="AU5" s="58">
        <f t="shared" ca="1" si="32"/>
        <v>0.26243977503324917</v>
      </c>
      <c r="AV5" s="58">
        <f t="shared" ca="1" si="33"/>
        <v>2.6530941150966783</v>
      </c>
      <c r="AW5" s="58">
        <f t="shared" ca="1" si="34"/>
        <v>5.6150140002046101</v>
      </c>
      <c r="AX5" s="58">
        <f t="shared" ca="1" si="35"/>
        <v>1.3265470575483391</v>
      </c>
      <c r="AY5" s="58">
        <f t="shared" ca="1" si="36"/>
        <v>16.037535000511525</v>
      </c>
      <c r="AZ5" s="58">
        <f t="shared" ca="1" si="37"/>
        <v>1.0214963551294158</v>
      </c>
      <c r="BA5" s="58">
        <f t="shared" ca="1" si="38"/>
        <v>2.2246817852818506</v>
      </c>
      <c r="BB5" s="58">
        <f t="shared" ca="1" si="39"/>
        <v>0.51074817756470792</v>
      </c>
      <c r="BC5" s="58">
        <f t="shared" ca="1" si="40"/>
        <v>4.0849226851488538</v>
      </c>
      <c r="BD5" s="58">
        <f t="shared" ca="1" si="41"/>
        <v>4.8850621801780107</v>
      </c>
      <c r="BE5" s="58">
        <f t="shared" ca="1" si="42"/>
        <v>14.129068335450654</v>
      </c>
      <c r="BF5" s="58">
        <f t="shared" ca="1" si="43"/>
        <v>3.5893686154547457</v>
      </c>
      <c r="BG5" s="58">
        <f t="shared" ca="1" si="44"/>
        <v>0.97304593512327753</v>
      </c>
      <c r="BH5" s="58">
        <f t="shared" ca="1" si="45"/>
        <v>2.5267563000920745</v>
      </c>
      <c r="BI5" s="58">
        <f t="shared" ca="1" si="46"/>
        <v>0.95455238003478382</v>
      </c>
      <c r="BJ5" s="58">
        <f t="shared" ca="1" si="47"/>
        <v>4.8914481751560155</v>
      </c>
      <c r="BK5" s="58">
        <f t="shared" ca="1" si="48"/>
        <v>5.192270010657821</v>
      </c>
      <c r="BL5" s="58">
        <f t="shared" ca="1" si="49"/>
        <v>0.54506722506905592</v>
      </c>
      <c r="BM5" s="58">
        <f t="shared" ca="1" si="50"/>
        <v>3.9866599401452727</v>
      </c>
      <c r="BN5" s="58">
        <f t="shared" ca="1" si="51"/>
        <v>3.4251585401248121</v>
      </c>
      <c r="BO5" s="58">
        <f t="shared" ca="1" si="52"/>
        <v>10.119684585322773</v>
      </c>
      <c r="BP5" s="58">
        <f t="shared" ca="1" si="53"/>
        <v>3.6135938254578148</v>
      </c>
      <c r="BQ5" s="58">
        <f t="shared" ca="1" si="54"/>
        <v>0.59755518007570574</v>
      </c>
      <c r="BR5" s="58">
        <f t="shared" ca="1" si="55"/>
        <v>6.5112392102076795</v>
      </c>
      <c r="BS5" s="58">
        <f t="shared" ca="1" si="56"/>
        <v>2.1035557352665046</v>
      </c>
      <c r="BT5" s="58">
        <f t="shared" ca="1" si="57"/>
        <v>4.5462644105759775</v>
      </c>
      <c r="BU5" s="58">
        <f t="shared" ca="1" si="58"/>
        <v>2.1035557352665046</v>
      </c>
      <c r="BV5" s="58">
        <f t="shared" ca="1" si="59"/>
        <v>2.5153843053186802</v>
      </c>
      <c r="BW5" s="58">
        <f t="shared" ca="1" si="60"/>
        <v>5.5273854157002784</v>
      </c>
      <c r="BX5" s="58">
        <f t="shared" ca="1" si="61"/>
        <v>2.5153843053186802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15</v>
      </c>
      <c r="G6" s="45">
        <v>2</v>
      </c>
      <c r="H6" s="45">
        <v>7</v>
      </c>
      <c r="I6" s="45">
        <v>12</v>
      </c>
      <c r="J6" s="45">
        <v>2</v>
      </c>
      <c r="K6" s="45">
        <v>10</v>
      </c>
      <c r="L6" s="45">
        <f t="shared" si="63"/>
        <v>5.25</v>
      </c>
      <c r="M6" s="45">
        <f t="shared" si="64"/>
        <v>0.4</v>
      </c>
      <c r="N6" s="45">
        <f t="shared" si="65"/>
        <v>0.9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5.9187680554465611</v>
      </c>
      <c r="R6" s="58">
        <f t="shared" ca="1" si="5"/>
        <v>9.0054576856603781</v>
      </c>
      <c r="S6" s="58">
        <f t="shared" ca="1" si="6"/>
        <v>5.9187680554465611</v>
      </c>
      <c r="T6" s="58">
        <f t="shared" ca="1" si="7"/>
        <v>8.791368060263947</v>
      </c>
      <c r="U6" s="58">
        <f t="shared" ca="1" si="2"/>
        <v>17.037535000511525</v>
      </c>
      <c r="V6" s="58">
        <f t="shared" ca="1" si="8"/>
        <v>4.3956840301319735</v>
      </c>
      <c r="W6" s="58">
        <f t="shared" ca="1" si="9"/>
        <v>0.96093333012174298</v>
      </c>
      <c r="X6" s="58">
        <f t="shared" ca="1" si="10"/>
        <v>6.4401882301933568</v>
      </c>
      <c r="Y6" s="58">
        <f t="shared" ca="1" si="11"/>
        <v>12.318137805369831</v>
      </c>
      <c r="Z6" s="58">
        <f t="shared" ca="1" si="12"/>
        <v>3.2200941150966784</v>
      </c>
      <c r="AA6" s="58">
        <f t="shared" ca="1" si="13"/>
        <v>1.5544509751969373</v>
      </c>
      <c r="AB6" s="58">
        <f t="shared" ca="1" si="3"/>
        <v>15.674532200470605</v>
      </c>
      <c r="AC6" s="58">
        <f t="shared" ca="1" si="14"/>
        <v>7.0535394902117714</v>
      </c>
      <c r="AD6" s="58">
        <f t="shared" ca="1" si="15"/>
        <v>0.67426834508542477</v>
      </c>
      <c r="AE6" s="58">
        <f t="shared" ca="1" si="16"/>
        <v>5.3140705803007764</v>
      </c>
      <c r="AF6" s="58">
        <f t="shared" ca="1" si="17"/>
        <v>12.84630139038569</v>
      </c>
      <c r="AG6" s="58">
        <f t="shared" ca="1" si="18"/>
        <v>12.062574780362159</v>
      </c>
      <c r="AH6" s="58">
        <f t="shared" ca="1" si="19"/>
        <v>2.0251751635765078</v>
      </c>
      <c r="AI6" s="58">
        <f t="shared" ca="1" si="20"/>
        <v>2.1245176473654745</v>
      </c>
      <c r="AJ6" s="58">
        <f t="shared" ca="1" si="21"/>
        <v>8.2632044752480898</v>
      </c>
      <c r="AK6" s="58">
        <f t="shared" ca="1" si="22"/>
        <v>4.4979092401350425</v>
      </c>
      <c r="AL6" s="58">
        <f t="shared" ca="1" si="23"/>
        <v>1.538300835194891</v>
      </c>
      <c r="AM6" s="58">
        <f t="shared" ca="1" si="24"/>
        <v>8.9038055904470745</v>
      </c>
      <c r="AN6" s="58">
        <f t="shared" ca="1" si="25"/>
        <v>0.72995182002659931</v>
      </c>
      <c r="AO6" s="58">
        <f t="shared" ca="1" si="26"/>
        <v>4.6001344501381123</v>
      </c>
      <c r="AP6" s="58">
        <f t="shared" ca="1" si="27"/>
        <v>10.120295790303846</v>
      </c>
      <c r="AQ6" s="58">
        <f t="shared" ca="1" si="28"/>
        <v>2.3000672250690561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3.2200941150966784</v>
      </c>
      <c r="AW6" s="58">
        <f t="shared" ca="1" si="34"/>
        <v>6.8150140002046102</v>
      </c>
      <c r="AX6" s="58">
        <f t="shared" ca="1" si="35"/>
        <v>1.6100470575483392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4.9579226851488531</v>
      </c>
      <c r="BD6" s="58">
        <f t="shared" ca="1" si="41"/>
        <v>5.9290621801780103</v>
      </c>
      <c r="BE6" s="58">
        <f t="shared" ca="1" si="42"/>
        <v>3.5570683354506536</v>
      </c>
      <c r="BF6" s="58">
        <f t="shared" ca="1" si="43"/>
        <v>9.6093686154547449</v>
      </c>
      <c r="BG6" s="58">
        <f t="shared" ca="1" si="44"/>
        <v>3.3830459351232776</v>
      </c>
      <c r="BH6" s="58">
        <f t="shared" ca="1" si="45"/>
        <v>3.0667563000920746</v>
      </c>
      <c r="BI6" s="58">
        <f t="shared" ca="1" si="46"/>
        <v>1.1585523800347839</v>
      </c>
      <c r="BJ6" s="58">
        <f t="shared" ca="1" si="47"/>
        <v>1.2314481751560151</v>
      </c>
      <c r="BK6" s="58">
        <f t="shared" ca="1" si="48"/>
        <v>13.052270010657821</v>
      </c>
      <c r="BL6" s="58">
        <f t="shared" ca="1" si="49"/>
        <v>1.8950672250690561</v>
      </c>
      <c r="BM6" s="58">
        <f t="shared" ca="1" si="50"/>
        <v>4.8386599401452726</v>
      </c>
      <c r="BN6" s="58">
        <f t="shared" ca="1" si="51"/>
        <v>4.1571585401248123</v>
      </c>
      <c r="BO6" s="58">
        <f t="shared" ca="1" si="52"/>
        <v>2.5476845853227723</v>
      </c>
      <c r="BP6" s="58">
        <f t="shared" ca="1" si="53"/>
        <v>9.0535938254578134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5.3235557352665044</v>
      </c>
      <c r="BT6" s="58">
        <f t="shared" ca="1" si="57"/>
        <v>9.976264410575979</v>
      </c>
      <c r="BU6" s="58">
        <f t="shared" ca="1" si="58"/>
        <v>5.3235557352665044</v>
      </c>
      <c r="BV6" s="58">
        <f t="shared" ca="1" si="59"/>
        <v>5.0403843053186801</v>
      </c>
      <c r="BW6" s="58">
        <f t="shared" ca="1" si="60"/>
        <v>9.2173854157002779</v>
      </c>
      <c r="BX6" s="58">
        <f t="shared" ca="1" si="61"/>
        <v>5.0403843053186801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12</v>
      </c>
      <c r="I7" s="45">
        <v>9</v>
      </c>
      <c r="J7" s="45">
        <v>5</v>
      </c>
      <c r="K7" s="45">
        <v>10</v>
      </c>
      <c r="L7" s="45">
        <f t="shared" si="63"/>
        <v>2.875</v>
      </c>
      <c r="M7" s="45">
        <f t="shared" si="64"/>
        <v>0.55000000000000004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8.2540705803007768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2.0772976907866045</v>
      </c>
      <c r="AI7" s="58">
        <f t="shared" ca="1" si="20"/>
        <v>1.5304055984822877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11.665805590447073</v>
      </c>
      <c r="AN7" s="58">
        <f t="shared" ca="1" si="25"/>
        <v>0.57395182002659928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1.4348795500664984</v>
      </c>
      <c r="AT7" s="58">
        <f t="shared" ca="1" si="31"/>
        <v>2.5419977551498767</v>
      </c>
      <c r="AU7" s="58">
        <f t="shared" ca="1" si="32"/>
        <v>0.71743977503324918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2.792496355129416</v>
      </c>
      <c r="BA7" s="58">
        <f t="shared" ca="1" si="38"/>
        <v>5.2416817852818509</v>
      </c>
      <c r="BB7" s="58">
        <f t="shared" ca="1" si="39"/>
        <v>1.396248177564708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11.534368615454746</v>
      </c>
      <c r="BG7" s="58">
        <f t="shared" ca="1" si="44"/>
        <v>2.6600459351232772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17.194270010657821</v>
      </c>
      <c r="BL7" s="58">
        <f t="shared" ca="1" si="49"/>
        <v>1.4900672250690561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11.984593825457814</v>
      </c>
      <c r="BQ7" s="58">
        <f t="shared" ca="1" si="54"/>
        <v>1.6335551800757055</v>
      </c>
      <c r="BR7" s="58">
        <f t="shared" ca="1" si="55"/>
        <v>6.5112392102076795</v>
      </c>
      <c r="BS7" s="58">
        <f t="shared" ca="1" si="56"/>
        <v>5.6745557352665044</v>
      </c>
      <c r="BT7" s="58">
        <f t="shared" ca="1" si="57"/>
        <v>10.096264410575976</v>
      </c>
      <c r="BU7" s="58">
        <f t="shared" ca="1" si="58"/>
        <v>5.6745557352665044</v>
      </c>
      <c r="BV7" s="58">
        <f t="shared" ca="1" si="59"/>
        <v>6.4993843053186797</v>
      </c>
      <c r="BW7" s="58">
        <f t="shared" ca="1" si="60"/>
        <v>11.110385415700279</v>
      </c>
      <c r="BX7" s="58">
        <f t="shared" ca="1" si="61"/>
        <v>6.4993843053186797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9</v>
      </c>
      <c r="J8" s="45">
        <v>5</v>
      </c>
      <c r="K8" s="45">
        <v>10</v>
      </c>
      <c r="L8" s="45">
        <f t="shared" si="63"/>
        <v>2.875</v>
      </c>
      <c r="M8" s="45">
        <f t="shared" si="64"/>
        <v>0.55000000000000004</v>
      </c>
      <c r="N8" s="45">
        <f t="shared" si="65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10"/>
        <v>1.5261882301933565</v>
      </c>
      <c r="Y8" s="58">
        <f t="shared" ca="1" si="11"/>
        <v>2.9191378053698327</v>
      </c>
      <c r="Z8" s="58">
        <f t="shared" ca="1" si="12"/>
        <v>0.76309411509667824</v>
      </c>
      <c r="AA8" s="58">
        <f t="shared" ca="1" si="13"/>
        <v>6.1744509751969376</v>
      </c>
      <c r="AB8" s="58">
        <f t="shared" ca="1" si="3"/>
        <v>3.7145322004706034</v>
      </c>
      <c r="AC8" s="58">
        <f t="shared" ca="1" si="14"/>
        <v>1.6715394902117713</v>
      </c>
      <c r="AD8" s="58">
        <f t="shared" ca="1" si="15"/>
        <v>2.6782683450854248</v>
      </c>
      <c r="AE8" s="58">
        <f t="shared" ca="1" si="16"/>
        <v>10.018070580300776</v>
      </c>
      <c r="AF8" s="58">
        <f t="shared" ca="1" si="17"/>
        <v>3.0443013903856899</v>
      </c>
      <c r="AG8" s="58">
        <f t="shared" ca="1" si="18"/>
        <v>2.8585747803621597</v>
      </c>
      <c r="AH8" s="58">
        <f t="shared" ca="1" si="19"/>
        <v>2.0988763203497318</v>
      </c>
      <c r="AI8" s="58">
        <f t="shared" ca="1" si="20"/>
        <v>1.5676190434773816</v>
      </c>
      <c r="AJ8" s="58">
        <f t="shared" ca="1" si="21"/>
        <v>1.9582044752480896</v>
      </c>
      <c r="AK8" s="58">
        <f t="shared" ca="1" si="22"/>
        <v>1.0659092401350427</v>
      </c>
      <c r="AL8" s="58">
        <f t="shared" ca="1" si="23"/>
        <v>6.1103008351948915</v>
      </c>
      <c r="AM8" s="58">
        <f t="shared" ca="1" si="24"/>
        <v>13.684805590447073</v>
      </c>
      <c r="AN8" s="58">
        <f t="shared" ca="1" si="25"/>
        <v>0.57395182002659928</v>
      </c>
      <c r="AO8" s="58">
        <f t="shared" ca="1" si="26"/>
        <v>1.0901344501381118</v>
      </c>
      <c r="AP8" s="58">
        <f t="shared" ca="1" si="27"/>
        <v>2.398295790303846</v>
      </c>
      <c r="AQ8" s="58">
        <f t="shared" ca="1" si="28"/>
        <v>0.54506722506905592</v>
      </c>
      <c r="AR8" s="58">
        <f t="shared" ca="1" si="29"/>
        <v>15.13943304048288</v>
      </c>
      <c r="AS8" s="58">
        <f t="shared" ca="1" si="30"/>
        <v>1.4348795500664984</v>
      </c>
      <c r="AT8" s="58">
        <f t="shared" ca="1" si="31"/>
        <v>2.5419977551498767</v>
      </c>
      <c r="AU8" s="58">
        <f t="shared" ca="1" si="32"/>
        <v>0.71743977503324918</v>
      </c>
      <c r="AV8" s="58">
        <f t="shared" ca="1" si="33"/>
        <v>0.76309411509667824</v>
      </c>
      <c r="AW8" s="58">
        <f t="shared" ca="1" si="34"/>
        <v>1.6150140002046101</v>
      </c>
      <c r="AX8" s="58">
        <f t="shared" ca="1" si="35"/>
        <v>0.38154705754833912</v>
      </c>
      <c r="AY8" s="58">
        <f t="shared" ca="1" si="36"/>
        <v>16.037535000511525</v>
      </c>
      <c r="AZ8" s="58">
        <f t="shared" ca="1" si="37"/>
        <v>2.792496355129416</v>
      </c>
      <c r="BA8" s="58">
        <f t="shared" ca="1" si="38"/>
        <v>5.2416817852818509</v>
      </c>
      <c r="BB8" s="58">
        <f t="shared" ca="1" si="39"/>
        <v>1.396248177564708</v>
      </c>
      <c r="BC8" s="58">
        <f t="shared" ca="1" si="40"/>
        <v>1.1749226851488537</v>
      </c>
      <c r="BD8" s="58">
        <f t="shared" ca="1" si="41"/>
        <v>1.4050621801780105</v>
      </c>
      <c r="BE8" s="58">
        <f t="shared" ca="1" si="42"/>
        <v>14.129068335450654</v>
      </c>
      <c r="BF8" s="58">
        <f t="shared" ca="1" si="43"/>
        <v>13.256368615454745</v>
      </c>
      <c r="BG8" s="58">
        <f t="shared" ca="1" si="44"/>
        <v>2.6600459351232772</v>
      </c>
      <c r="BH8" s="58">
        <f t="shared" ca="1" si="45"/>
        <v>0.72675630009207448</v>
      </c>
      <c r="BI8" s="58">
        <f t="shared" ca="1" si="46"/>
        <v>0.27455238003478372</v>
      </c>
      <c r="BJ8" s="58">
        <f t="shared" ca="1" si="47"/>
        <v>4.8914481751560155</v>
      </c>
      <c r="BK8" s="58">
        <f t="shared" ca="1" si="48"/>
        <v>20.194270010657821</v>
      </c>
      <c r="BL8" s="58">
        <f t="shared" ca="1" si="49"/>
        <v>1.4900672250690561</v>
      </c>
      <c r="BM8" s="58">
        <f t="shared" ca="1" si="50"/>
        <v>1.1466599401452731</v>
      </c>
      <c r="BN8" s="58">
        <f t="shared" ca="1" si="51"/>
        <v>0.98515854012481208</v>
      </c>
      <c r="BO8" s="58">
        <f t="shared" ca="1" si="52"/>
        <v>10.119684585322773</v>
      </c>
      <c r="BP8" s="58">
        <f t="shared" ca="1" si="53"/>
        <v>14.090593825457816</v>
      </c>
      <c r="BQ8" s="58">
        <f t="shared" ca="1" si="54"/>
        <v>1.6335551800757055</v>
      </c>
      <c r="BR8" s="58">
        <f t="shared" ca="1" si="55"/>
        <v>6.5112392102076795</v>
      </c>
      <c r="BS8" s="58">
        <f t="shared" ca="1" si="56"/>
        <v>6.1065557352665047</v>
      </c>
      <c r="BT8" s="58">
        <f t="shared" ca="1" si="57"/>
        <v>10.096264410575976</v>
      </c>
      <c r="BU8" s="58">
        <f t="shared" ca="1" si="58"/>
        <v>6.1065557352665047</v>
      </c>
      <c r="BV8" s="58">
        <f t="shared" ca="1" si="59"/>
        <v>7.16238430531868</v>
      </c>
      <c r="BW8" s="58">
        <f t="shared" ca="1" si="60"/>
        <v>11.110385415700279</v>
      </c>
      <c r="BX8" s="58">
        <f t="shared" ca="1" si="61"/>
        <v>7.16238430531868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63"/>
        <v>4.125</v>
      </c>
      <c r="M10" s="45">
        <f t="shared" si="64"/>
        <v>0.9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2.3740705803007764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1.9040293457011799</v>
      </c>
      <c r="AI10" s="58">
        <f t="shared" ca="1" si="20"/>
        <v>1.5915955183349688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5.9408055904470736</v>
      </c>
      <c r="AN10" s="58">
        <f t="shared" ca="1" si="25"/>
        <v>0.83395182002659929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2.0848795500664985</v>
      </c>
      <c r="AT10" s="58">
        <f t="shared" ca="1" si="31"/>
        <v>4.3529977551498771</v>
      </c>
      <c r="AU10" s="58">
        <f t="shared" ca="1" si="32"/>
        <v>1.0424397750332492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4.0574963551294161</v>
      </c>
      <c r="BA10" s="58">
        <f t="shared" ca="1" si="38"/>
        <v>8.4166817852818507</v>
      </c>
      <c r="BB10" s="58">
        <f t="shared" ca="1" si="39"/>
        <v>2.028748177564708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7.3693686154547455</v>
      </c>
      <c r="BG10" s="58">
        <f t="shared" ca="1" si="44"/>
        <v>3.8650459351232773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8.6242700106578205</v>
      </c>
      <c r="BL10" s="58">
        <f t="shared" ca="1" si="49"/>
        <v>2.1650672250690559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5.9295938254578147</v>
      </c>
      <c r="BQ10" s="58">
        <f t="shared" ca="1" si="54"/>
        <v>2.3735551800757055</v>
      </c>
      <c r="BR10" s="58">
        <f t="shared" ca="1" si="55"/>
        <v>6.5112392102076795</v>
      </c>
      <c r="BS10" s="58">
        <f t="shared" ca="1" si="56"/>
        <v>6.3735557352665042</v>
      </c>
      <c r="BT10" s="58">
        <f t="shared" ca="1" si="57"/>
        <v>16.892264410575976</v>
      </c>
      <c r="BU10" s="58">
        <f t="shared" ca="1" si="58"/>
        <v>6.3735557352665042</v>
      </c>
      <c r="BV10" s="58">
        <f t="shared" ca="1" si="59"/>
        <v>6.81938430531868</v>
      </c>
      <c r="BW10" s="58">
        <f t="shared" ca="1" si="60"/>
        <v>19.955385415700277</v>
      </c>
      <c r="BX10" s="58">
        <f t="shared" ca="1" si="61"/>
        <v>6.81938430531868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128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15.674532200470605</v>
      </c>
      <c r="D17" s="49">
        <f ca="1">AC4</f>
        <v>7.0535394902117714</v>
      </c>
      <c r="E17" s="49">
        <v>0</v>
      </c>
      <c r="F17" s="49">
        <f ca="1">AD4</f>
        <v>0.67426834508542477</v>
      </c>
      <c r="G17" s="49">
        <f ca="1">AE4</f>
        <v>5.3140705803007764</v>
      </c>
      <c r="H17" s="49">
        <v>0</v>
      </c>
      <c r="I17" s="49">
        <v>0</v>
      </c>
      <c r="J17" s="49">
        <f>L4</f>
        <v>5.25</v>
      </c>
      <c r="K17" s="49">
        <f t="shared" si="66"/>
        <v>0.67</v>
      </c>
      <c r="L17" s="49">
        <f t="shared" si="67"/>
        <v>1.17</v>
      </c>
    </row>
    <row r="18" spans="1:24" x14ac:dyDescent="0.25">
      <c r="A18" s="48" t="s">
        <v>127</v>
      </c>
      <c r="B18" s="54">
        <v>1</v>
      </c>
      <c r="C18" s="49">
        <f ca="1">(X5+Z5)/2</f>
        <v>3.9796411726450174</v>
      </c>
      <c r="D18" s="49">
        <f ca="1">Y5</f>
        <v>10.149137805369833</v>
      </c>
      <c r="E18" s="49">
        <f ca="1">C18</f>
        <v>3.9796411726450174</v>
      </c>
      <c r="F18" s="49">
        <f ca="1">AA5</f>
        <v>6.1744509751969376</v>
      </c>
      <c r="G18" s="49">
        <v>0</v>
      </c>
      <c r="H18" s="49">
        <v>0</v>
      </c>
      <c r="I18" s="49">
        <v>0</v>
      </c>
      <c r="J18" s="49">
        <f>L5</f>
        <v>2.375</v>
      </c>
      <c r="K18" s="49">
        <f t="shared" si="66"/>
        <v>0.4</v>
      </c>
      <c r="L18" s="49">
        <f t="shared" si="67"/>
        <v>0.78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7.0535394902117714</v>
      </c>
      <c r="E19" s="49">
        <f ca="1">AB6</f>
        <v>15.674532200470605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5.3140705803007764</v>
      </c>
      <c r="J19" s="49">
        <f>L6</f>
        <v>5.25</v>
      </c>
      <c r="K19" s="49">
        <f t="shared" si="66"/>
        <v>0.4</v>
      </c>
      <c r="L19" s="49">
        <f t="shared" si="67"/>
        <v>0.9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11.984593825457814</v>
      </c>
      <c r="H20" s="49">
        <f t="shared" ca="1" si="68"/>
        <v>1.6335551800757055</v>
      </c>
      <c r="I20" s="49">
        <v>0</v>
      </c>
      <c r="J20" s="49">
        <v>0</v>
      </c>
      <c r="K20" s="49">
        <f t="shared" si="66"/>
        <v>0.55000000000000004</v>
      </c>
      <c r="L20" s="49">
        <f t="shared" si="67"/>
        <v>0.38</v>
      </c>
    </row>
    <row r="21" spans="1:24" x14ac:dyDescent="0.25">
      <c r="A21" s="48" t="s">
        <v>125</v>
      </c>
      <c r="B21" s="54">
        <f>1-0.065</f>
        <v>0.93500000000000005</v>
      </c>
      <c r="C21" s="49">
        <f ca="1">AV8*B21</f>
        <v>0.7134929976153942</v>
      </c>
      <c r="D21" s="49">
        <f ca="1">AW8*B21</f>
        <v>1.5100380901913104</v>
      </c>
      <c r="E21" s="49">
        <f ca="1">AX8*B21</f>
        <v>0.3567464988076971</v>
      </c>
      <c r="F21" s="49">
        <f ca="1">AY8*B21</f>
        <v>14.995095225478277</v>
      </c>
      <c r="G21" s="49">
        <f ca="1">AZ8*B21</f>
        <v>2.6109840920460039</v>
      </c>
      <c r="H21" s="49">
        <f ca="1">BA8*B21</f>
        <v>4.900972469238531</v>
      </c>
      <c r="I21" s="49">
        <f ca="1">BB8*B21</f>
        <v>1.305492046023002</v>
      </c>
      <c r="J21" s="49">
        <v>0</v>
      </c>
      <c r="K21" s="49">
        <f>M8*B21</f>
        <v>0.5142500000000001</v>
      </c>
      <c r="L21" s="49">
        <f>N8*B21</f>
        <v>0.3553</v>
      </c>
      <c r="T21" s="62"/>
      <c r="X21" s="62"/>
    </row>
    <row r="22" spans="1:24" x14ac:dyDescent="0.25">
      <c r="A22" s="48" t="s">
        <v>125</v>
      </c>
      <c r="B22" s="54">
        <f>1-0.065</f>
        <v>0.93500000000000005</v>
      </c>
      <c r="C22" s="49">
        <f ca="1">AX9*B22</f>
        <v>0.3567464988076971</v>
      </c>
      <c r="D22" s="49">
        <f ca="1">AW9*B22</f>
        <v>1.5100380901913104</v>
      </c>
      <c r="E22" s="49">
        <f ca="1">AV9*B22</f>
        <v>0.7134929976153942</v>
      </c>
      <c r="F22" s="49">
        <f ca="1">AY9*B22</f>
        <v>14.995095225478277</v>
      </c>
      <c r="G22" s="49">
        <f ca="1">BB9*B22</f>
        <v>1.8968795460230021</v>
      </c>
      <c r="H22" s="49">
        <f ca="1">BA9*B22</f>
        <v>7.8695974692385313</v>
      </c>
      <c r="I22" s="49">
        <f ca="1">AZ9*B22</f>
        <v>3.7937590920460043</v>
      </c>
      <c r="J22" s="49">
        <v>0</v>
      </c>
      <c r="K22" s="49">
        <f t="shared" ref="K22:K23" si="69">M9*B22</f>
        <v>0.84150000000000003</v>
      </c>
      <c r="L22" s="49">
        <f t="shared" ref="L22:L23" si="70">N9*B22</f>
        <v>0.3553</v>
      </c>
    </row>
    <row r="23" spans="1:24" x14ac:dyDescent="0.25">
      <c r="A23" s="48" t="s">
        <v>104</v>
      </c>
      <c r="B23" s="54">
        <f>1-0.135</f>
        <v>0.86499999999999999</v>
      </c>
      <c r="C23" s="49">
        <v>0</v>
      </c>
      <c r="D23" s="49">
        <v>0</v>
      </c>
      <c r="E23" s="49">
        <v>0</v>
      </c>
      <c r="F23" s="49">
        <f ca="1">BR10*B23</f>
        <v>5.6322219168296428</v>
      </c>
      <c r="G23" s="49">
        <f ca="1">BS10*B23</f>
        <v>5.5131257110055261</v>
      </c>
      <c r="H23" s="49">
        <f ca="1">BT10*B23</f>
        <v>14.61180871514822</v>
      </c>
      <c r="I23" s="49">
        <f ca="1">BU10*B23</f>
        <v>5.5131257110055261</v>
      </c>
      <c r="J23" s="49">
        <v>0</v>
      </c>
      <c r="K23" s="49">
        <f t="shared" si="69"/>
        <v>0.77849999999999997</v>
      </c>
      <c r="L23" s="49">
        <f t="shared" si="70"/>
        <v>0.32869999999999999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104</v>
      </c>
      <c r="B25" s="54">
        <f>1-0.135</f>
        <v>0.86499999999999999</v>
      </c>
      <c r="C25" s="49">
        <v>0</v>
      </c>
      <c r="D25" s="49">
        <v>0</v>
      </c>
      <c r="E25" s="49">
        <v>0</v>
      </c>
      <c r="F25" s="49">
        <f ca="1">BR12*B25</f>
        <v>5.6322219168296428</v>
      </c>
      <c r="G25" s="49">
        <f ca="1">BS12*B25</f>
        <v>5.5131257110055261</v>
      </c>
      <c r="H25" s="49">
        <f ca="1">BT12*B25</f>
        <v>14.61180871514822</v>
      </c>
      <c r="I25" s="49">
        <f ca="1">BU12*B25</f>
        <v>5.5131257110055261</v>
      </c>
      <c r="J25" s="49">
        <v>0</v>
      </c>
      <c r="K25" s="49">
        <f t="shared" ref="K25:K26" si="71">M12*B25</f>
        <v>0.77849999999999997</v>
      </c>
      <c r="L25" s="49">
        <f t="shared" ref="L25:L26" si="72">N12*B25</f>
        <v>0.32869999999999999</v>
      </c>
    </row>
    <row r="26" spans="1:24" x14ac:dyDescent="0.25">
      <c r="A26" s="48" t="s">
        <v>104</v>
      </c>
      <c r="B26" s="54">
        <f>1-0.135</f>
        <v>0.86499999999999999</v>
      </c>
      <c r="C26" s="49">
        <v>0</v>
      </c>
      <c r="D26" s="49">
        <v>0</v>
      </c>
      <c r="E26" s="49">
        <v>0</v>
      </c>
      <c r="F26" s="49">
        <f ca="1">BR13*B26</f>
        <v>5.6322219168296428</v>
      </c>
      <c r="G26" s="49">
        <f ca="1">BS13*B26</f>
        <v>5.5131257110055261</v>
      </c>
      <c r="H26" s="49">
        <f ca="1">BT13*B26</f>
        <v>14.61180871514822</v>
      </c>
      <c r="I26" s="49">
        <f ca="1">BU13*B26</f>
        <v>5.5131257110055261</v>
      </c>
      <c r="J26" s="49">
        <v>0</v>
      </c>
      <c r="K26" s="49">
        <f t="shared" si="71"/>
        <v>0.77849999999999997</v>
      </c>
      <c r="L26" s="49">
        <f t="shared" si="72"/>
        <v>0.32869999999999999</v>
      </c>
    </row>
    <row r="27" spans="1:24" x14ac:dyDescent="0.25">
      <c r="A27" s="50"/>
      <c r="B27" s="46"/>
      <c r="C27" s="51">
        <f ca="1">SUM(C16:C26)</f>
        <v>35.043840865130541</v>
      </c>
      <c r="D27" s="51">
        <f t="shared" ref="D27:L27" ca="1" si="73">SUM(D16:D26)</f>
        <v>47.965461571995966</v>
      </c>
      <c r="E27" s="51">
        <f t="shared" ca="1" si="73"/>
        <v>35.072103610134121</v>
      </c>
      <c r="F27" s="51">
        <f t="shared" ca="1" si="73"/>
        <v>69.420976627292049</v>
      </c>
      <c r="G27" s="51">
        <f t="shared" ca="1" si="73"/>
        <v>38.345905176844177</v>
      </c>
      <c r="H27" s="51">
        <f t="shared" ca="1" si="73"/>
        <v>59.459618489066486</v>
      </c>
      <c r="I27" s="51">
        <f t="shared" ca="1" si="73"/>
        <v>46.574968862044187</v>
      </c>
      <c r="J27" s="52">
        <f t="shared" si="73"/>
        <v>12.875</v>
      </c>
      <c r="K27" s="52">
        <f t="shared" si="73"/>
        <v>6.8812500000000005</v>
      </c>
      <c r="L27" s="52">
        <f t="shared" si="73"/>
        <v>6.1667000000000005</v>
      </c>
    </row>
    <row r="28" spans="1:24" ht="15.75" x14ac:dyDescent="0.25">
      <c r="A28" s="50"/>
      <c r="B28" s="50" t="s">
        <v>105</v>
      </c>
      <c r="C28" s="53">
        <f ca="1">C27*0.34</f>
        <v>11.914905894144384</v>
      </c>
      <c r="D28" s="53">
        <f ca="1">D27*0.245</f>
        <v>11.751538085139012</v>
      </c>
      <c r="E28" s="53">
        <f ca="1">E27*0.34</f>
        <v>11.924515227445601</v>
      </c>
      <c r="F28" s="53">
        <f ca="1">F27*0.125</f>
        <v>8.6776220784115061</v>
      </c>
      <c r="G28" s="53">
        <f ca="1">G27*0.25</f>
        <v>9.5864762942110442</v>
      </c>
      <c r="H28" s="53">
        <f ca="1">H27*0.19</f>
        <v>11.297327512922632</v>
      </c>
      <c r="I28" s="53">
        <f ca="1">I27*0.25</f>
        <v>11.643742215511047</v>
      </c>
    </row>
    <row r="29" spans="1:24" ht="15.75" x14ac:dyDescent="0.25">
      <c r="A29" s="50"/>
      <c r="B29" s="50" t="s">
        <v>106</v>
      </c>
      <c r="C29" s="53">
        <f ca="1">C28*1.2/1.05</f>
        <v>13.61703530759358</v>
      </c>
      <c r="D29" s="53">
        <f t="shared" ref="D29:E29" ca="1" si="74">D28*1.2/1.05</f>
        <v>13.430329240158871</v>
      </c>
      <c r="E29" s="53">
        <f t="shared" ca="1" si="74"/>
        <v>13.628017402794972</v>
      </c>
      <c r="F29" s="53">
        <f ca="1">F28</f>
        <v>8.6776220784115061</v>
      </c>
      <c r="G29" s="53">
        <f ca="1">G28*0.925/1.05</f>
        <v>8.4452291163287772</v>
      </c>
      <c r="H29" s="53">
        <f t="shared" ref="H29:I29" ca="1" si="75">H28*0.925/1.05</f>
        <v>9.9524075709080329</v>
      </c>
      <c r="I29" s="53">
        <f t="shared" ca="1" si="75"/>
        <v>10.257582427950208</v>
      </c>
    </row>
    <row r="30" spans="1:24" ht="15.75" x14ac:dyDescent="0.25">
      <c r="A30" s="50"/>
      <c r="B30" s="50" t="s">
        <v>107</v>
      </c>
      <c r="C30" s="53">
        <f ca="1">C28*0.925/1.05</f>
        <v>10.496464716270053</v>
      </c>
      <c r="D30" s="53">
        <f t="shared" ref="D30:E30" ca="1" si="76">D28*0.925/1.05</f>
        <v>10.352545455955797</v>
      </c>
      <c r="E30" s="53">
        <f t="shared" ca="1" si="76"/>
        <v>10.504930081321124</v>
      </c>
      <c r="F30" s="53">
        <f ca="1">F29</f>
        <v>8.6776220784115061</v>
      </c>
      <c r="G30" s="53">
        <f ca="1">G28*1.135/1.05</f>
        <v>10.362524375170986</v>
      </c>
      <c r="H30" s="53">
        <f t="shared" ref="H30:I30" ca="1" si="77">H28*1.135/1.05</f>
        <v>12.211873073492558</v>
      </c>
      <c r="I30" s="53">
        <f t="shared" ca="1" si="77"/>
        <v>12.586330871052418</v>
      </c>
    </row>
  </sheetData>
  <conditionalFormatting sqref="O3:P13">
    <cfRule type="cellIs" dxfId="45" priority="23" operator="greaterThan">
      <formula>15</formula>
    </cfRule>
  </conditionalFormatting>
  <conditionalFormatting sqref="L3:L13">
    <cfRule type="cellIs" dxfId="44" priority="22" operator="greaterThan">
      <formula>3.2</formula>
    </cfRule>
  </conditionalFormatting>
  <conditionalFormatting sqref="M3:N13">
    <cfRule type="cellIs" dxfId="43" priority="21" operator="greaterThan">
      <formula>0.6</formula>
    </cfRule>
  </conditionalFormatting>
  <conditionalFormatting sqref="Q3:V13 AB3:AC13 AJ3:AK13 AO3:AQ13 BC3:BC13 BH3:BI13">
    <cfRule type="cellIs" dxfId="42" priority="20" operator="greaterThan">
      <formula>12.5</formula>
    </cfRule>
  </conditionalFormatting>
  <conditionalFormatting sqref="W3:W13 AL3:AL13 AR3:AR13 BE3:BE13 BJ3:BJ13 BR3:BR13">
    <cfRule type="cellIs" dxfId="41" priority="19" operator="greaterThan">
      <formula>12.5</formula>
    </cfRule>
  </conditionalFormatting>
  <conditionalFormatting sqref="AE3:AE13 AM3:AN13 AS3:AU13 BF3:BG13 BK3:BL13 BS3:BX13">
    <cfRule type="cellIs" dxfId="40" priority="18" operator="greaterThan">
      <formula>12.5</formula>
    </cfRule>
  </conditionalFormatting>
  <conditionalFormatting sqref="D3:D13">
    <cfRule type="cellIs" dxfId="39" priority="17" operator="greaterThan">
      <formula>7</formula>
    </cfRule>
  </conditionalFormatting>
  <conditionalFormatting sqref="AF3:AG13">
    <cfRule type="cellIs" dxfId="38" priority="16" operator="greaterThan">
      <formula>12.5</formula>
    </cfRule>
  </conditionalFormatting>
  <conditionalFormatting sqref="AI3:AI13">
    <cfRule type="cellIs" dxfId="37" priority="15" operator="greaterThan">
      <formula>12.5</formula>
    </cfRule>
  </conditionalFormatting>
  <conditionalFormatting sqref="BY3:BY13">
    <cfRule type="cellIs" dxfId="36" priority="14" operator="greaterThan">
      <formula>12.5</formula>
    </cfRule>
  </conditionalFormatting>
  <conditionalFormatting sqref="BM3:BN13">
    <cfRule type="cellIs" dxfId="35" priority="13" operator="greaterThan">
      <formula>12.5</formula>
    </cfRule>
  </conditionalFormatting>
  <conditionalFormatting sqref="BO3:BO13">
    <cfRule type="cellIs" dxfId="34" priority="12" operator="greaterThan">
      <formula>12.5</formula>
    </cfRule>
  </conditionalFormatting>
  <conditionalFormatting sqref="BP3:BQ13">
    <cfRule type="cellIs" dxfId="33" priority="11" operator="greaterThan">
      <formula>12.5</formula>
    </cfRule>
  </conditionalFormatting>
  <conditionalFormatting sqref="AV3:AX13">
    <cfRule type="cellIs" dxfId="32" priority="10" operator="greaterThan">
      <formula>12.5</formula>
    </cfRule>
  </conditionalFormatting>
  <conditionalFormatting sqref="AY3:AY13">
    <cfRule type="cellIs" dxfId="31" priority="9" operator="greaterThan">
      <formula>12.5</formula>
    </cfRule>
  </conditionalFormatting>
  <conditionalFormatting sqref="AZ3:BB13">
    <cfRule type="cellIs" dxfId="30" priority="8" operator="greaterThan">
      <formula>12.5</formula>
    </cfRule>
  </conditionalFormatting>
  <conditionalFormatting sqref="X3:Z13">
    <cfRule type="cellIs" dxfId="29" priority="6" operator="greaterThan">
      <formula>12.5</formula>
    </cfRule>
  </conditionalFormatting>
  <conditionalFormatting sqref="AA3:AA13">
    <cfRule type="cellIs" dxfId="28" priority="5" operator="greaterThan">
      <formula>12.5</formula>
    </cfRule>
  </conditionalFormatting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7030A0"/>
  </sheetPr>
  <dimension ref="A1:BY30"/>
  <sheetViews>
    <sheetView zoomScale="80" zoomScaleNormal="80" workbookViewId="0">
      <pane xSplit="11" ySplit="2" topLeftCell="ED3" activePane="bottomRight" state="frozen"/>
      <selection pane="topRight" activeCell="L1" sqref="L1"/>
      <selection pane="bottomLeft" activeCell="A3" sqref="A3"/>
      <selection pane="bottomRight" activeCell="EH11" sqref="EH11"/>
    </sheetView>
  </sheetViews>
  <sheetFormatPr baseColWidth="10" defaultRowHeight="15" x14ac:dyDescent="0.25"/>
  <cols>
    <col min="1" max="1" width="14.2851562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3" width="6.42578125" bestFit="1" customWidth="1"/>
    <col min="14" max="14" width="6.5703125" bestFit="1" customWidth="1"/>
    <col min="15" max="15" width="7" bestFit="1" customWidth="1"/>
    <col min="16" max="16" width="7.425781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.85546875" bestFit="1" customWidth="1"/>
    <col min="21" max="21" width="8.42578125" bestFit="1" customWidth="1"/>
    <col min="22" max="22" width="8" bestFit="1" customWidth="1"/>
    <col min="23" max="23" width="5.5703125" bestFit="1" customWidth="1"/>
    <col min="24" max="24" width="10.85546875" bestFit="1" customWidth="1"/>
    <col min="25" max="25" width="8.42578125" bestFit="1" customWidth="1"/>
    <col min="26" max="26" width="8" bestFit="1" customWidth="1"/>
    <col min="27" max="27" width="5.5703125" bestFit="1" customWidth="1"/>
    <col min="28" max="28" width="10.7109375" bestFit="1" customWidth="1"/>
    <col min="29" max="29" width="8.42578125" bestFit="1" customWidth="1"/>
    <col min="30" max="30" width="5.5703125" bestFit="1" customWidth="1"/>
    <col min="31" max="31" width="6.7109375" bestFit="1" customWidth="1"/>
    <col min="32" max="32" width="8" bestFit="1" customWidth="1"/>
    <col min="33" max="33" width="8.42578125" bestFit="1" customWidth="1"/>
    <col min="34" max="34" width="5.5703125" bestFit="1" customWidth="1"/>
    <col min="35" max="35" width="6.7109375" bestFit="1" customWidth="1"/>
    <col min="36" max="36" width="8" bestFit="1" customWidth="1"/>
    <col min="37" max="37" width="8.42578125" bestFit="1" customWidth="1"/>
    <col min="38" max="38" width="5.5703125" bestFit="1" customWidth="1"/>
    <col min="39" max="39" width="6.7109375" bestFit="1" customWidth="1"/>
    <col min="40" max="40" width="7.140625" bestFit="1" customWidth="1"/>
    <col min="41" max="41" width="8" bestFit="1" customWidth="1"/>
    <col min="42" max="42" width="8.42578125" bestFit="1" customWidth="1"/>
    <col min="43" max="43" width="8" bestFit="1" customWidth="1"/>
    <col min="44" max="44" width="6" bestFit="1" customWidth="1"/>
    <col min="45" max="45" width="6.7109375" bestFit="1" customWidth="1"/>
    <col min="46" max="46" width="7.140625" bestFit="1" customWidth="1"/>
    <col min="47" max="47" width="6.7109375" bestFit="1" customWidth="1"/>
    <col min="48" max="48" width="8" bestFit="1" customWidth="1"/>
    <col min="49" max="49" width="8.42578125" bestFit="1" customWidth="1"/>
    <col min="50" max="50" width="8" bestFit="1" customWidth="1"/>
    <col min="51" max="51" width="6" bestFit="1" customWidth="1"/>
    <col min="52" max="52" width="6.7109375" bestFit="1" customWidth="1"/>
    <col min="53" max="53" width="7.140625" bestFit="1" customWidth="1"/>
    <col min="54" max="54" width="6.7109375" bestFit="1" customWidth="1"/>
    <col min="55" max="55" width="8" bestFit="1" customWidth="1"/>
    <col min="56" max="56" width="8.42578125" bestFit="1" customWidth="1"/>
    <col min="57" max="57" width="6" bestFit="1" customWidth="1"/>
    <col min="58" max="58" width="6.7109375" bestFit="1" customWidth="1"/>
    <col min="59" max="59" width="7.140625" bestFit="1" customWidth="1"/>
    <col min="60" max="60" width="8" bestFit="1" customWidth="1"/>
    <col min="61" max="61" width="8.42578125" bestFit="1" customWidth="1"/>
    <col min="62" max="62" width="5.5703125" bestFit="1" customWidth="1"/>
    <col min="63" max="63" width="6.7109375" bestFit="1" customWidth="1"/>
    <col min="64" max="64" width="7.140625" bestFit="1" customWidth="1"/>
    <col min="65" max="65" width="8" bestFit="1" customWidth="1"/>
    <col min="66" max="66" width="8.42578125" bestFit="1" customWidth="1"/>
    <col min="67" max="67" width="5.5703125" bestFit="1" customWidth="1"/>
    <col min="68" max="68" width="6.7109375" bestFit="1" customWidth="1"/>
    <col min="69" max="69" width="7.140625" bestFit="1" customWidth="1"/>
    <col min="70" max="70" width="5.5703125" bestFit="1" customWidth="1"/>
    <col min="71" max="71" width="6.7109375" bestFit="1" customWidth="1"/>
    <col min="72" max="72" width="7.140625" bestFit="1" customWidth="1"/>
    <col min="73" max="74" width="6.7109375" bestFit="1" customWidth="1"/>
    <col min="75" max="75" width="7.140625" bestFit="1" customWidth="1"/>
    <col min="76" max="76" width="6.7109375" bestFit="1" customWidth="1"/>
    <col min="77" max="77" width="5.5703125" bestFit="1" customWidth="1"/>
    <col min="78" max="78" width="6.42578125" bestFit="1" customWidth="1"/>
  </cols>
  <sheetData>
    <row r="1" spans="1:77" x14ac:dyDescent="0.25">
      <c r="Q1" t="s">
        <v>109</v>
      </c>
      <c r="T1" t="s">
        <v>120</v>
      </c>
      <c r="X1" t="s">
        <v>126</v>
      </c>
      <c r="AB1" t="s">
        <v>121</v>
      </c>
      <c r="AF1" t="s">
        <v>122</v>
      </c>
      <c r="AJ1" t="s">
        <v>117</v>
      </c>
      <c r="AO1" t="s">
        <v>103</v>
      </c>
      <c r="AV1" t="s">
        <v>125</v>
      </c>
      <c r="BC1" t="s">
        <v>102</v>
      </c>
      <c r="BH1" t="s">
        <v>101</v>
      </c>
      <c r="BM1" t="s">
        <v>124</v>
      </c>
      <c r="BR1" t="s">
        <v>104</v>
      </c>
      <c r="BV1" t="s">
        <v>118</v>
      </c>
    </row>
    <row r="2" spans="1:77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7" t="s">
        <v>90</v>
      </c>
      <c r="Y2" s="57" t="s">
        <v>114</v>
      </c>
      <c r="Z2" s="57" t="s">
        <v>90</v>
      </c>
      <c r="AA2" s="57" t="s">
        <v>92</v>
      </c>
      <c r="AB2" s="56" t="s">
        <v>90</v>
      </c>
      <c r="AC2" s="56" t="s">
        <v>114</v>
      </c>
      <c r="AD2" s="56" t="s">
        <v>92</v>
      </c>
      <c r="AE2" s="56" t="s">
        <v>95</v>
      </c>
      <c r="AF2" s="56" t="s">
        <v>90</v>
      </c>
      <c r="AG2" s="56" t="s">
        <v>114</v>
      </c>
      <c r="AH2" s="56" t="s">
        <v>92</v>
      </c>
      <c r="AI2" s="56" t="s">
        <v>95</v>
      </c>
      <c r="AJ2" s="57" t="s">
        <v>90</v>
      </c>
      <c r="AK2" s="57" t="s">
        <v>114</v>
      </c>
      <c r="AL2" s="57" t="s">
        <v>92</v>
      </c>
      <c r="AM2" s="57" t="s">
        <v>95</v>
      </c>
      <c r="AN2" s="57" t="s">
        <v>94</v>
      </c>
      <c r="AO2" s="56" t="s">
        <v>90</v>
      </c>
      <c r="AP2" s="56" t="s">
        <v>114</v>
      </c>
      <c r="AQ2" s="56" t="s">
        <v>90</v>
      </c>
      <c r="AR2" s="56" t="s">
        <v>92</v>
      </c>
      <c r="AS2" s="56" t="s">
        <v>95</v>
      </c>
      <c r="AT2" s="56" t="s">
        <v>94</v>
      </c>
      <c r="AU2" s="56" t="s">
        <v>95</v>
      </c>
      <c r="AV2" s="56" t="s">
        <v>90</v>
      </c>
      <c r="AW2" s="56" t="s">
        <v>114</v>
      </c>
      <c r="AX2" s="56" t="s">
        <v>90</v>
      </c>
      <c r="AY2" s="56" t="s">
        <v>92</v>
      </c>
      <c r="AZ2" s="56" t="s">
        <v>95</v>
      </c>
      <c r="BA2" s="56" t="s">
        <v>94</v>
      </c>
      <c r="BB2" s="56" t="s">
        <v>95</v>
      </c>
      <c r="BC2" s="57" t="s">
        <v>90</v>
      </c>
      <c r="BD2" s="57" t="s">
        <v>114</v>
      </c>
      <c r="BE2" s="57" t="s">
        <v>92</v>
      </c>
      <c r="BF2" s="57" t="s">
        <v>95</v>
      </c>
      <c r="BG2" s="57" t="s">
        <v>94</v>
      </c>
      <c r="BH2" s="56" t="s">
        <v>90</v>
      </c>
      <c r="BI2" s="56" t="s">
        <v>114</v>
      </c>
      <c r="BJ2" s="56" t="s">
        <v>92</v>
      </c>
      <c r="BK2" s="56" t="s">
        <v>95</v>
      </c>
      <c r="BL2" s="56" t="s">
        <v>94</v>
      </c>
      <c r="BM2" s="56" t="s">
        <v>90</v>
      </c>
      <c r="BN2" s="56" t="s">
        <v>114</v>
      </c>
      <c r="BO2" s="56" t="s">
        <v>92</v>
      </c>
      <c r="BP2" s="56" t="s">
        <v>95</v>
      </c>
      <c r="BQ2" s="56" t="s">
        <v>94</v>
      </c>
      <c r="BR2" s="57" t="s">
        <v>92</v>
      </c>
      <c r="BS2" s="57" t="s">
        <v>95</v>
      </c>
      <c r="BT2" s="57" t="s">
        <v>94</v>
      </c>
      <c r="BU2" s="57" t="s">
        <v>95</v>
      </c>
      <c r="BV2" s="56" t="s">
        <v>95</v>
      </c>
      <c r="BW2" s="56" t="s">
        <v>94</v>
      </c>
      <c r="BX2" s="56" t="s">
        <v>95</v>
      </c>
      <c r="BY2" s="56" t="s">
        <v>92</v>
      </c>
    </row>
    <row r="3" spans="1:77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ca="1">IF(TODAY()-B3&gt;335,((F3+1+(LOG(D3)*4/3))*0.378),((F3+(((TODAY()-B3)^0.5)/(336^0.516))+(LOG(D3)*4/3))*0.378))</f>
        <v>4.9281882301933564</v>
      </c>
      <c r="Y3" s="58">
        <f ca="1">IF(TODAY()-B3&gt;335,((F3+1+(LOG(D3)*4/3))*0.723),((F3+(((TODAY()-B3)^0.5)/(336^0.5))+(LOG(D3)*4/3))*0.723))</f>
        <v>9.4261378053698319</v>
      </c>
      <c r="Z3" s="58">
        <f ca="1">X3/2</f>
        <v>2.4640941150966782</v>
      </c>
      <c r="AA3" s="58">
        <f ca="1">IF(TODAY()-B3&gt;335,((G3+1+(LOG(D3)*4/3))*0.385),((G3+(((TODAY()-B3)^0.5)/(336^0.238))+(LOG(D3)*4/3))*0.385))</f>
        <v>1.5544509751969373</v>
      </c>
      <c r="AB3" s="58">
        <f t="shared" ref="AB3:AB13" ca="1" si="3">IF(TODAY()-B3&gt;335,((F3+1+(LOG(D3)*4/3))*0.92),((F3+(((TODAY()-B3)^0.5)/(336^0.5))+(LOG(D3)*4/3))*0.92))</f>
        <v>11.994532200470603</v>
      </c>
      <c r="AC3" s="58">
        <f ca="1">IF(TODAY()-B3&gt;335,((F3+1+(LOG(D3)*4/3))*0.414),((F3+(((TODAY()-B3)^0.5)/(336^0.414))+(LOG(D3)*4/3))*0.414))</f>
        <v>5.3975394902117708</v>
      </c>
      <c r="AD3" s="58">
        <f ca="1">IF(TODAY()-B3&gt;335,((G3+1+(LOG(D3)*4/3))*0.167),((G3+(((TODAY()-B3)^0.5)/(336^0.5))+(LOG(D3)*4/3))*0.167))</f>
        <v>0.67426834508542477</v>
      </c>
      <c r="AE3" s="58">
        <f ca="1">IF(TODAY()-B3&gt;335,((H3+1+(LOG(D3)*4/3))*0.588),((H3+(((TODAY()-B3)^0.5)/(336^0.5))+(LOG(D3)*4/3))*0.588))</f>
        <v>2.9620705803007765</v>
      </c>
      <c r="AF3" s="58">
        <f ca="1">IF(TODAY()-B3&gt;335,((F3+1+(LOG(D3)*4/3))*0.754),((F3+(((TODAY()-B3)^0.5)/(336^0.5))+(LOG(D3)*4/3))*0.754))</f>
        <v>9.8303013903856904</v>
      </c>
      <c r="AG3" s="58">
        <f ca="1">IF(TODAY()-B3&gt;335,((F3+1+(LOG(D3)*4/3))*0.708),((F3+(((TODAY()-B3)^0.5)/(336^0.414))+(LOG(D3)*4/3))*0.708))</f>
        <v>9.2305747803621596</v>
      </c>
      <c r="AH3" s="58">
        <f ca="1">IF(TODAY()-F3&gt;335,((K3+1+(LOG(H3)*4/3))*0.167),((K3+(((TODAY()-F3)^0.5)/(336^0.5))+(LOG(H3)*4/3))*0.167))</f>
        <v>2.6112389993842453</v>
      </c>
      <c r="AI3" s="58">
        <f ca="1">IF(TODAY()-F3&gt;335,((L3+1+(LOG(H3)*4/3))*0.288),((L3+(((TODAY()-F3)^0.5)/(336^0.5))+(LOG(H3)*4/3))*0.288))</f>
        <v>1.1912145618123502</v>
      </c>
      <c r="AJ3" s="58">
        <f ca="1">IF(TODAY()-B3&gt;335,((F3+1+(LOG(D3)*4/3))*0.485),((F3+(((TODAY()-B3)^0.5)/(336^0.5))+(LOG(D3)*4/3))*0.485))</f>
        <v>6.3232044752480894</v>
      </c>
      <c r="AK3" s="58">
        <f ca="1">IF(TODAY()-B3&gt;335,((F3+1+(LOG(D3)*4/3))*0.264),((F3+(((TODAY()-B3)^0.5)/(336^0.5))+(LOG(D3)*4/3))*0.264))</f>
        <v>3.4419092401350428</v>
      </c>
      <c r="AL3" s="58">
        <f ca="1">IF(TODAY()-B3&gt;335,((G3+1+(LOG(D3)*4/3))*0.381),((G3+(((TODAY()-B3)^0.5)/(336^0.5))+(LOG(D3)*4/3))*0.381))</f>
        <v>1.538300835194891</v>
      </c>
      <c r="AM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N3" s="58">
        <f ca="1">IF(TODAY()-B3&gt;335,((I3+1+(LOG(D3)*4/3))*0.052),((I3+(((TODAY()-B3)^0.5)/(336^0.5))+(LOG(D3)*4/3))*0.052))</f>
        <v>0.26195182002659928</v>
      </c>
      <c r="AO3" s="58">
        <f ca="1">IF(TODAY()-B3&gt;335,((F3+1+(LOG(D3)*4/3))*0.27),((F3+(((TODAY()-B3)^0.5)/(336^0.5))+(LOG(D3)*4/3))*0.27))</f>
        <v>3.5201344501381122</v>
      </c>
      <c r="AP3" s="58">
        <f ca="1">IF(TODAY()-B3&gt;335,((F3+1+(LOG(D3)*4/3))*0.594),((F3+(((TODAY()-B3)^0.5)/(336^0.5))+(LOG(D3)*4/3))*0.594))</f>
        <v>7.7442957903038456</v>
      </c>
      <c r="AQ3" s="58">
        <f ca="1">AO3/2</f>
        <v>1.7600672250690561</v>
      </c>
      <c r="AR3" s="58">
        <f ca="1">IF(TODAY()-B3&gt;335,((G3+1+(LOG(D3)*4/3))*0.944),((G3+(((TODAY()-B3)^0.5)/(336^0.5))+(LOG(D3)*4/3))*0.944))</f>
        <v>3.8114330404828793</v>
      </c>
      <c r="AS3" s="58">
        <f ca="1">IF(TODAY()-B3&gt;335,((I3+1+(LOG(D3)*4/3))*0.13),((I3+(((TODAY()-B3)^0.5)/(336^0.5))+(LOG(D3)*4/3))*0.13))</f>
        <v>0.65487955006649834</v>
      </c>
      <c r="AT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U3" s="58">
        <f ca="1">AS3/2</f>
        <v>0.32743977503324917</v>
      </c>
      <c r="AV3" s="58">
        <f ca="1">IF(TODAY()-B3&gt;335,((F3+1+(LOG(D3)*4/3))*0.189),((F3+(((TODAY()-B3)^0.5)/(336^0.5))+(LOG(D3)*4/3))*0.189))</f>
        <v>2.4640941150966782</v>
      </c>
      <c r="AW3" s="58">
        <f ca="1">IF(TODAY()-B3&gt;335,((F3+1+(LOG(D3)*4/3))*0.4),((F3+(((TODAY()-B3)^0.5)/(336^0.5))+(LOG(D3)*4/3))*0.4))</f>
        <v>5.2150140002046106</v>
      </c>
      <c r="AX3" s="58">
        <f ca="1">AV3/2</f>
        <v>1.2320470575483391</v>
      </c>
      <c r="AY3" s="58">
        <f ca="1">IF(TODAY()-B3&gt;335,((G3+1+(LOG(D3)*4/3))*1),((G3+(((TODAY()-B3)^0.5)/(336^0.5))+(LOG(D3)*4/3))*1))</f>
        <v>4.0375350005115251</v>
      </c>
      <c r="AZ3" s="58">
        <f ca="1">IF(TODAY()-B3&gt;335,((I3+1+(LOG(D3)*4/3))*0.253),((I3+(((TODAY()-B3)^0.5)/(336^0.5))+(LOG(D3)*4/3))*0.253))</f>
        <v>1.2744963551294159</v>
      </c>
      <c r="BA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BB3" s="58">
        <f ca="1">AZ3/2</f>
        <v>0.63724817756470797</v>
      </c>
      <c r="BC3" s="58">
        <f ca="1">IF(TODAY()-B3&gt;335,((F3+1+(LOG(D3)*4/3))*0.291),((F3+(((TODAY()-B3)^0.5)/(336^0.5))+(LOG(D3)*4/3))*0.291))</f>
        <v>3.7939226851488534</v>
      </c>
      <c r="BD3" s="58">
        <f ca="1">IF(TODAY()-B3&gt;335,((F3+1+(LOG(D3)*4/3))*0.348),((F3+(((TODAY()-B3)^0.5)/(336^0.5))+(LOG(D3)*4/3))*0.348))</f>
        <v>4.53706218017801</v>
      </c>
      <c r="BE3" s="58">
        <f ca="1">IF(TODAY()-B3&gt;335,((G3+1+(LOG(D3)*4/3))*0.881),((G3+(((TODAY()-B3)^0.5)/(336^0.5))+(LOG(D3)*4/3))*0.881))</f>
        <v>3.5570683354506536</v>
      </c>
      <c r="BF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G3" s="58">
        <f ca="1">IF(TODAY()-B3&gt;335,((I3+1+(LOG(D3)*4/3))*0.241),((I3+(((TODAY()-B3)^0.5)/(336^0.5))+(LOG(D3)*4/3))*0.241))</f>
        <v>1.2140459351232775</v>
      </c>
      <c r="BH3" s="58">
        <f ca="1">IF(TODAY()-B3&gt;335,((F3+1+(LOG(D3)*4/3))*0.18),((F3+(((TODAY()-B3)^0.5)/(336^0.5))+(LOG(D3)*4/3))*0.18))</f>
        <v>2.3467563000920744</v>
      </c>
      <c r="BI3" s="58">
        <f ca="1">IF(TODAY()-B3&gt;335,((F3+1+(LOG(D3)*4/3))*0.068),((F3+(((TODAY()-B3)^0.5)/(336^0.5))+(LOG(D3)*4/3))*0.068))</f>
        <v>0.88655238003478376</v>
      </c>
      <c r="BJ3" s="58">
        <f ca="1">IF(TODAY()-B3&gt;335,((G3+1+(LOG(D3)*4/3))*0.305),((G3+(((TODAY()-B3)^0.5)/(336^0.5))+(LOG(D3)*4/3))*0.305))</f>
        <v>1.2314481751560151</v>
      </c>
      <c r="BK3" s="58">
        <f ca="1">IF(TODAY()-B3&gt;335,((H3+1+(LOG(D3)*4/3))*1)+((I3+1+(LOG(D3)*4/3))*0.286),((H3+(((TODAY()-B3)^0.5)/(336^0.5))+(LOG(D3)*4/3))*1)+((I3+(((TODAY()-B3)^0.5)/(336^0.5))+(LOG(D3)*4/3))*0.286))</f>
        <v>6.4782700106578215</v>
      </c>
      <c r="BL3" s="58">
        <f ca="1">IF(TODAY()-B3&gt;335,((I3+1+(LOG(D3)*4/3))*0.135),((I3+(((TODAY()-B3)^0.5)/(336^0.5))+(LOG(D3)*4/3))*0.135))</f>
        <v>0.68006722506905593</v>
      </c>
      <c r="BM3" s="58">
        <f ca="1">IF(TODAY()-B3&gt;335,((F3+1+(LOG(D3)*4/3))*0.284),((F3+(((TODAY()-B3)^0.5)/(336^0.5))+(LOG(D3)*4/3))*0.284))</f>
        <v>3.7026599401452729</v>
      </c>
      <c r="BN3" s="58">
        <f ca="1">IF(TODAY()-B3&gt;335,((F3+1+(LOG(D3)*4/3))*0.244),((F3+(((TODAY()-B3)^0.5)/(336^0.5))+(LOG(D3)*4/3))*0.244))</f>
        <v>3.1811585401248119</v>
      </c>
      <c r="BO3" s="58">
        <f ca="1">IF(TODAY()-B3&gt;335,((G3+1+(LOG(D3)*4/3))*0.631),((G3+(((TODAY()-B3)^0.5)/(336^0.5))+(LOG(D3)*4/3))*0.631))</f>
        <v>2.5476845853227723</v>
      </c>
      <c r="BP3" s="58">
        <f ca="1">IF(TODAY()-B3&gt;335,((H3+1+(LOG(D3)*4/3))*0.702)+((I3+1+(LOG(D3)*4/3))*0.193),((H3+(((TODAY()-B3)^0.5)/(336^0.5))+(LOG(D3)*4/3))*0.702)+((I3+(((TODAY()-B3)^0.5)/(336^0.5))+(LOG(D3)*4/3))*0.193))</f>
        <v>4.5085938254578153</v>
      </c>
      <c r="BQ3" s="58">
        <f ca="1">IF(TODAY()-B3&gt;335,((I3+1+(LOG(D3)*4/3))*0.148),((I3+(((TODAY()-B3)^0.5)/(336^0.5))+(LOG(D3)*4/3))*0.148))</f>
        <v>0.74555518007570565</v>
      </c>
      <c r="BR3" s="58">
        <f ca="1">IF(TODAY()-B3&gt;335,((G3+1+(LOG(D3)*4/3))*0.406),((G3+(((TODAY()-B3)^0.5)/(336^0.5))+(LOG(D3)*4/3))*0.406))</f>
        <v>1.6392392102076794</v>
      </c>
      <c r="BS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T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U3" s="58">
        <f ca="1">BS3</f>
        <v>2.4975557352665048</v>
      </c>
      <c r="BV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W3" s="58">
        <f ca="1">IF(TODAY()-B3&gt;335,((J3+1+(LOG(D3)*4/3))*1)+((I3+1+(LOG(D3)*4/3))*0.369),((J3+(((TODAY()-B3)^0.5)/(336^0.5))+(LOG(D3)*4/3))*1)+((I3+(((TODAY()-B3)^0.5)/(336^0.5))+(LOG(D3)*4/3))*0.369))</f>
        <v>5.8963854157002782</v>
      </c>
      <c r="BX3" s="58">
        <f ca="1">BV3</f>
        <v>2.8783843053186806</v>
      </c>
      <c r="BY3" s="58">
        <f ca="1">IF(TODAY()-B3&gt;335,((G3+1+(LOG(D3)*4/3))*0.25),((G3+(((TODAY()-B3)^0.5)/(336^0.5))+(LOG(D3)*4/3))*0.25))</f>
        <v>1.0093837501278813</v>
      </c>
    </row>
    <row r="4" spans="1:77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ref="X4:X13" ca="1" si="10">IF(TODAY()-B4&gt;335,((F4+1+(LOG(D4)*4/3))*0.378),((F4+(((TODAY()-B4)^0.5)/(336^0.516))+(LOG(D4)*4/3))*0.378))</f>
        <v>6.0621882301933567</v>
      </c>
      <c r="Y4" s="58">
        <f t="shared" ref="Y4:Y13" ca="1" si="11">IF(TODAY()-B4&gt;335,((F4+1+(LOG(D4)*4/3))*0.723),((F4+(((TODAY()-B4)^0.5)/(336^0.5))+(LOG(D4)*4/3))*0.723))</f>
        <v>11.595137805369832</v>
      </c>
      <c r="Z4" s="58">
        <f t="shared" ref="Z4:Z13" ca="1" si="12">X4/2</f>
        <v>3.0310941150966784</v>
      </c>
      <c r="AA4" s="58">
        <f t="shared" ref="AA4:AA13" ca="1" si="13">IF(TODAY()-B4&gt;335,((G4+1+(LOG(D4)*4/3))*0.385),((G4+(((TODAY()-B4)^0.5)/(336^0.238))+(LOG(D4)*4/3))*0.385))</f>
        <v>1.5544509751969373</v>
      </c>
      <c r="AB4" s="58">
        <f t="shared" ca="1" si="3"/>
        <v>14.754532200470603</v>
      </c>
      <c r="AC4" s="58">
        <f t="shared" ref="AC4:AC13" ca="1" si="14">IF(TODAY()-B4&gt;335,((F4+1+(LOG(D4)*4/3))*0.414),((F4+(((TODAY()-B4)^0.5)/(336^0.414))+(LOG(D4)*4/3))*0.414))</f>
        <v>6.6395394902117708</v>
      </c>
      <c r="AD4" s="58">
        <f t="shared" ref="AD4:AD13" ca="1" si="15">IF(TODAY()-B4&gt;335,((G4+1+(LOG(D4)*4/3))*0.167),((G4+(((TODAY()-B4)^0.5)/(336^0.5))+(LOG(D4)*4/3))*0.167))</f>
        <v>0.67426834508542477</v>
      </c>
      <c r="AE4" s="58">
        <f t="shared" ref="AE4:AE13" ca="1" si="16">IF(TODAY()-B4&gt;335,((H4+1+(LOG(D4)*4/3))*0.588),((H4+(((TODAY()-B4)^0.5)/(336^0.5))+(LOG(D4)*4/3))*0.588))</f>
        <v>8.2540705803007768</v>
      </c>
      <c r="AF4" s="58">
        <f t="shared" ref="AF4:AF13" ca="1" si="17">IF(TODAY()-B4&gt;335,((F4+1+(LOG(D4)*4/3))*0.754),((F4+(((TODAY()-B4)^0.5)/(336^0.5))+(LOG(D4)*4/3))*0.754))</f>
        <v>12.092301390385691</v>
      </c>
      <c r="AG4" s="58">
        <f t="shared" ref="AG4:AG13" ca="1" si="18">IF(TODAY()-B4&gt;335,((F4+1+(LOG(D4)*4/3))*0.708),((F4+(((TODAY()-B4)^0.5)/(336^0.414))+(LOG(D4)*4/3))*0.708))</f>
        <v>11.354574780362158</v>
      </c>
      <c r="AH4" s="58">
        <f t="shared" ref="AH4:AH13" ca="1" si="19">IF(TODAY()-F4&gt;335,((K4+1+(LOG(H4)*4/3))*0.167),((K4+(((TODAY()-F4)^0.5)/(336^0.5))+(LOG(H4)*4/3))*0.167))</f>
        <v>2.0772976907866045</v>
      </c>
      <c r="AI4" s="58">
        <f t="shared" ref="AI4:AI13" ca="1" si="20">IF(TODAY()-F4&gt;335,((L4+1+(LOG(H4)*4/3))*0.288),((L4+(((TODAY()-F4)^0.5)/(336^0.5))+(LOG(H4)*4/3))*0.288))</f>
        <v>2.1784055984822879</v>
      </c>
      <c r="AJ4" s="58">
        <f t="shared" ref="AJ4:AJ13" ca="1" si="21">IF(TODAY()-B4&gt;335,((F4+1+(LOG(D4)*4/3))*0.485),((F4+(((TODAY()-B4)^0.5)/(336^0.5))+(LOG(D4)*4/3))*0.485))</f>
        <v>7.7782044752480894</v>
      </c>
      <c r="AK4" s="58">
        <f t="shared" ref="AK4:AK13" ca="1" si="22">IF(TODAY()-B4&gt;335,((F4+1+(LOG(D4)*4/3))*0.264),((F4+(((TODAY()-B4)^0.5)/(336^0.5))+(LOG(D4)*4/3))*0.264))</f>
        <v>4.2339092401350431</v>
      </c>
      <c r="AL4" s="58">
        <f t="shared" ref="AL4:AL13" ca="1" si="23">IF(TODAY()-B4&gt;335,((G4+1+(LOG(D4)*4/3))*0.381),((G4+(((TODAY()-B4)^0.5)/(336^0.5))+(LOG(D4)*4/3))*0.381))</f>
        <v>1.538300835194891</v>
      </c>
      <c r="AM4" s="58">
        <f t="shared" ref="AM4:AM13" ca="1" si="24">IF(TODAY()-B4&gt;335,((H4+1+(LOG(D4)*4/3))*0.673)+((I4+1+(LOG(D4)*4/3))*0.201),((H4+(((TODAY()-B4)^0.5)/(336^0.5))+(LOG(D4)*4/3))*0.673)+((I4+(((TODAY()-B4)^0.5)/(336^0.5))+(LOG(D4)*4/3))*0.201))</f>
        <v>12.268805590447073</v>
      </c>
      <c r="AN4" s="58">
        <f t="shared" ref="AN4:AN13" ca="1" si="25">IF(TODAY()-B4&gt;335,((I4+1+(LOG(D4)*4/3))*0.052),((I4+(((TODAY()-B4)^0.5)/(336^0.5))+(LOG(D4)*4/3))*0.052))</f>
        <v>0.72995182002659931</v>
      </c>
      <c r="AO4" s="58">
        <f t="shared" ref="AO4:AO13" ca="1" si="26">IF(TODAY()-B4&gt;335,((F4+1+(LOG(D4)*4/3))*0.27),((F4+(((TODAY()-B4)^0.5)/(336^0.5))+(LOG(D4)*4/3))*0.27))</f>
        <v>4.3301344501381118</v>
      </c>
      <c r="AP4" s="58">
        <f t="shared" ref="AP4:AP13" ca="1" si="27">IF(TODAY()-B4&gt;335,((F4+1+(LOG(D4)*4/3))*0.594),((F4+(((TODAY()-B4)^0.5)/(336^0.5))+(LOG(D4)*4/3))*0.594))</f>
        <v>9.5262957903038448</v>
      </c>
      <c r="AQ4" s="58">
        <f t="shared" ref="AQ4:AQ13" ca="1" si="28">AO4/2</f>
        <v>2.1650672250690559</v>
      </c>
      <c r="AR4" s="58">
        <f t="shared" ref="AR4:AR13" ca="1" si="29">IF(TODAY()-B4&gt;335,((G4+1+(LOG(D4)*4/3))*0.944),((G4+(((TODAY()-B4)^0.5)/(336^0.5))+(LOG(D4)*4/3))*0.944))</f>
        <v>3.8114330404828793</v>
      </c>
      <c r="AS4" s="58">
        <f t="shared" ref="AS4:AS13" ca="1" si="30">IF(TODAY()-B4&gt;335,((I4+1+(LOG(D4)*4/3))*0.13),((I4+(((TODAY()-B4)^0.5)/(336^0.5))+(LOG(D4)*4/3))*0.13))</f>
        <v>1.8248795500664983</v>
      </c>
      <c r="AT4" s="58">
        <f t="shared" ref="AT4:AT13" ca="1" si="31">IF(TODAY()-B4&gt;335,((J4+1+(LOG(D4)*4/3))*0.173)+((I4+1+(LOG(D4)*4/3))*0.12),((J4+(((TODAY()-B4)^0.5)/(336^0.5))+(LOG(D4)*4/3))*0.173)+((I4+(((TODAY()-B4)^0.5)/(336^0.5))+(LOG(D4)*4/3))*0.12))</f>
        <v>2.3829977551498769</v>
      </c>
      <c r="AU4" s="58">
        <f t="shared" ref="AU4:AU13" ca="1" si="32">AS4/2</f>
        <v>0.91243977503324913</v>
      </c>
      <c r="AV4" s="58">
        <f t="shared" ref="AV4:AV13" ca="1" si="33">IF(TODAY()-B4&gt;335,((F4+1+(LOG(D4)*4/3))*0.189),((F4+(((TODAY()-B4)^0.5)/(336^0.5))+(LOG(D4)*4/3))*0.189))</f>
        <v>3.0310941150966784</v>
      </c>
      <c r="AW4" s="58">
        <f t="shared" ref="AW4:AW13" ca="1" si="34">IF(TODAY()-B4&gt;335,((F4+1+(LOG(D4)*4/3))*0.4),((F4+(((TODAY()-B4)^0.5)/(336^0.5))+(LOG(D4)*4/3))*0.4))</f>
        <v>6.4150140002046108</v>
      </c>
      <c r="AX4" s="58">
        <f t="shared" ref="AX4:AX13" ca="1" si="35">AV4/2</f>
        <v>1.5155470575483392</v>
      </c>
      <c r="AY4" s="58">
        <f t="shared" ref="AY4:AY13" ca="1" si="36">IF(TODAY()-B4&gt;335,((G4+1+(LOG(D4)*4/3))*1),((G4+(((TODAY()-B4)^0.5)/(336^0.5))+(LOG(D4)*4/3))*1))</f>
        <v>4.0375350005115251</v>
      </c>
      <c r="AZ4" s="58">
        <f t="shared" ref="AZ4:AZ13" ca="1" si="37">IF(TODAY()-B4&gt;335,((I4+1+(LOG(D4)*4/3))*0.253),((I4+(((TODAY()-B4)^0.5)/(336^0.5))+(LOG(D4)*4/3))*0.253))</f>
        <v>3.5514963551294159</v>
      </c>
      <c r="BA4" s="58">
        <f t="shared" ref="BA4:BA13" ca="1" si="38">IF(TODAY()-B4&gt;335,((J4+1+(LOG(D4)*4/3))*0.21)+((I4+1+(LOG(D4)*4/3))*0.341),((J4+(((TODAY()-B4)^0.5)/(336^0.5))+(LOG(D4)*4/3))*0.21)+((I4+(((TODAY()-B4)^0.5)/(336^0.5))+(LOG(D4)*4/3))*0.341))</f>
        <v>5.6346817852818507</v>
      </c>
      <c r="BB4" s="58">
        <f t="shared" ref="BB4:BB13" ca="1" si="39">AZ4/2</f>
        <v>1.7757481775647079</v>
      </c>
      <c r="BC4" s="58">
        <f t="shared" ref="BC4:BC13" ca="1" si="40">IF(TODAY()-B4&gt;335,((F4+1+(LOG(D4)*4/3))*0.291),((F4+(((TODAY()-B4)^0.5)/(336^0.5))+(LOG(D4)*4/3))*0.291))</f>
        <v>4.6669226851488537</v>
      </c>
      <c r="BD4" s="58">
        <f t="shared" ref="BD4:BD13" ca="1" si="41">IF(TODAY()-B4&gt;335,((F4+1+(LOG(D4)*4/3))*0.348),((F4+(((TODAY()-B4)^0.5)/(336^0.5))+(LOG(D4)*4/3))*0.348))</f>
        <v>5.5810621801780105</v>
      </c>
      <c r="BE4" s="58">
        <f t="shared" ref="BE4:BE13" ca="1" si="42">IF(TODAY()-B4&gt;335,((G4+1+(LOG(D4)*4/3))*0.881),((G4+(((TODAY()-B4)^0.5)/(336^0.5))+(LOG(D4)*4/3))*0.881))</f>
        <v>3.5570683354506536</v>
      </c>
      <c r="BF4" s="58">
        <f t="shared" ref="BF4:BF13" ca="1" si="43">IF(TODAY()-B4&gt;335,((H4+1+(LOG(D4)*4/3))*0.574)+((I4+1+(LOG(D4)*4/3))*0.315),((H4+(((TODAY()-B4)^0.5)/(336^0.5))+(LOG(D4)*4/3))*0.574)+((I4+(((TODAY()-B4)^0.5)/(336^0.5))+(LOG(D4)*4/3))*0.315))</f>
        <v>12.479368615454746</v>
      </c>
      <c r="BG4" s="58">
        <f t="shared" ref="BG4:BG13" ca="1" si="44">IF(TODAY()-B4&gt;335,((I4+1+(LOG(D4)*4/3))*0.241),((I4+(((TODAY()-B4)^0.5)/(336^0.5))+(LOG(D4)*4/3))*0.241))</f>
        <v>3.3830459351232776</v>
      </c>
      <c r="BH4" s="58">
        <f t="shared" ref="BH4:BH13" ca="1" si="45">IF(TODAY()-B4&gt;335,((F4+1+(LOG(D4)*4/3))*0.18),((F4+(((TODAY()-B4)^0.5)/(336^0.5))+(LOG(D4)*4/3))*0.18))</f>
        <v>2.8867563000920744</v>
      </c>
      <c r="BI4" s="58">
        <f t="shared" ref="BI4:BI13" ca="1" si="46">IF(TODAY()-B4&gt;335,((F4+1+(LOG(D4)*4/3))*0.068),((F4+(((TODAY()-B4)^0.5)/(336^0.5))+(LOG(D4)*4/3))*0.068))</f>
        <v>1.0905523800347838</v>
      </c>
      <c r="BJ4" s="58">
        <f t="shared" ref="BJ4:BJ13" ca="1" si="47">IF(TODAY()-B4&gt;335,((G4+1+(LOG(D4)*4/3))*0.305),((G4+(((TODAY()-B4)^0.5)/(336^0.5))+(LOG(D4)*4/3))*0.305))</f>
        <v>1.2314481751560151</v>
      </c>
      <c r="BK4" s="58">
        <f t="shared" ref="BK4:BK13" ca="1" si="48">IF(TODAY()-B4&gt;335,((H4+1+(LOG(D4)*4/3))*1)+((I4+1+(LOG(D4)*4/3))*0.286),((H4+(((TODAY()-B4)^0.5)/(336^0.5))+(LOG(D4)*4/3))*1)+((I4+(((TODAY()-B4)^0.5)/(336^0.5))+(LOG(D4)*4/3))*0.286))</f>
        <v>18.052270010657821</v>
      </c>
      <c r="BL4" s="58">
        <f t="shared" ref="BL4:BL13" ca="1" si="49">IF(TODAY()-B4&gt;335,((I4+1+(LOG(D4)*4/3))*0.135),((I4+(((TODAY()-B4)^0.5)/(336^0.5))+(LOG(D4)*4/3))*0.135))</f>
        <v>1.8950672250690561</v>
      </c>
      <c r="BM4" s="58">
        <f t="shared" ref="BM4:BM13" ca="1" si="50">IF(TODAY()-B4&gt;335,((F4+1+(LOG(D4)*4/3))*0.284),((F4+(((TODAY()-B4)^0.5)/(336^0.5))+(LOG(D4)*4/3))*0.284))</f>
        <v>4.5546599401452728</v>
      </c>
      <c r="BN4" s="58">
        <f t="shared" ref="BN4:BN13" ca="1" si="51">IF(TODAY()-B4&gt;335,((F4+1+(LOG(D4)*4/3))*0.244),((F4+(((TODAY()-B4)^0.5)/(336^0.5))+(LOG(D4)*4/3))*0.244))</f>
        <v>3.9131585401248121</v>
      </c>
      <c r="BO4" s="58">
        <f t="shared" ref="BO4:BO13" ca="1" si="52">IF(TODAY()-B4&gt;335,((G4+1+(LOG(D4)*4/3))*0.631),((G4+(((TODAY()-B4)^0.5)/(336^0.5))+(LOG(D4)*4/3))*0.631))</f>
        <v>2.5476845853227723</v>
      </c>
      <c r="BP4" s="58">
        <f t="shared" ref="BP4:BP13" ca="1" si="53">IF(TODAY()-B4&gt;335,((H4+1+(LOG(D4)*4/3))*0.702)+((I4+1+(LOG(D4)*4/3))*0.193),((H4+(((TODAY()-B4)^0.5)/(336^0.5))+(LOG(D4)*4/3))*0.702)+((I4+(((TODAY()-B4)^0.5)/(336^0.5))+(LOG(D4)*4/3))*0.193))</f>
        <v>12.563593825457815</v>
      </c>
      <c r="BQ4" s="58">
        <f t="shared" ref="BQ4:BQ13" ca="1" si="54">IF(TODAY()-B4&gt;335,((I4+1+(LOG(D4)*4/3))*0.148),((I4+(((TODAY()-B4)^0.5)/(336^0.5))+(LOG(D4)*4/3))*0.148))</f>
        <v>2.0775551800757057</v>
      </c>
      <c r="BR4" s="58">
        <f t="shared" ref="BR4:BR13" ca="1" si="55">IF(TODAY()-B4&gt;335,((G4+1+(LOG(D4)*4/3))*0.406),((G4+(((TODAY()-B4)^0.5)/(336^0.5))+(LOG(D4)*4/3))*0.406))</f>
        <v>1.6392392102076794</v>
      </c>
      <c r="BS4" s="58">
        <f t="shared" ref="BS4:BS13" ca="1" si="56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T4" s="58">
        <f t="shared" ref="BT4:BT13" ca="1" si="57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U4" s="58">
        <f t="shared" ref="BU4:BU13" ca="1" si="58">BS4</f>
        <v>6.043555735266505</v>
      </c>
      <c r="BV4" s="58">
        <f t="shared" ref="BV4:BV13" ca="1" si="59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W4" s="58">
        <f t="shared" ref="BW4:BW13" ca="1" si="60">IF(TODAY()-B4&gt;335,((J4+1+(LOG(D4)*4/3))*1)+((I4+1+(LOG(D4)*4/3))*0.369),((J4+(((TODAY()-B4)^0.5)/(336^0.5))+(LOG(D4)*4/3))*1)+((I4+(((TODAY()-B4)^0.5)/(336^0.5))+(LOG(D4)*4/3))*0.369))</f>
        <v>9.2173854157002779</v>
      </c>
      <c r="BX4" s="58">
        <f t="shared" ref="BX4:BX13" ca="1" si="61">BV4</f>
        <v>6.1453843053186805</v>
      </c>
      <c r="BY4" s="58">
        <f t="shared" ref="BY4:BY13" ca="1" si="62">IF(TODAY()-B4&gt;335,((G4+1+(LOG(D4)*4/3))*0.25),((G4+(((TODAY()-B4)^0.5)/(336^0.5))+(LOG(D4)*4/3))*0.25))</f>
        <v>1.0093837501278813</v>
      </c>
    </row>
    <row r="5" spans="1:77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63">((2*(I5+1))+(F5+1))/8</f>
        <v>4.875</v>
      </c>
      <c r="M5" s="45">
        <f t="shared" ref="M5:M13" si="64">(0.5*J5+ 0.3*K5)/10</f>
        <v>0.4</v>
      </c>
      <c r="N5" s="45">
        <f t="shared" ref="N5:N13" si="65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2"/>
        <v>14.037535000511525</v>
      </c>
      <c r="V5" s="58">
        <f t="shared" ca="1" si="8"/>
        <v>3.6216840301319735</v>
      </c>
      <c r="W5" s="58">
        <f t="shared" ca="1" si="9"/>
        <v>3.816933330121743</v>
      </c>
      <c r="X5" s="58">
        <f t="shared" ca="1" si="10"/>
        <v>5.3061882301933565</v>
      </c>
      <c r="Y5" s="58">
        <f t="shared" ca="1" si="11"/>
        <v>10.149137805369833</v>
      </c>
      <c r="Z5" s="58">
        <f t="shared" ca="1" si="12"/>
        <v>2.6530941150966783</v>
      </c>
      <c r="AA5" s="58">
        <f t="shared" ca="1" si="13"/>
        <v>6.1744509751969376</v>
      </c>
      <c r="AB5" s="58">
        <f t="shared" ca="1" si="3"/>
        <v>12.914532200470603</v>
      </c>
      <c r="AC5" s="58">
        <f t="shared" ca="1" si="14"/>
        <v>5.8115394902117714</v>
      </c>
      <c r="AD5" s="58">
        <f t="shared" ca="1" si="15"/>
        <v>2.6782683450854248</v>
      </c>
      <c r="AE5" s="58">
        <f t="shared" ca="1" si="16"/>
        <v>2.3740705803007764</v>
      </c>
      <c r="AF5" s="58">
        <f t="shared" ca="1" si="17"/>
        <v>10.58430139038569</v>
      </c>
      <c r="AG5" s="58">
        <f t="shared" ca="1" si="18"/>
        <v>9.9385747803621598</v>
      </c>
      <c r="AH5" s="58">
        <f t="shared" ca="1" si="19"/>
        <v>1.9040293457011799</v>
      </c>
      <c r="AI5" s="58">
        <f t="shared" ca="1" si="20"/>
        <v>1.8075955183349688</v>
      </c>
      <c r="AJ5" s="58">
        <f t="shared" ca="1" si="21"/>
        <v>6.8082044752480897</v>
      </c>
      <c r="AK5" s="58">
        <f t="shared" ca="1" si="22"/>
        <v>3.7059092401350426</v>
      </c>
      <c r="AL5" s="58">
        <f t="shared" ca="1" si="23"/>
        <v>6.1103008351948915</v>
      </c>
      <c r="AM5" s="58">
        <f t="shared" ca="1" si="24"/>
        <v>5.5388055904470725</v>
      </c>
      <c r="AN5" s="58">
        <f t="shared" ca="1" si="25"/>
        <v>0.72995182002659931</v>
      </c>
      <c r="AO5" s="58">
        <f t="shared" ca="1" si="26"/>
        <v>3.7901344501381122</v>
      </c>
      <c r="AP5" s="58">
        <f t="shared" ca="1" si="27"/>
        <v>8.3382957903038459</v>
      </c>
      <c r="AQ5" s="58">
        <f t="shared" ca="1" si="28"/>
        <v>1.8950672250690561</v>
      </c>
      <c r="AR5" s="58">
        <f t="shared" ca="1" si="29"/>
        <v>15.13943304048288</v>
      </c>
      <c r="AS5" s="58">
        <f t="shared" ca="1" si="30"/>
        <v>1.8248795500664983</v>
      </c>
      <c r="AT5" s="58">
        <f t="shared" ca="1" si="31"/>
        <v>2.3829977551498769</v>
      </c>
      <c r="AU5" s="58">
        <f t="shared" ca="1" si="32"/>
        <v>0.91243977503324913</v>
      </c>
      <c r="AV5" s="58">
        <f t="shared" ca="1" si="33"/>
        <v>2.6530941150966783</v>
      </c>
      <c r="AW5" s="58">
        <f t="shared" ca="1" si="34"/>
        <v>5.6150140002046101</v>
      </c>
      <c r="AX5" s="58">
        <f t="shared" ca="1" si="35"/>
        <v>1.3265470575483391</v>
      </c>
      <c r="AY5" s="58">
        <f t="shared" ca="1" si="36"/>
        <v>16.037535000511525</v>
      </c>
      <c r="AZ5" s="58">
        <f t="shared" ca="1" si="37"/>
        <v>3.5514963551294159</v>
      </c>
      <c r="BA5" s="58">
        <f t="shared" ca="1" si="38"/>
        <v>5.6346817852818507</v>
      </c>
      <c r="BB5" s="58">
        <f t="shared" ca="1" si="39"/>
        <v>1.7757481775647079</v>
      </c>
      <c r="BC5" s="58">
        <f t="shared" ca="1" si="40"/>
        <v>4.0849226851488538</v>
      </c>
      <c r="BD5" s="58">
        <f t="shared" ca="1" si="41"/>
        <v>4.8850621801780107</v>
      </c>
      <c r="BE5" s="58">
        <f t="shared" ca="1" si="42"/>
        <v>14.129068335450654</v>
      </c>
      <c r="BF5" s="58">
        <f t="shared" ca="1" si="43"/>
        <v>6.7393686154547456</v>
      </c>
      <c r="BG5" s="58">
        <f t="shared" ca="1" si="44"/>
        <v>3.3830459351232776</v>
      </c>
      <c r="BH5" s="58">
        <f t="shared" ca="1" si="45"/>
        <v>2.5267563000920745</v>
      </c>
      <c r="BI5" s="58">
        <f t="shared" ca="1" si="46"/>
        <v>0.95455238003478382</v>
      </c>
      <c r="BJ5" s="58">
        <f t="shared" ca="1" si="47"/>
        <v>4.8914481751560155</v>
      </c>
      <c r="BK5" s="58">
        <f t="shared" ca="1" si="48"/>
        <v>8.0522700106578213</v>
      </c>
      <c r="BL5" s="58">
        <f t="shared" ca="1" si="49"/>
        <v>1.8950672250690561</v>
      </c>
      <c r="BM5" s="58">
        <f t="shared" ca="1" si="50"/>
        <v>3.9866599401452727</v>
      </c>
      <c r="BN5" s="58">
        <f t="shared" ca="1" si="51"/>
        <v>3.4251585401248121</v>
      </c>
      <c r="BO5" s="58">
        <f t="shared" ca="1" si="52"/>
        <v>10.119684585322773</v>
      </c>
      <c r="BP5" s="58">
        <f t="shared" ca="1" si="53"/>
        <v>5.5435938254578154</v>
      </c>
      <c r="BQ5" s="58">
        <f t="shared" ca="1" si="54"/>
        <v>2.0775551800757057</v>
      </c>
      <c r="BR5" s="58">
        <f t="shared" ca="1" si="55"/>
        <v>6.5112392102076795</v>
      </c>
      <c r="BS5" s="58">
        <f t="shared" ca="1" si="56"/>
        <v>4.6035557352665037</v>
      </c>
      <c r="BT5" s="58">
        <f t="shared" ca="1" si="57"/>
        <v>9.976264410575979</v>
      </c>
      <c r="BU5" s="58">
        <f t="shared" ca="1" si="58"/>
        <v>4.6035557352665037</v>
      </c>
      <c r="BV5" s="58">
        <f t="shared" ca="1" si="59"/>
        <v>3.9353843053186801</v>
      </c>
      <c r="BW5" s="58">
        <f t="shared" ca="1" si="60"/>
        <v>9.2173854157002779</v>
      </c>
      <c r="BX5" s="58">
        <f t="shared" ca="1" si="61"/>
        <v>3.9353843053186801</v>
      </c>
      <c r="BY5" s="58">
        <f t="shared" ca="1" si="62"/>
        <v>4.0093837501278813</v>
      </c>
    </row>
    <row r="6" spans="1:77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63"/>
        <v>5.125</v>
      </c>
      <c r="M6" s="45">
        <f t="shared" si="64"/>
        <v>0.4</v>
      </c>
      <c r="N6" s="45">
        <f t="shared" si="65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10"/>
        <v>6.0621882301933567</v>
      </c>
      <c r="Y6" s="58">
        <f t="shared" ca="1" si="11"/>
        <v>11.595137805369832</v>
      </c>
      <c r="Z6" s="58">
        <f t="shared" ca="1" si="12"/>
        <v>3.0310941150966784</v>
      </c>
      <c r="AA6" s="58">
        <f t="shared" ca="1" si="13"/>
        <v>1.5544509751969373</v>
      </c>
      <c r="AB6" s="58">
        <f t="shared" ca="1" si="3"/>
        <v>14.754532200470603</v>
      </c>
      <c r="AC6" s="58">
        <f t="shared" ca="1" si="14"/>
        <v>6.6395394902117708</v>
      </c>
      <c r="AD6" s="58">
        <f t="shared" ca="1" si="15"/>
        <v>0.67426834508542477</v>
      </c>
      <c r="AE6" s="58">
        <f t="shared" ca="1" si="16"/>
        <v>8.2540705803007768</v>
      </c>
      <c r="AF6" s="58">
        <f t="shared" ca="1" si="17"/>
        <v>12.092301390385691</v>
      </c>
      <c r="AG6" s="58">
        <f t="shared" ca="1" si="18"/>
        <v>11.354574780362158</v>
      </c>
      <c r="AH6" s="58">
        <f t="shared" ca="1" si="19"/>
        <v>2.0772976907866045</v>
      </c>
      <c r="AI6" s="58">
        <f t="shared" ca="1" si="20"/>
        <v>2.1784055984822879</v>
      </c>
      <c r="AJ6" s="58">
        <f t="shared" ca="1" si="21"/>
        <v>7.7782044752480894</v>
      </c>
      <c r="AK6" s="58">
        <f t="shared" ca="1" si="22"/>
        <v>4.2339092401350431</v>
      </c>
      <c r="AL6" s="58">
        <f t="shared" ca="1" si="23"/>
        <v>1.538300835194891</v>
      </c>
      <c r="AM6" s="58">
        <f t="shared" ca="1" si="24"/>
        <v>12.268805590447073</v>
      </c>
      <c r="AN6" s="58">
        <f t="shared" ca="1" si="25"/>
        <v>0.72995182002659931</v>
      </c>
      <c r="AO6" s="58">
        <f t="shared" ca="1" si="26"/>
        <v>4.3301344501381118</v>
      </c>
      <c r="AP6" s="58">
        <f t="shared" ca="1" si="27"/>
        <v>9.5262957903038448</v>
      </c>
      <c r="AQ6" s="58">
        <f t="shared" ca="1" si="28"/>
        <v>2.1650672250690559</v>
      </c>
      <c r="AR6" s="58">
        <f t="shared" ca="1" si="29"/>
        <v>3.8114330404828793</v>
      </c>
      <c r="AS6" s="58">
        <f t="shared" ca="1" si="30"/>
        <v>1.8248795500664983</v>
      </c>
      <c r="AT6" s="58">
        <f t="shared" ca="1" si="31"/>
        <v>2.3829977551498769</v>
      </c>
      <c r="AU6" s="58">
        <f t="shared" ca="1" si="32"/>
        <v>0.91243977503324913</v>
      </c>
      <c r="AV6" s="58">
        <f t="shared" ca="1" si="33"/>
        <v>3.0310941150966784</v>
      </c>
      <c r="AW6" s="58">
        <f t="shared" ca="1" si="34"/>
        <v>6.4150140002046108</v>
      </c>
      <c r="AX6" s="58">
        <f t="shared" ca="1" si="35"/>
        <v>1.5155470575483392</v>
      </c>
      <c r="AY6" s="58">
        <f t="shared" ca="1" si="36"/>
        <v>4.0375350005115251</v>
      </c>
      <c r="AZ6" s="58">
        <f t="shared" ca="1" si="37"/>
        <v>3.5514963551294159</v>
      </c>
      <c r="BA6" s="58">
        <f t="shared" ca="1" si="38"/>
        <v>5.6346817852818507</v>
      </c>
      <c r="BB6" s="58">
        <f t="shared" ca="1" si="39"/>
        <v>1.7757481775647079</v>
      </c>
      <c r="BC6" s="58">
        <f t="shared" ca="1" si="40"/>
        <v>4.6669226851488537</v>
      </c>
      <c r="BD6" s="58">
        <f t="shared" ca="1" si="41"/>
        <v>5.5810621801780105</v>
      </c>
      <c r="BE6" s="58">
        <f t="shared" ca="1" si="42"/>
        <v>3.5570683354506536</v>
      </c>
      <c r="BF6" s="58">
        <f t="shared" ca="1" si="43"/>
        <v>12.479368615454746</v>
      </c>
      <c r="BG6" s="58">
        <f t="shared" ca="1" si="44"/>
        <v>3.3830459351232776</v>
      </c>
      <c r="BH6" s="58">
        <f t="shared" ca="1" si="45"/>
        <v>2.8867563000920744</v>
      </c>
      <c r="BI6" s="58">
        <f t="shared" ca="1" si="46"/>
        <v>1.0905523800347838</v>
      </c>
      <c r="BJ6" s="58">
        <f t="shared" ca="1" si="47"/>
        <v>1.2314481751560151</v>
      </c>
      <c r="BK6" s="58">
        <f t="shared" ca="1" si="48"/>
        <v>18.052270010657821</v>
      </c>
      <c r="BL6" s="58">
        <f t="shared" ca="1" si="49"/>
        <v>1.8950672250690561</v>
      </c>
      <c r="BM6" s="58">
        <f t="shared" ca="1" si="50"/>
        <v>4.5546599401452728</v>
      </c>
      <c r="BN6" s="58">
        <f t="shared" ca="1" si="51"/>
        <v>3.9131585401248121</v>
      </c>
      <c r="BO6" s="58">
        <f t="shared" ca="1" si="52"/>
        <v>2.5476845853227723</v>
      </c>
      <c r="BP6" s="58">
        <f t="shared" ca="1" si="53"/>
        <v>12.563593825457815</v>
      </c>
      <c r="BQ6" s="58">
        <f t="shared" ca="1" si="54"/>
        <v>2.0775551800757057</v>
      </c>
      <c r="BR6" s="58">
        <f t="shared" ca="1" si="55"/>
        <v>1.6392392102076794</v>
      </c>
      <c r="BS6" s="58">
        <f t="shared" ca="1" si="56"/>
        <v>6.043555735266505</v>
      </c>
      <c r="BT6" s="58">
        <f t="shared" ca="1" si="57"/>
        <v>9.976264410575979</v>
      </c>
      <c r="BU6" s="58">
        <f t="shared" ca="1" si="58"/>
        <v>6.043555735266505</v>
      </c>
      <c r="BV6" s="58">
        <f t="shared" ca="1" si="59"/>
        <v>6.1453843053186805</v>
      </c>
      <c r="BW6" s="58">
        <f t="shared" ca="1" si="60"/>
        <v>9.2173854157002779</v>
      </c>
      <c r="BX6" s="58">
        <f t="shared" ca="1" si="61"/>
        <v>6.1453843053186805</v>
      </c>
      <c r="BY6" s="58">
        <f t="shared" ca="1" si="62"/>
        <v>1.0093837501278813</v>
      </c>
    </row>
    <row r="7" spans="1:77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63"/>
        <v>2.375</v>
      </c>
      <c r="M7" s="45">
        <f t="shared" si="64"/>
        <v>0.65</v>
      </c>
      <c r="N7" s="45">
        <f t="shared" si="65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10"/>
        <v>1.5261882301933565</v>
      </c>
      <c r="Y7" s="58">
        <f t="shared" ca="1" si="11"/>
        <v>2.9191378053698327</v>
      </c>
      <c r="Z7" s="58">
        <f t="shared" ca="1" si="12"/>
        <v>0.76309411509667824</v>
      </c>
      <c r="AA7" s="58">
        <f t="shared" ca="1" si="13"/>
        <v>6.1744509751969376</v>
      </c>
      <c r="AB7" s="58">
        <f t="shared" ca="1" si="3"/>
        <v>3.7145322004706034</v>
      </c>
      <c r="AC7" s="58">
        <f t="shared" ca="1" si="14"/>
        <v>1.6715394902117713</v>
      </c>
      <c r="AD7" s="58">
        <f t="shared" ca="1" si="15"/>
        <v>2.6782683450854248</v>
      </c>
      <c r="AE7" s="58">
        <f t="shared" ca="1" si="16"/>
        <v>10.018070580300776</v>
      </c>
      <c r="AF7" s="58">
        <f t="shared" ca="1" si="17"/>
        <v>3.0443013903856899</v>
      </c>
      <c r="AG7" s="58">
        <f t="shared" ca="1" si="18"/>
        <v>2.8585747803621597</v>
      </c>
      <c r="AH7" s="58">
        <f t="shared" ca="1" si="19"/>
        <v>2.0988763203497318</v>
      </c>
      <c r="AI7" s="58">
        <f t="shared" ca="1" si="20"/>
        <v>1.4236190434773814</v>
      </c>
      <c r="AJ7" s="58">
        <f t="shared" ca="1" si="21"/>
        <v>1.9582044752480896</v>
      </c>
      <c r="AK7" s="58">
        <f t="shared" ca="1" si="22"/>
        <v>1.0659092401350427</v>
      </c>
      <c r="AL7" s="58">
        <f t="shared" ca="1" si="23"/>
        <v>6.1103008351948915</v>
      </c>
      <c r="AM7" s="58">
        <f t="shared" ca="1" si="24"/>
        <v>13.282805590447072</v>
      </c>
      <c r="AN7" s="58">
        <f t="shared" ca="1" si="25"/>
        <v>0.4699518200265993</v>
      </c>
      <c r="AO7" s="58">
        <f t="shared" ca="1" si="26"/>
        <v>1.0901344501381118</v>
      </c>
      <c r="AP7" s="58">
        <f t="shared" ca="1" si="27"/>
        <v>2.398295790303846</v>
      </c>
      <c r="AQ7" s="58">
        <f t="shared" ca="1" si="28"/>
        <v>0.54506722506905592</v>
      </c>
      <c r="AR7" s="58">
        <f t="shared" ca="1" si="29"/>
        <v>15.13943304048288</v>
      </c>
      <c r="AS7" s="58">
        <f t="shared" ca="1" si="30"/>
        <v>1.1748795500664984</v>
      </c>
      <c r="AT7" s="58">
        <f t="shared" ca="1" si="31"/>
        <v>2.6479977551498766</v>
      </c>
      <c r="AU7" s="58">
        <f t="shared" ca="1" si="32"/>
        <v>0.58743977503324918</v>
      </c>
      <c r="AV7" s="58">
        <f t="shared" ca="1" si="33"/>
        <v>0.76309411509667824</v>
      </c>
      <c r="AW7" s="58">
        <f t="shared" ca="1" si="34"/>
        <v>1.6150140002046101</v>
      </c>
      <c r="AX7" s="58">
        <f t="shared" ca="1" si="35"/>
        <v>0.38154705754833912</v>
      </c>
      <c r="AY7" s="58">
        <f t="shared" ca="1" si="36"/>
        <v>16.037535000511525</v>
      </c>
      <c r="AZ7" s="58">
        <f t="shared" ca="1" si="37"/>
        <v>2.2864963551294157</v>
      </c>
      <c r="BA7" s="58">
        <f t="shared" ca="1" si="38"/>
        <v>4.9796817852818505</v>
      </c>
      <c r="BB7" s="58">
        <f t="shared" ca="1" si="39"/>
        <v>1.1432481775647079</v>
      </c>
      <c r="BC7" s="58">
        <f t="shared" ca="1" si="40"/>
        <v>1.1749226851488537</v>
      </c>
      <c r="BD7" s="58">
        <f t="shared" ca="1" si="41"/>
        <v>1.4050621801780105</v>
      </c>
      <c r="BE7" s="58">
        <f t="shared" ca="1" si="42"/>
        <v>14.129068335450654</v>
      </c>
      <c r="BF7" s="58">
        <f t="shared" ca="1" si="43"/>
        <v>12.626368615454744</v>
      </c>
      <c r="BG7" s="58">
        <f t="shared" ca="1" si="44"/>
        <v>2.1780459351232775</v>
      </c>
      <c r="BH7" s="58">
        <f t="shared" ca="1" si="45"/>
        <v>0.72675630009207448</v>
      </c>
      <c r="BI7" s="58">
        <f t="shared" ca="1" si="46"/>
        <v>0.27455238003478372</v>
      </c>
      <c r="BJ7" s="58">
        <f t="shared" ca="1" si="47"/>
        <v>4.8914481751560155</v>
      </c>
      <c r="BK7" s="58">
        <f t="shared" ca="1" si="48"/>
        <v>19.622270010657822</v>
      </c>
      <c r="BL7" s="58">
        <f t="shared" ca="1" si="49"/>
        <v>1.2200672250690561</v>
      </c>
      <c r="BM7" s="58">
        <f t="shared" ca="1" si="50"/>
        <v>1.1466599401452731</v>
      </c>
      <c r="BN7" s="58">
        <f t="shared" ca="1" si="51"/>
        <v>0.98515854012481208</v>
      </c>
      <c r="BO7" s="58">
        <f t="shared" ca="1" si="52"/>
        <v>10.119684585322773</v>
      </c>
      <c r="BP7" s="58">
        <f t="shared" ca="1" si="53"/>
        <v>13.704593825457815</v>
      </c>
      <c r="BQ7" s="58">
        <f t="shared" ca="1" si="54"/>
        <v>1.3375551800757057</v>
      </c>
      <c r="BR7" s="58">
        <f t="shared" ca="1" si="55"/>
        <v>6.5112392102076795</v>
      </c>
      <c r="BS7" s="58">
        <f t="shared" ca="1" si="56"/>
        <v>5.8605557352665052</v>
      </c>
      <c r="BT7" s="58">
        <f t="shared" ca="1" si="57"/>
        <v>10.176264410575978</v>
      </c>
      <c r="BU7" s="58">
        <f t="shared" ca="1" si="58"/>
        <v>5.8605557352665052</v>
      </c>
      <c r="BV7" s="58">
        <f t="shared" ca="1" si="59"/>
        <v>7.3983843053186806</v>
      </c>
      <c r="BW7" s="58">
        <f t="shared" ca="1" si="60"/>
        <v>12.372385415700277</v>
      </c>
      <c r="BX7" s="58">
        <f t="shared" ca="1" si="61"/>
        <v>7.3983843053186806</v>
      </c>
      <c r="BY7" s="58">
        <f t="shared" ca="1" si="62"/>
        <v>4.0093837501278813</v>
      </c>
    </row>
    <row r="8" spans="1:77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12</v>
      </c>
      <c r="J8" s="45">
        <v>2</v>
      </c>
      <c r="K8" s="45">
        <v>10</v>
      </c>
      <c r="L8" s="45">
        <f t="shared" si="63"/>
        <v>4.875</v>
      </c>
      <c r="M8" s="45">
        <f t="shared" si="64"/>
        <v>0.4</v>
      </c>
      <c r="N8" s="45">
        <f t="shared" si="65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10"/>
        <v>5.3061882301933565</v>
      </c>
      <c r="Y8" s="58">
        <f t="shared" ca="1" si="11"/>
        <v>10.149137805369833</v>
      </c>
      <c r="Z8" s="58">
        <f t="shared" ca="1" si="12"/>
        <v>2.6530941150966783</v>
      </c>
      <c r="AA8" s="58">
        <f t="shared" ca="1" si="13"/>
        <v>6.1744509751969376</v>
      </c>
      <c r="AB8" s="58">
        <f t="shared" ca="1" si="3"/>
        <v>12.914532200470603</v>
      </c>
      <c r="AC8" s="58">
        <f t="shared" ca="1" si="14"/>
        <v>5.8115394902117714</v>
      </c>
      <c r="AD8" s="58">
        <f t="shared" ca="1" si="15"/>
        <v>2.6782683450854248</v>
      </c>
      <c r="AE8" s="58">
        <f t="shared" ca="1" si="16"/>
        <v>2.3740705803007764</v>
      </c>
      <c r="AF8" s="58">
        <f t="shared" ca="1" si="17"/>
        <v>10.58430139038569</v>
      </c>
      <c r="AG8" s="58">
        <f t="shared" ca="1" si="18"/>
        <v>9.9385747803621598</v>
      </c>
      <c r="AH8" s="58">
        <f t="shared" ca="1" si="19"/>
        <v>1.9040293457011799</v>
      </c>
      <c r="AI8" s="58">
        <f t="shared" ca="1" si="20"/>
        <v>1.8075955183349688</v>
      </c>
      <c r="AJ8" s="58">
        <f t="shared" ca="1" si="21"/>
        <v>6.8082044752480897</v>
      </c>
      <c r="AK8" s="58">
        <f t="shared" ca="1" si="22"/>
        <v>3.7059092401350426</v>
      </c>
      <c r="AL8" s="58">
        <f t="shared" ca="1" si="23"/>
        <v>6.1103008351948915</v>
      </c>
      <c r="AM8" s="58">
        <f t="shared" ca="1" si="24"/>
        <v>5.5388055904470725</v>
      </c>
      <c r="AN8" s="58">
        <f t="shared" ca="1" si="25"/>
        <v>0.72995182002659931</v>
      </c>
      <c r="AO8" s="58">
        <f t="shared" ca="1" si="26"/>
        <v>3.7901344501381122</v>
      </c>
      <c r="AP8" s="58">
        <f t="shared" ca="1" si="27"/>
        <v>8.3382957903038459</v>
      </c>
      <c r="AQ8" s="58">
        <f t="shared" ca="1" si="28"/>
        <v>1.8950672250690561</v>
      </c>
      <c r="AR8" s="58">
        <f t="shared" ca="1" si="29"/>
        <v>15.13943304048288</v>
      </c>
      <c r="AS8" s="58">
        <f t="shared" ca="1" si="30"/>
        <v>1.8248795500664983</v>
      </c>
      <c r="AT8" s="58">
        <f t="shared" ca="1" si="31"/>
        <v>2.3829977551498769</v>
      </c>
      <c r="AU8" s="58">
        <f t="shared" ca="1" si="32"/>
        <v>0.91243977503324913</v>
      </c>
      <c r="AV8" s="58">
        <f t="shared" ca="1" si="33"/>
        <v>2.6530941150966783</v>
      </c>
      <c r="AW8" s="58">
        <f t="shared" ca="1" si="34"/>
        <v>5.6150140002046101</v>
      </c>
      <c r="AX8" s="58">
        <f t="shared" ca="1" si="35"/>
        <v>1.3265470575483391</v>
      </c>
      <c r="AY8" s="58">
        <f t="shared" ca="1" si="36"/>
        <v>16.037535000511525</v>
      </c>
      <c r="AZ8" s="58">
        <f t="shared" ca="1" si="37"/>
        <v>3.5514963551294159</v>
      </c>
      <c r="BA8" s="58">
        <f t="shared" ca="1" si="38"/>
        <v>5.6346817852818507</v>
      </c>
      <c r="BB8" s="58">
        <f t="shared" ca="1" si="39"/>
        <v>1.7757481775647079</v>
      </c>
      <c r="BC8" s="58">
        <f t="shared" ca="1" si="40"/>
        <v>4.0849226851488538</v>
      </c>
      <c r="BD8" s="58">
        <f t="shared" ca="1" si="41"/>
        <v>4.8850621801780107</v>
      </c>
      <c r="BE8" s="58">
        <f t="shared" ca="1" si="42"/>
        <v>14.129068335450654</v>
      </c>
      <c r="BF8" s="58">
        <f t="shared" ca="1" si="43"/>
        <v>6.7393686154547456</v>
      </c>
      <c r="BG8" s="58">
        <f t="shared" ca="1" si="44"/>
        <v>3.3830459351232776</v>
      </c>
      <c r="BH8" s="58">
        <f t="shared" ca="1" si="45"/>
        <v>2.5267563000920745</v>
      </c>
      <c r="BI8" s="58">
        <f t="shared" ca="1" si="46"/>
        <v>0.95455238003478382</v>
      </c>
      <c r="BJ8" s="58">
        <f t="shared" ca="1" si="47"/>
        <v>4.8914481751560155</v>
      </c>
      <c r="BK8" s="58">
        <f t="shared" ca="1" si="48"/>
        <v>8.0522700106578213</v>
      </c>
      <c r="BL8" s="58">
        <f t="shared" ca="1" si="49"/>
        <v>1.8950672250690561</v>
      </c>
      <c r="BM8" s="58">
        <f t="shared" ca="1" si="50"/>
        <v>3.9866599401452727</v>
      </c>
      <c r="BN8" s="58">
        <f t="shared" ca="1" si="51"/>
        <v>3.4251585401248121</v>
      </c>
      <c r="BO8" s="58">
        <f t="shared" ca="1" si="52"/>
        <v>10.119684585322773</v>
      </c>
      <c r="BP8" s="58">
        <f t="shared" ca="1" si="53"/>
        <v>5.5435938254578154</v>
      </c>
      <c r="BQ8" s="58">
        <f t="shared" ca="1" si="54"/>
        <v>2.0775551800757057</v>
      </c>
      <c r="BR8" s="58">
        <f t="shared" ca="1" si="55"/>
        <v>6.5112392102076795</v>
      </c>
      <c r="BS8" s="58">
        <f t="shared" ca="1" si="56"/>
        <v>4.6035557352665037</v>
      </c>
      <c r="BT8" s="58">
        <f t="shared" ca="1" si="57"/>
        <v>9.976264410575979</v>
      </c>
      <c r="BU8" s="58">
        <f t="shared" ca="1" si="58"/>
        <v>4.6035557352665037</v>
      </c>
      <c r="BV8" s="58">
        <f t="shared" ca="1" si="59"/>
        <v>3.9353843053186801</v>
      </c>
      <c r="BW8" s="58">
        <f t="shared" ca="1" si="60"/>
        <v>9.2173854157002779</v>
      </c>
      <c r="BX8" s="58">
        <f t="shared" ca="1" si="61"/>
        <v>3.9353843053186801</v>
      </c>
      <c r="BY8" s="58">
        <f t="shared" ca="1" si="62"/>
        <v>4.0093837501278813</v>
      </c>
    </row>
    <row r="9" spans="1:77" x14ac:dyDescent="0.25">
      <c r="B9" s="60">
        <v>41974</v>
      </c>
      <c r="C9" s="43">
        <v>6</v>
      </c>
      <c r="D9" s="44">
        <v>6</v>
      </c>
      <c r="E9" s="45">
        <v>0</v>
      </c>
      <c r="F9" s="45">
        <v>2</v>
      </c>
      <c r="G9" s="45">
        <v>14</v>
      </c>
      <c r="H9" s="45">
        <v>2</v>
      </c>
      <c r="I9" s="45">
        <v>14</v>
      </c>
      <c r="J9" s="45">
        <v>12</v>
      </c>
      <c r="K9" s="45">
        <v>10</v>
      </c>
      <c r="L9" s="45">
        <f t="shared" si="63"/>
        <v>4.125</v>
      </c>
      <c r="M9" s="45">
        <f t="shared" si="64"/>
        <v>0.9</v>
      </c>
      <c r="N9" s="45">
        <f t="shared" si="65"/>
        <v>0.38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2.3307680554465611</v>
      </c>
      <c r="R9" s="58">
        <f t="shared" ca="1" si="5"/>
        <v>3.4804576856603786</v>
      </c>
      <c r="S9" s="58">
        <f t="shared" ca="1" si="6"/>
        <v>2.3307680554465611</v>
      </c>
      <c r="T9" s="58">
        <f t="shared" ca="1" si="7"/>
        <v>2.0833680602639468</v>
      </c>
      <c r="U9" s="58">
        <f t="shared" ca="1" si="2"/>
        <v>4.0375350005115251</v>
      </c>
      <c r="V9" s="58">
        <f t="shared" ca="1" si="8"/>
        <v>1.0416840301319734</v>
      </c>
      <c r="W9" s="58">
        <f t="shared" ca="1" si="9"/>
        <v>3.816933330121743</v>
      </c>
      <c r="X9" s="58">
        <f t="shared" ca="1" si="10"/>
        <v>1.5261882301933565</v>
      </c>
      <c r="Y9" s="58">
        <f t="shared" ca="1" si="11"/>
        <v>2.9191378053698327</v>
      </c>
      <c r="Z9" s="58">
        <f t="shared" ca="1" si="12"/>
        <v>0.76309411509667824</v>
      </c>
      <c r="AA9" s="58">
        <f t="shared" ca="1" si="13"/>
        <v>6.1744509751969376</v>
      </c>
      <c r="AB9" s="58">
        <f t="shared" ca="1" si="3"/>
        <v>3.7145322004706034</v>
      </c>
      <c r="AC9" s="58">
        <f t="shared" ca="1" si="14"/>
        <v>1.6715394902117713</v>
      </c>
      <c r="AD9" s="58">
        <f t="shared" ca="1" si="15"/>
        <v>2.6782683450854248</v>
      </c>
      <c r="AE9" s="58">
        <f t="shared" ca="1" si="16"/>
        <v>2.3740705803007764</v>
      </c>
      <c r="AF9" s="58">
        <f t="shared" ca="1" si="17"/>
        <v>3.0443013903856899</v>
      </c>
      <c r="AG9" s="58">
        <f t="shared" ca="1" si="18"/>
        <v>2.8585747803621597</v>
      </c>
      <c r="AH9" s="58">
        <f t="shared" ca="1" si="19"/>
        <v>1.9040293457011799</v>
      </c>
      <c r="AI9" s="58">
        <f t="shared" ca="1" si="20"/>
        <v>1.5915955183349688</v>
      </c>
      <c r="AJ9" s="58">
        <f t="shared" ca="1" si="21"/>
        <v>1.9582044752480896</v>
      </c>
      <c r="AK9" s="58">
        <f t="shared" ca="1" si="22"/>
        <v>1.0659092401350427</v>
      </c>
      <c r="AL9" s="58">
        <f t="shared" ca="1" si="23"/>
        <v>6.1103008351948915</v>
      </c>
      <c r="AM9" s="58">
        <f t="shared" ca="1" si="24"/>
        <v>5.9408055904470736</v>
      </c>
      <c r="AN9" s="58">
        <f t="shared" ca="1" si="25"/>
        <v>0.83395182002659929</v>
      </c>
      <c r="AO9" s="58">
        <f t="shared" ca="1" si="26"/>
        <v>1.0901344501381118</v>
      </c>
      <c r="AP9" s="58">
        <f t="shared" ca="1" si="27"/>
        <v>2.398295790303846</v>
      </c>
      <c r="AQ9" s="58">
        <f t="shared" ca="1" si="28"/>
        <v>0.54506722506905592</v>
      </c>
      <c r="AR9" s="58">
        <f t="shared" ca="1" si="29"/>
        <v>15.13943304048288</v>
      </c>
      <c r="AS9" s="58">
        <f t="shared" ca="1" si="30"/>
        <v>2.0848795500664985</v>
      </c>
      <c r="AT9" s="58">
        <f t="shared" ca="1" si="31"/>
        <v>4.3529977551498771</v>
      </c>
      <c r="AU9" s="58">
        <f t="shared" ca="1" si="32"/>
        <v>1.0424397750332492</v>
      </c>
      <c r="AV9" s="58">
        <f t="shared" ca="1" si="33"/>
        <v>0.76309411509667824</v>
      </c>
      <c r="AW9" s="58">
        <f t="shared" ca="1" si="34"/>
        <v>1.6150140002046101</v>
      </c>
      <c r="AX9" s="58">
        <f t="shared" ca="1" si="35"/>
        <v>0.38154705754833912</v>
      </c>
      <c r="AY9" s="58">
        <f t="shared" ca="1" si="36"/>
        <v>16.037535000511525</v>
      </c>
      <c r="AZ9" s="58">
        <f t="shared" ca="1" si="37"/>
        <v>4.0574963551294161</v>
      </c>
      <c r="BA9" s="58">
        <f t="shared" ca="1" si="38"/>
        <v>8.4166817852818507</v>
      </c>
      <c r="BB9" s="58">
        <f t="shared" ca="1" si="39"/>
        <v>2.028748177564708</v>
      </c>
      <c r="BC9" s="58">
        <f t="shared" ca="1" si="40"/>
        <v>1.1749226851488537</v>
      </c>
      <c r="BD9" s="58">
        <f t="shared" ca="1" si="41"/>
        <v>1.4050621801780105</v>
      </c>
      <c r="BE9" s="58">
        <f t="shared" ca="1" si="42"/>
        <v>14.129068335450654</v>
      </c>
      <c r="BF9" s="58">
        <f t="shared" ca="1" si="43"/>
        <v>7.3693686154547455</v>
      </c>
      <c r="BG9" s="58">
        <f t="shared" ca="1" si="44"/>
        <v>3.8650459351232773</v>
      </c>
      <c r="BH9" s="58">
        <f t="shared" ca="1" si="45"/>
        <v>0.72675630009207448</v>
      </c>
      <c r="BI9" s="58">
        <f t="shared" ca="1" si="46"/>
        <v>0.27455238003478372</v>
      </c>
      <c r="BJ9" s="58">
        <f t="shared" ca="1" si="47"/>
        <v>4.8914481751560155</v>
      </c>
      <c r="BK9" s="58">
        <f t="shared" ca="1" si="48"/>
        <v>8.6242700106578205</v>
      </c>
      <c r="BL9" s="58">
        <f t="shared" ca="1" si="49"/>
        <v>2.1650672250690559</v>
      </c>
      <c r="BM9" s="58">
        <f t="shared" ca="1" si="50"/>
        <v>1.1466599401452731</v>
      </c>
      <c r="BN9" s="58">
        <f t="shared" ca="1" si="51"/>
        <v>0.98515854012481208</v>
      </c>
      <c r="BO9" s="58">
        <f t="shared" ca="1" si="52"/>
        <v>10.119684585322773</v>
      </c>
      <c r="BP9" s="58">
        <f t="shared" ca="1" si="53"/>
        <v>5.9295938254578147</v>
      </c>
      <c r="BQ9" s="58">
        <f t="shared" ca="1" si="54"/>
        <v>2.3735551800757055</v>
      </c>
      <c r="BR9" s="58">
        <f t="shared" ca="1" si="55"/>
        <v>6.5112392102076795</v>
      </c>
      <c r="BS9" s="58">
        <f t="shared" ca="1" si="56"/>
        <v>6.3735557352665042</v>
      </c>
      <c r="BT9" s="58">
        <f t="shared" ca="1" si="57"/>
        <v>16.892264410575976</v>
      </c>
      <c r="BU9" s="58">
        <f t="shared" ca="1" si="58"/>
        <v>6.3735557352665042</v>
      </c>
      <c r="BV9" s="58">
        <f t="shared" ca="1" si="59"/>
        <v>6.81938430531868</v>
      </c>
      <c r="BW9" s="58">
        <f t="shared" ca="1" si="60"/>
        <v>19.955385415700277</v>
      </c>
      <c r="BX9" s="58">
        <f t="shared" ca="1" si="61"/>
        <v>6.81938430531868</v>
      </c>
      <c r="BY9" s="58">
        <f t="shared" ca="1" si="62"/>
        <v>4.0093837501278813</v>
      </c>
    </row>
    <row r="10" spans="1:77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63"/>
        <v>2.375</v>
      </c>
      <c r="M10" s="45">
        <f t="shared" si="64"/>
        <v>0.65</v>
      </c>
      <c r="N10" s="45">
        <f t="shared" si="65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10"/>
        <v>1.5261882301933565</v>
      </c>
      <c r="Y10" s="58">
        <f t="shared" ca="1" si="11"/>
        <v>2.9191378053698327</v>
      </c>
      <c r="Z10" s="58">
        <f t="shared" ca="1" si="12"/>
        <v>0.76309411509667824</v>
      </c>
      <c r="AA10" s="58">
        <f t="shared" ca="1" si="13"/>
        <v>6.1744509751969376</v>
      </c>
      <c r="AB10" s="58">
        <f t="shared" ca="1" si="3"/>
        <v>3.7145322004706034</v>
      </c>
      <c r="AC10" s="58">
        <f t="shared" ca="1" si="14"/>
        <v>1.6715394902117713</v>
      </c>
      <c r="AD10" s="58">
        <f t="shared" ca="1" si="15"/>
        <v>2.6782683450854248</v>
      </c>
      <c r="AE10" s="58">
        <f t="shared" ca="1" si="16"/>
        <v>10.018070580300776</v>
      </c>
      <c r="AF10" s="58">
        <f t="shared" ca="1" si="17"/>
        <v>3.0443013903856899</v>
      </c>
      <c r="AG10" s="58">
        <f t="shared" ca="1" si="18"/>
        <v>2.8585747803621597</v>
      </c>
      <c r="AH10" s="58">
        <f t="shared" ca="1" si="19"/>
        <v>2.0988763203497318</v>
      </c>
      <c r="AI10" s="58">
        <f t="shared" ca="1" si="20"/>
        <v>1.4236190434773814</v>
      </c>
      <c r="AJ10" s="58">
        <f t="shared" ca="1" si="21"/>
        <v>1.9582044752480896</v>
      </c>
      <c r="AK10" s="58">
        <f t="shared" ca="1" si="22"/>
        <v>1.0659092401350427</v>
      </c>
      <c r="AL10" s="58">
        <f t="shared" ca="1" si="23"/>
        <v>6.1103008351948915</v>
      </c>
      <c r="AM10" s="58">
        <f t="shared" ca="1" si="24"/>
        <v>13.282805590447072</v>
      </c>
      <c r="AN10" s="58">
        <f t="shared" ca="1" si="25"/>
        <v>0.4699518200265993</v>
      </c>
      <c r="AO10" s="58">
        <f t="shared" ca="1" si="26"/>
        <v>1.0901344501381118</v>
      </c>
      <c r="AP10" s="58">
        <f t="shared" ca="1" si="27"/>
        <v>2.398295790303846</v>
      </c>
      <c r="AQ10" s="58">
        <f t="shared" ca="1" si="28"/>
        <v>0.54506722506905592</v>
      </c>
      <c r="AR10" s="58">
        <f t="shared" ca="1" si="29"/>
        <v>15.13943304048288</v>
      </c>
      <c r="AS10" s="58">
        <f t="shared" ca="1" si="30"/>
        <v>1.1748795500664984</v>
      </c>
      <c r="AT10" s="58">
        <f t="shared" ca="1" si="31"/>
        <v>2.6479977551498766</v>
      </c>
      <c r="AU10" s="58">
        <f t="shared" ca="1" si="32"/>
        <v>0.58743977503324918</v>
      </c>
      <c r="AV10" s="58">
        <f t="shared" ca="1" si="33"/>
        <v>0.76309411509667824</v>
      </c>
      <c r="AW10" s="58">
        <f t="shared" ca="1" si="34"/>
        <v>1.6150140002046101</v>
      </c>
      <c r="AX10" s="58">
        <f t="shared" ca="1" si="35"/>
        <v>0.38154705754833912</v>
      </c>
      <c r="AY10" s="58">
        <f t="shared" ca="1" si="36"/>
        <v>16.037535000511525</v>
      </c>
      <c r="AZ10" s="58">
        <f t="shared" ca="1" si="37"/>
        <v>2.2864963551294157</v>
      </c>
      <c r="BA10" s="58">
        <f t="shared" ca="1" si="38"/>
        <v>4.9796817852818505</v>
      </c>
      <c r="BB10" s="58">
        <f t="shared" ca="1" si="39"/>
        <v>1.1432481775647079</v>
      </c>
      <c r="BC10" s="58">
        <f t="shared" ca="1" si="40"/>
        <v>1.1749226851488537</v>
      </c>
      <c r="BD10" s="58">
        <f t="shared" ca="1" si="41"/>
        <v>1.4050621801780105</v>
      </c>
      <c r="BE10" s="58">
        <f t="shared" ca="1" si="42"/>
        <v>14.129068335450654</v>
      </c>
      <c r="BF10" s="58">
        <f t="shared" ca="1" si="43"/>
        <v>12.626368615454744</v>
      </c>
      <c r="BG10" s="58">
        <f t="shared" ca="1" si="44"/>
        <v>2.1780459351232775</v>
      </c>
      <c r="BH10" s="58">
        <f t="shared" ca="1" si="45"/>
        <v>0.72675630009207448</v>
      </c>
      <c r="BI10" s="58">
        <f t="shared" ca="1" si="46"/>
        <v>0.27455238003478372</v>
      </c>
      <c r="BJ10" s="58">
        <f t="shared" ca="1" si="47"/>
        <v>4.8914481751560155</v>
      </c>
      <c r="BK10" s="58">
        <f t="shared" ca="1" si="48"/>
        <v>19.622270010657822</v>
      </c>
      <c r="BL10" s="58">
        <f t="shared" ca="1" si="49"/>
        <v>1.2200672250690561</v>
      </c>
      <c r="BM10" s="58">
        <f t="shared" ca="1" si="50"/>
        <v>1.1466599401452731</v>
      </c>
      <c r="BN10" s="58">
        <f t="shared" ca="1" si="51"/>
        <v>0.98515854012481208</v>
      </c>
      <c r="BO10" s="58">
        <f t="shared" ca="1" si="52"/>
        <v>10.119684585322773</v>
      </c>
      <c r="BP10" s="58">
        <f t="shared" ca="1" si="53"/>
        <v>13.704593825457815</v>
      </c>
      <c r="BQ10" s="58">
        <f t="shared" ca="1" si="54"/>
        <v>1.3375551800757057</v>
      </c>
      <c r="BR10" s="58">
        <f t="shared" ca="1" si="55"/>
        <v>6.5112392102076795</v>
      </c>
      <c r="BS10" s="58">
        <f t="shared" ca="1" si="56"/>
        <v>5.8605557352665052</v>
      </c>
      <c r="BT10" s="58">
        <f t="shared" ca="1" si="57"/>
        <v>10.176264410575978</v>
      </c>
      <c r="BU10" s="58">
        <f t="shared" ca="1" si="58"/>
        <v>5.8605557352665052</v>
      </c>
      <c r="BV10" s="58">
        <f t="shared" ca="1" si="59"/>
        <v>7.3983843053186806</v>
      </c>
      <c r="BW10" s="58">
        <f t="shared" ca="1" si="60"/>
        <v>12.372385415700277</v>
      </c>
      <c r="BX10" s="58">
        <f t="shared" ca="1" si="61"/>
        <v>7.3983843053186806</v>
      </c>
      <c r="BY10" s="58">
        <f t="shared" ca="1" si="62"/>
        <v>4.0093837501278813</v>
      </c>
    </row>
    <row r="11" spans="1:77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63"/>
        <v>2.375</v>
      </c>
      <c r="M11" s="45">
        <f t="shared" si="64"/>
        <v>0.65</v>
      </c>
      <c r="N11" s="45">
        <f t="shared" si="65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10"/>
        <v>1.5261882301933565</v>
      </c>
      <c r="Y11" s="58">
        <f t="shared" ca="1" si="11"/>
        <v>2.9191378053698327</v>
      </c>
      <c r="Z11" s="58">
        <f t="shared" ca="1" si="12"/>
        <v>0.76309411509667824</v>
      </c>
      <c r="AA11" s="58">
        <f t="shared" ca="1" si="13"/>
        <v>6.1744509751969376</v>
      </c>
      <c r="AB11" s="58">
        <f t="shared" ca="1" si="3"/>
        <v>3.7145322004706034</v>
      </c>
      <c r="AC11" s="58">
        <f t="shared" ca="1" si="14"/>
        <v>1.6715394902117713</v>
      </c>
      <c r="AD11" s="58">
        <f t="shared" ca="1" si="15"/>
        <v>2.6782683450854248</v>
      </c>
      <c r="AE11" s="58">
        <f t="shared" ca="1" si="16"/>
        <v>10.018070580300776</v>
      </c>
      <c r="AF11" s="58">
        <f t="shared" ca="1" si="17"/>
        <v>3.0443013903856899</v>
      </c>
      <c r="AG11" s="58">
        <f t="shared" ca="1" si="18"/>
        <v>2.8585747803621597</v>
      </c>
      <c r="AH11" s="58">
        <f t="shared" ca="1" si="19"/>
        <v>2.0988763203497318</v>
      </c>
      <c r="AI11" s="58">
        <f t="shared" ca="1" si="20"/>
        <v>1.4236190434773814</v>
      </c>
      <c r="AJ11" s="58">
        <f t="shared" ca="1" si="21"/>
        <v>1.9582044752480896</v>
      </c>
      <c r="AK11" s="58">
        <f t="shared" ca="1" si="22"/>
        <v>1.0659092401350427</v>
      </c>
      <c r="AL11" s="58">
        <f t="shared" ca="1" si="23"/>
        <v>6.1103008351948915</v>
      </c>
      <c r="AM11" s="58">
        <f t="shared" ca="1" si="24"/>
        <v>13.282805590447072</v>
      </c>
      <c r="AN11" s="58">
        <f t="shared" ca="1" si="25"/>
        <v>0.4699518200265993</v>
      </c>
      <c r="AO11" s="58">
        <f t="shared" ca="1" si="26"/>
        <v>1.0901344501381118</v>
      </c>
      <c r="AP11" s="58">
        <f t="shared" ca="1" si="27"/>
        <v>2.398295790303846</v>
      </c>
      <c r="AQ11" s="58">
        <f t="shared" ca="1" si="28"/>
        <v>0.54506722506905592</v>
      </c>
      <c r="AR11" s="58">
        <f t="shared" ca="1" si="29"/>
        <v>15.13943304048288</v>
      </c>
      <c r="AS11" s="58">
        <f t="shared" ca="1" si="30"/>
        <v>1.1748795500664984</v>
      </c>
      <c r="AT11" s="58">
        <f t="shared" ca="1" si="31"/>
        <v>2.6479977551498766</v>
      </c>
      <c r="AU11" s="58">
        <f t="shared" ca="1" si="32"/>
        <v>0.58743977503324918</v>
      </c>
      <c r="AV11" s="58">
        <f t="shared" ca="1" si="33"/>
        <v>0.76309411509667824</v>
      </c>
      <c r="AW11" s="58">
        <f t="shared" ca="1" si="34"/>
        <v>1.6150140002046101</v>
      </c>
      <c r="AX11" s="58">
        <f t="shared" ca="1" si="35"/>
        <v>0.38154705754833912</v>
      </c>
      <c r="AY11" s="58">
        <f t="shared" ca="1" si="36"/>
        <v>16.037535000511525</v>
      </c>
      <c r="AZ11" s="58">
        <f t="shared" ca="1" si="37"/>
        <v>2.2864963551294157</v>
      </c>
      <c r="BA11" s="58">
        <f t="shared" ca="1" si="38"/>
        <v>4.9796817852818505</v>
      </c>
      <c r="BB11" s="58">
        <f t="shared" ca="1" si="39"/>
        <v>1.1432481775647079</v>
      </c>
      <c r="BC11" s="58">
        <f t="shared" ca="1" si="40"/>
        <v>1.1749226851488537</v>
      </c>
      <c r="BD11" s="58">
        <f t="shared" ca="1" si="41"/>
        <v>1.4050621801780105</v>
      </c>
      <c r="BE11" s="58">
        <f t="shared" ca="1" si="42"/>
        <v>14.129068335450654</v>
      </c>
      <c r="BF11" s="58">
        <f t="shared" ca="1" si="43"/>
        <v>12.626368615454744</v>
      </c>
      <c r="BG11" s="58">
        <f t="shared" ca="1" si="44"/>
        <v>2.1780459351232775</v>
      </c>
      <c r="BH11" s="58">
        <f t="shared" ca="1" si="45"/>
        <v>0.72675630009207448</v>
      </c>
      <c r="BI11" s="58">
        <f t="shared" ca="1" si="46"/>
        <v>0.27455238003478372</v>
      </c>
      <c r="BJ11" s="58">
        <f t="shared" ca="1" si="47"/>
        <v>4.8914481751560155</v>
      </c>
      <c r="BK11" s="58">
        <f t="shared" ca="1" si="48"/>
        <v>19.622270010657822</v>
      </c>
      <c r="BL11" s="58">
        <f t="shared" ca="1" si="49"/>
        <v>1.2200672250690561</v>
      </c>
      <c r="BM11" s="58">
        <f t="shared" ca="1" si="50"/>
        <v>1.1466599401452731</v>
      </c>
      <c r="BN11" s="58">
        <f t="shared" ca="1" si="51"/>
        <v>0.98515854012481208</v>
      </c>
      <c r="BO11" s="58">
        <f t="shared" ca="1" si="52"/>
        <v>10.119684585322773</v>
      </c>
      <c r="BP11" s="58">
        <f t="shared" ca="1" si="53"/>
        <v>13.704593825457815</v>
      </c>
      <c r="BQ11" s="58">
        <f t="shared" ca="1" si="54"/>
        <v>1.3375551800757057</v>
      </c>
      <c r="BR11" s="58">
        <f t="shared" ca="1" si="55"/>
        <v>6.5112392102076795</v>
      </c>
      <c r="BS11" s="58">
        <f t="shared" ca="1" si="56"/>
        <v>5.8605557352665052</v>
      </c>
      <c r="BT11" s="58">
        <f t="shared" ca="1" si="57"/>
        <v>10.176264410575978</v>
      </c>
      <c r="BU11" s="58">
        <f t="shared" ca="1" si="58"/>
        <v>5.8605557352665052</v>
      </c>
      <c r="BV11" s="58">
        <f t="shared" ca="1" si="59"/>
        <v>7.3983843053186806</v>
      </c>
      <c r="BW11" s="58">
        <f t="shared" ca="1" si="60"/>
        <v>12.372385415700277</v>
      </c>
      <c r="BX11" s="58">
        <f t="shared" ca="1" si="61"/>
        <v>7.3983843053186806</v>
      </c>
      <c r="BY11" s="58">
        <f t="shared" ca="1" si="62"/>
        <v>4.0093837501278813</v>
      </c>
    </row>
    <row r="12" spans="1:77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63"/>
        <v>4.125</v>
      </c>
      <c r="M12" s="45">
        <f t="shared" si="64"/>
        <v>0.9</v>
      </c>
      <c r="N12" s="45">
        <f t="shared" si="65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10"/>
        <v>1.5261882301933565</v>
      </c>
      <c r="Y12" s="58">
        <f t="shared" ca="1" si="11"/>
        <v>2.9191378053698327</v>
      </c>
      <c r="Z12" s="58">
        <f t="shared" ca="1" si="12"/>
        <v>0.76309411509667824</v>
      </c>
      <c r="AA12" s="58">
        <f t="shared" ca="1" si="13"/>
        <v>6.1744509751969376</v>
      </c>
      <c r="AB12" s="58">
        <f t="shared" ca="1" si="3"/>
        <v>3.7145322004706034</v>
      </c>
      <c r="AC12" s="58">
        <f t="shared" ca="1" si="14"/>
        <v>1.6715394902117713</v>
      </c>
      <c r="AD12" s="58">
        <f t="shared" ca="1" si="15"/>
        <v>2.6782683450854248</v>
      </c>
      <c r="AE12" s="58">
        <f t="shared" ca="1" si="16"/>
        <v>2.3740705803007764</v>
      </c>
      <c r="AF12" s="58">
        <f t="shared" ca="1" si="17"/>
        <v>3.0443013903856899</v>
      </c>
      <c r="AG12" s="58">
        <f t="shared" ca="1" si="18"/>
        <v>2.8585747803621597</v>
      </c>
      <c r="AH12" s="58">
        <f t="shared" ca="1" si="19"/>
        <v>1.9040293457011799</v>
      </c>
      <c r="AI12" s="58">
        <f t="shared" ca="1" si="20"/>
        <v>1.5915955183349688</v>
      </c>
      <c r="AJ12" s="58">
        <f t="shared" ca="1" si="21"/>
        <v>1.9582044752480896</v>
      </c>
      <c r="AK12" s="58">
        <f t="shared" ca="1" si="22"/>
        <v>1.0659092401350427</v>
      </c>
      <c r="AL12" s="58">
        <f t="shared" ca="1" si="23"/>
        <v>6.1103008351948915</v>
      </c>
      <c r="AM12" s="58">
        <f t="shared" ca="1" si="24"/>
        <v>5.9408055904470736</v>
      </c>
      <c r="AN12" s="58">
        <f t="shared" ca="1" si="25"/>
        <v>0.83395182002659929</v>
      </c>
      <c r="AO12" s="58">
        <f t="shared" ca="1" si="26"/>
        <v>1.0901344501381118</v>
      </c>
      <c r="AP12" s="58">
        <f t="shared" ca="1" si="27"/>
        <v>2.398295790303846</v>
      </c>
      <c r="AQ12" s="58">
        <f t="shared" ca="1" si="28"/>
        <v>0.54506722506905592</v>
      </c>
      <c r="AR12" s="58">
        <f t="shared" ca="1" si="29"/>
        <v>15.13943304048288</v>
      </c>
      <c r="AS12" s="58">
        <f t="shared" ca="1" si="30"/>
        <v>2.0848795500664985</v>
      </c>
      <c r="AT12" s="58">
        <f t="shared" ca="1" si="31"/>
        <v>4.3529977551498771</v>
      </c>
      <c r="AU12" s="58">
        <f t="shared" ca="1" si="32"/>
        <v>1.0424397750332492</v>
      </c>
      <c r="AV12" s="58">
        <f t="shared" ca="1" si="33"/>
        <v>0.76309411509667824</v>
      </c>
      <c r="AW12" s="58">
        <f t="shared" ca="1" si="34"/>
        <v>1.6150140002046101</v>
      </c>
      <c r="AX12" s="58">
        <f t="shared" ca="1" si="35"/>
        <v>0.38154705754833912</v>
      </c>
      <c r="AY12" s="58">
        <f t="shared" ca="1" si="36"/>
        <v>16.037535000511525</v>
      </c>
      <c r="AZ12" s="58">
        <f t="shared" ca="1" si="37"/>
        <v>4.0574963551294161</v>
      </c>
      <c r="BA12" s="58">
        <f t="shared" ca="1" si="38"/>
        <v>8.4166817852818507</v>
      </c>
      <c r="BB12" s="58">
        <f t="shared" ca="1" si="39"/>
        <v>2.028748177564708</v>
      </c>
      <c r="BC12" s="58">
        <f t="shared" ca="1" si="40"/>
        <v>1.1749226851488537</v>
      </c>
      <c r="BD12" s="58">
        <f t="shared" ca="1" si="41"/>
        <v>1.4050621801780105</v>
      </c>
      <c r="BE12" s="58">
        <f t="shared" ca="1" si="42"/>
        <v>14.129068335450654</v>
      </c>
      <c r="BF12" s="58">
        <f t="shared" ca="1" si="43"/>
        <v>7.3693686154547455</v>
      </c>
      <c r="BG12" s="58">
        <f t="shared" ca="1" si="44"/>
        <v>3.8650459351232773</v>
      </c>
      <c r="BH12" s="58">
        <f t="shared" ca="1" si="45"/>
        <v>0.72675630009207448</v>
      </c>
      <c r="BI12" s="58">
        <f t="shared" ca="1" si="46"/>
        <v>0.27455238003478372</v>
      </c>
      <c r="BJ12" s="58">
        <f t="shared" ca="1" si="47"/>
        <v>4.8914481751560155</v>
      </c>
      <c r="BK12" s="58">
        <f t="shared" ca="1" si="48"/>
        <v>8.6242700106578205</v>
      </c>
      <c r="BL12" s="58">
        <f t="shared" ca="1" si="49"/>
        <v>2.1650672250690559</v>
      </c>
      <c r="BM12" s="58">
        <f t="shared" ca="1" si="50"/>
        <v>1.1466599401452731</v>
      </c>
      <c r="BN12" s="58">
        <f t="shared" ca="1" si="51"/>
        <v>0.98515854012481208</v>
      </c>
      <c r="BO12" s="58">
        <f t="shared" ca="1" si="52"/>
        <v>10.119684585322773</v>
      </c>
      <c r="BP12" s="58">
        <f t="shared" ca="1" si="53"/>
        <v>5.9295938254578147</v>
      </c>
      <c r="BQ12" s="58">
        <f t="shared" ca="1" si="54"/>
        <v>2.3735551800757055</v>
      </c>
      <c r="BR12" s="58">
        <f t="shared" ca="1" si="55"/>
        <v>6.5112392102076795</v>
      </c>
      <c r="BS12" s="58">
        <f t="shared" ca="1" si="56"/>
        <v>6.3735557352665042</v>
      </c>
      <c r="BT12" s="58">
        <f t="shared" ca="1" si="57"/>
        <v>16.892264410575976</v>
      </c>
      <c r="BU12" s="58">
        <f t="shared" ca="1" si="58"/>
        <v>6.3735557352665042</v>
      </c>
      <c r="BV12" s="58">
        <f t="shared" ca="1" si="59"/>
        <v>6.81938430531868</v>
      </c>
      <c r="BW12" s="58">
        <f t="shared" ca="1" si="60"/>
        <v>19.955385415700277</v>
      </c>
      <c r="BX12" s="58">
        <f t="shared" ca="1" si="61"/>
        <v>6.81938430531868</v>
      </c>
      <c r="BY12" s="58">
        <f t="shared" ca="1" si="62"/>
        <v>4.0093837501278813</v>
      </c>
    </row>
    <row r="13" spans="1:77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63"/>
        <v>4.125</v>
      </c>
      <c r="M13" s="45">
        <f t="shared" si="64"/>
        <v>0.9</v>
      </c>
      <c r="N13" s="45">
        <f t="shared" si="65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10"/>
        <v>1.5261882301933565</v>
      </c>
      <c r="Y13" s="58">
        <f t="shared" ca="1" si="11"/>
        <v>2.9191378053698327</v>
      </c>
      <c r="Z13" s="58">
        <f t="shared" ca="1" si="12"/>
        <v>0.76309411509667824</v>
      </c>
      <c r="AA13" s="58">
        <f t="shared" ca="1" si="13"/>
        <v>6.1744509751969376</v>
      </c>
      <c r="AB13" s="58">
        <f t="shared" ca="1" si="3"/>
        <v>3.7145322004706034</v>
      </c>
      <c r="AC13" s="58">
        <f t="shared" ca="1" si="14"/>
        <v>1.6715394902117713</v>
      </c>
      <c r="AD13" s="58">
        <f t="shared" ca="1" si="15"/>
        <v>2.6782683450854248</v>
      </c>
      <c r="AE13" s="58">
        <f t="shared" ca="1" si="16"/>
        <v>2.3740705803007764</v>
      </c>
      <c r="AF13" s="58">
        <f t="shared" ca="1" si="17"/>
        <v>3.0443013903856899</v>
      </c>
      <c r="AG13" s="58">
        <f t="shared" ca="1" si="18"/>
        <v>2.8585747803621597</v>
      </c>
      <c r="AH13" s="58">
        <f t="shared" ca="1" si="19"/>
        <v>1.9040293457011799</v>
      </c>
      <c r="AI13" s="58">
        <f t="shared" ca="1" si="20"/>
        <v>1.5915955183349688</v>
      </c>
      <c r="AJ13" s="58">
        <f t="shared" ca="1" si="21"/>
        <v>1.9582044752480896</v>
      </c>
      <c r="AK13" s="58">
        <f t="shared" ca="1" si="22"/>
        <v>1.0659092401350427</v>
      </c>
      <c r="AL13" s="58">
        <f t="shared" ca="1" si="23"/>
        <v>6.1103008351948915</v>
      </c>
      <c r="AM13" s="58">
        <f t="shared" ca="1" si="24"/>
        <v>5.9408055904470736</v>
      </c>
      <c r="AN13" s="58">
        <f t="shared" ca="1" si="25"/>
        <v>0.83395182002659929</v>
      </c>
      <c r="AO13" s="58">
        <f t="shared" ca="1" si="26"/>
        <v>1.0901344501381118</v>
      </c>
      <c r="AP13" s="58">
        <f t="shared" ca="1" si="27"/>
        <v>2.398295790303846</v>
      </c>
      <c r="AQ13" s="58">
        <f t="shared" ca="1" si="28"/>
        <v>0.54506722506905592</v>
      </c>
      <c r="AR13" s="58">
        <f t="shared" ca="1" si="29"/>
        <v>15.13943304048288</v>
      </c>
      <c r="AS13" s="58">
        <f t="shared" ca="1" si="30"/>
        <v>2.0848795500664985</v>
      </c>
      <c r="AT13" s="58">
        <f t="shared" ca="1" si="31"/>
        <v>4.3529977551498771</v>
      </c>
      <c r="AU13" s="58">
        <f t="shared" ca="1" si="32"/>
        <v>1.0424397750332492</v>
      </c>
      <c r="AV13" s="58">
        <f t="shared" ca="1" si="33"/>
        <v>0.76309411509667824</v>
      </c>
      <c r="AW13" s="58">
        <f t="shared" ca="1" si="34"/>
        <v>1.6150140002046101</v>
      </c>
      <c r="AX13" s="58">
        <f t="shared" ca="1" si="35"/>
        <v>0.38154705754833912</v>
      </c>
      <c r="AY13" s="58">
        <f t="shared" ca="1" si="36"/>
        <v>16.037535000511525</v>
      </c>
      <c r="AZ13" s="58">
        <f t="shared" ca="1" si="37"/>
        <v>4.0574963551294161</v>
      </c>
      <c r="BA13" s="58">
        <f t="shared" ca="1" si="38"/>
        <v>8.4166817852818507</v>
      </c>
      <c r="BB13" s="58">
        <f t="shared" ca="1" si="39"/>
        <v>2.028748177564708</v>
      </c>
      <c r="BC13" s="58">
        <f t="shared" ca="1" si="40"/>
        <v>1.1749226851488537</v>
      </c>
      <c r="BD13" s="58">
        <f t="shared" ca="1" si="41"/>
        <v>1.4050621801780105</v>
      </c>
      <c r="BE13" s="58">
        <f t="shared" ca="1" si="42"/>
        <v>14.129068335450654</v>
      </c>
      <c r="BF13" s="58">
        <f t="shared" ca="1" si="43"/>
        <v>7.3693686154547455</v>
      </c>
      <c r="BG13" s="58">
        <f t="shared" ca="1" si="44"/>
        <v>3.8650459351232773</v>
      </c>
      <c r="BH13" s="58">
        <f t="shared" ca="1" si="45"/>
        <v>0.72675630009207448</v>
      </c>
      <c r="BI13" s="58">
        <f t="shared" ca="1" si="46"/>
        <v>0.27455238003478372</v>
      </c>
      <c r="BJ13" s="58">
        <f t="shared" ca="1" si="47"/>
        <v>4.8914481751560155</v>
      </c>
      <c r="BK13" s="58">
        <f t="shared" ca="1" si="48"/>
        <v>8.6242700106578205</v>
      </c>
      <c r="BL13" s="58">
        <f t="shared" ca="1" si="49"/>
        <v>2.1650672250690559</v>
      </c>
      <c r="BM13" s="58">
        <f t="shared" ca="1" si="50"/>
        <v>1.1466599401452731</v>
      </c>
      <c r="BN13" s="58">
        <f t="shared" ca="1" si="51"/>
        <v>0.98515854012481208</v>
      </c>
      <c r="BO13" s="58">
        <f t="shared" ca="1" si="52"/>
        <v>10.119684585322773</v>
      </c>
      <c r="BP13" s="58">
        <f t="shared" ca="1" si="53"/>
        <v>5.9295938254578147</v>
      </c>
      <c r="BQ13" s="58">
        <f t="shared" ca="1" si="54"/>
        <v>2.3735551800757055</v>
      </c>
      <c r="BR13" s="58">
        <f t="shared" ca="1" si="55"/>
        <v>6.5112392102076795</v>
      </c>
      <c r="BS13" s="58">
        <f t="shared" ca="1" si="56"/>
        <v>6.3735557352665042</v>
      </c>
      <c r="BT13" s="58">
        <f t="shared" ca="1" si="57"/>
        <v>16.892264410575976</v>
      </c>
      <c r="BU13" s="58">
        <f t="shared" ca="1" si="58"/>
        <v>6.3735557352665042</v>
      </c>
      <c r="BV13" s="58">
        <f t="shared" ca="1" si="59"/>
        <v>6.81938430531868</v>
      </c>
      <c r="BW13" s="58">
        <f t="shared" ca="1" si="60"/>
        <v>19.955385415700277</v>
      </c>
      <c r="BX13" s="58">
        <f t="shared" ca="1" si="61"/>
        <v>6.81938430531868</v>
      </c>
      <c r="BY13" s="58">
        <f t="shared" ca="1" si="62"/>
        <v>4.0093837501278813</v>
      </c>
    </row>
    <row r="15" spans="1:77" x14ac:dyDescent="0.25">
      <c r="A15" s="61" t="s">
        <v>119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77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f t="shared" ref="K16:K20" si="66">M3*B16</f>
        <v>0.52</v>
      </c>
      <c r="L16" s="49">
        <f t="shared" ref="L16:L20" si="67">N3*B16</f>
        <v>0.8600000000000001</v>
      </c>
    </row>
    <row r="17" spans="1:24" x14ac:dyDescent="0.25">
      <c r="A17" s="48" t="s">
        <v>123</v>
      </c>
      <c r="B17" s="54">
        <v>1</v>
      </c>
      <c r="C17" s="49">
        <f ca="1">AB4</f>
        <v>14.754532200470603</v>
      </c>
      <c r="D17" s="49">
        <f ca="1">AC4</f>
        <v>6.6395394902117708</v>
      </c>
      <c r="E17" s="49">
        <v>0</v>
      </c>
      <c r="F17" s="49">
        <f ca="1">AD4</f>
        <v>0.67426834508542477</v>
      </c>
      <c r="G17" s="49">
        <f ca="1">AE4</f>
        <v>8.2540705803007768</v>
      </c>
      <c r="H17" s="49">
        <v>0</v>
      </c>
      <c r="I17" s="49">
        <v>0</v>
      </c>
      <c r="J17" s="49">
        <f>L4</f>
        <v>5.125</v>
      </c>
      <c r="K17" s="49">
        <f t="shared" si="66"/>
        <v>0.4</v>
      </c>
      <c r="L17" s="49">
        <f t="shared" si="67"/>
        <v>0.8600000000000001</v>
      </c>
    </row>
    <row r="18" spans="1:24" x14ac:dyDescent="0.25">
      <c r="A18" s="48" t="s">
        <v>127</v>
      </c>
      <c r="B18" s="54">
        <v>1</v>
      </c>
      <c r="C18" s="49">
        <f ca="1">(X5+Z5)/2</f>
        <v>3.9796411726450174</v>
      </c>
      <c r="D18" s="49">
        <f ca="1">Y5</f>
        <v>10.149137805369833</v>
      </c>
      <c r="E18" s="49">
        <f ca="1">C18</f>
        <v>3.9796411726450174</v>
      </c>
      <c r="F18" s="49">
        <f ca="1">AA5</f>
        <v>6.1744509751969376</v>
      </c>
      <c r="G18" s="49">
        <v>0</v>
      </c>
      <c r="H18" s="49">
        <v>0</v>
      </c>
      <c r="I18" s="49">
        <v>0</v>
      </c>
      <c r="J18" s="49">
        <f>L5</f>
        <v>4.875</v>
      </c>
      <c r="K18" s="49">
        <f t="shared" si="66"/>
        <v>0.4</v>
      </c>
      <c r="L18" s="49">
        <f t="shared" si="67"/>
        <v>0.78</v>
      </c>
    </row>
    <row r="19" spans="1:24" x14ac:dyDescent="0.25">
      <c r="A19" s="48" t="s">
        <v>99</v>
      </c>
      <c r="B19" s="54">
        <v>1</v>
      </c>
      <c r="C19" s="49">
        <v>0</v>
      </c>
      <c r="D19" s="49">
        <f ca="1">AC6</f>
        <v>6.6395394902117708</v>
      </c>
      <c r="E19" s="49">
        <f ca="1">AB6</f>
        <v>14.754532200470603</v>
      </c>
      <c r="F19" s="49">
        <f ca="1">AD6</f>
        <v>0.67426834508542477</v>
      </c>
      <c r="G19" s="49">
        <v>0</v>
      </c>
      <c r="H19" s="49">
        <f>0</f>
        <v>0</v>
      </c>
      <c r="I19" s="49">
        <f ca="1">AE6</f>
        <v>8.2540705803007768</v>
      </c>
      <c r="J19" s="49">
        <f>L6</f>
        <v>5.125</v>
      </c>
      <c r="K19" s="49">
        <f t="shared" si="66"/>
        <v>0.4</v>
      </c>
      <c r="L19" s="49">
        <f t="shared" si="67"/>
        <v>0.8600000000000001</v>
      </c>
    </row>
    <row r="20" spans="1:24" x14ac:dyDescent="0.25">
      <c r="A20" s="48" t="s">
        <v>124</v>
      </c>
      <c r="B20" s="54">
        <v>1</v>
      </c>
      <c r="C20" s="49">
        <f ca="1">BM7</f>
        <v>1.1466599401452731</v>
      </c>
      <c r="D20" s="49">
        <f ca="1">BN7</f>
        <v>0.98515854012481208</v>
      </c>
      <c r="E20" s="49">
        <v>0</v>
      </c>
      <c r="F20" s="49">
        <f ca="1">BO7</f>
        <v>10.119684585322773</v>
      </c>
      <c r="G20" s="49">
        <f t="shared" ref="G20:H20" ca="1" si="68">BP7</f>
        <v>13.704593825457815</v>
      </c>
      <c r="H20" s="49">
        <f t="shared" ca="1" si="68"/>
        <v>1.3375551800757057</v>
      </c>
      <c r="I20" s="49">
        <v>0</v>
      </c>
      <c r="J20" s="49">
        <v>0</v>
      </c>
      <c r="K20" s="49">
        <f t="shared" si="66"/>
        <v>0.65</v>
      </c>
      <c r="L20" s="49">
        <f t="shared" si="67"/>
        <v>0.38</v>
      </c>
    </row>
    <row r="21" spans="1:24" x14ac:dyDescent="0.25">
      <c r="A21" s="48" t="s">
        <v>125</v>
      </c>
      <c r="B21" s="54">
        <f>1-0.175</f>
        <v>0.82499999999999996</v>
      </c>
      <c r="C21" s="49">
        <f ca="1">AV8*B21</f>
        <v>2.1888026449547593</v>
      </c>
      <c r="D21" s="49">
        <f ca="1">AW8*B21</f>
        <v>4.6323865501688033</v>
      </c>
      <c r="E21" s="49">
        <f ca="1">AX8*B21</f>
        <v>1.0944013224773796</v>
      </c>
      <c r="F21" s="49">
        <f ca="1">AY8*B21</f>
        <v>13.230966375422007</v>
      </c>
      <c r="G21" s="49">
        <f ca="1">AZ8*B21</f>
        <v>2.929984492981768</v>
      </c>
      <c r="H21" s="49">
        <f ca="1">BA8*B21</f>
        <v>4.6486124728575264</v>
      </c>
      <c r="I21" s="49">
        <f ca="1">BB8*B21</f>
        <v>1.464992246490884</v>
      </c>
      <c r="J21" s="49">
        <v>0</v>
      </c>
      <c r="K21" s="49">
        <f>M8*B21</f>
        <v>0.33</v>
      </c>
      <c r="L21" s="49">
        <f>N8*B21</f>
        <v>0.64349999999999996</v>
      </c>
      <c r="T21" s="62"/>
      <c r="X21" s="62"/>
    </row>
    <row r="22" spans="1:24" x14ac:dyDescent="0.25">
      <c r="A22" s="48" t="s">
        <v>125</v>
      </c>
      <c r="B22" s="54">
        <f>1-0.175</f>
        <v>0.82499999999999996</v>
      </c>
      <c r="C22" s="49">
        <f ca="1">AX9*B22</f>
        <v>0.31477632247737974</v>
      </c>
      <c r="D22" s="49">
        <f ca="1">AW9*B22</f>
        <v>1.3323865501688033</v>
      </c>
      <c r="E22" s="49">
        <f ca="1">AV9*B22</f>
        <v>0.62955264495475949</v>
      </c>
      <c r="F22" s="49">
        <f ca="1">AY9*B22</f>
        <v>13.230966375422007</v>
      </c>
      <c r="G22" s="49">
        <f ca="1">BB9*B22</f>
        <v>1.673717246490884</v>
      </c>
      <c r="H22" s="49">
        <f ca="1">BA9*B22</f>
        <v>6.9437624728575269</v>
      </c>
      <c r="I22" s="49">
        <f ca="1">AZ9*B22</f>
        <v>3.3474344929817681</v>
      </c>
      <c r="J22" s="49">
        <v>0</v>
      </c>
      <c r="K22" s="49">
        <f t="shared" ref="K22:K23" si="69">M9*B22</f>
        <v>0.74249999999999994</v>
      </c>
      <c r="L22" s="49">
        <f t="shared" ref="L22:L23" si="70">N9*B22</f>
        <v>0.3135</v>
      </c>
    </row>
    <row r="23" spans="1:24" x14ac:dyDescent="0.25">
      <c r="A23" s="48" t="s">
        <v>102</v>
      </c>
      <c r="B23" s="54">
        <f>1-0.175</f>
        <v>0.82499999999999996</v>
      </c>
      <c r="C23" s="49">
        <v>0</v>
      </c>
      <c r="D23" s="49">
        <f ca="1">BD10*B23</f>
        <v>1.1591762986468586</v>
      </c>
      <c r="E23" s="49">
        <f ca="1">BC10*B23</f>
        <v>0.96931121524780428</v>
      </c>
      <c r="F23" s="49">
        <f ca="1">BE10*B23</f>
        <v>11.65648137674679</v>
      </c>
      <c r="G23" s="49">
        <v>0</v>
      </c>
      <c r="H23" s="49">
        <f ca="1">BG10*B23</f>
        <v>1.7968878964767039</v>
      </c>
      <c r="I23" s="49">
        <f ca="1">BF10*B23</f>
        <v>10.416754107750164</v>
      </c>
      <c r="J23" s="49">
        <v>0</v>
      </c>
      <c r="K23" s="49">
        <f t="shared" si="69"/>
        <v>0.53625</v>
      </c>
      <c r="L23" s="49">
        <f t="shared" si="70"/>
        <v>0.3135</v>
      </c>
    </row>
    <row r="24" spans="1:24" x14ac:dyDescent="0.25">
      <c r="A24" s="48" t="s">
        <v>101</v>
      </c>
      <c r="B24" s="54">
        <v>1</v>
      </c>
      <c r="C24" s="49">
        <v>0</v>
      </c>
      <c r="D24" s="49">
        <f ca="1">BI11</f>
        <v>0.27455238003478372</v>
      </c>
      <c r="E24" s="49">
        <f ca="1">BC11</f>
        <v>1.1749226851488537</v>
      </c>
      <c r="F24" s="49">
        <f ca="1">BJ11</f>
        <v>4.8914481751560155</v>
      </c>
      <c r="G24" s="49">
        <v>0</v>
      </c>
      <c r="H24" s="49">
        <f ca="1">BL11</f>
        <v>1.2200672250690561</v>
      </c>
      <c r="I24" s="49">
        <f ca="1">BK11</f>
        <v>19.622270010657822</v>
      </c>
      <c r="J24" s="49">
        <v>0</v>
      </c>
      <c r="K24" s="49">
        <f>M11*B24</f>
        <v>0.65</v>
      </c>
      <c r="L24" s="49">
        <f>N11*B24</f>
        <v>0.38</v>
      </c>
    </row>
    <row r="25" spans="1:24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BY12*B25</f>
        <v>3.7888676438708475</v>
      </c>
      <c r="G25" s="49">
        <f ca="1">BV12*B25</f>
        <v>6.4443181685261521</v>
      </c>
      <c r="H25" s="49">
        <f ca="1">BW12*B25</f>
        <v>18.857839217836762</v>
      </c>
      <c r="I25" s="49">
        <v>0</v>
      </c>
      <c r="J25" s="49">
        <v>0</v>
      </c>
      <c r="K25" s="49">
        <f t="shared" ref="K25:K26" si="71">M12*B25</f>
        <v>0.85049999999999992</v>
      </c>
      <c r="L25" s="49">
        <f t="shared" ref="L25:L26" si="72">N12*B25</f>
        <v>0.35909999999999997</v>
      </c>
    </row>
    <row r="26" spans="1:24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BY13*B26</f>
        <v>3.7888676438708475</v>
      </c>
      <c r="G26" s="49">
        <v>0</v>
      </c>
      <c r="H26" s="49">
        <f ca="1">BW13*B26</f>
        <v>18.857839217836762</v>
      </c>
      <c r="I26" s="49">
        <f ca="1">BX13*B26</f>
        <v>6.4443181685261521</v>
      </c>
      <c r="J26" s="49">
        <v>0</v>
      </c>
      <c r="K26" s="49">
        <f t="shared" si="71"/>
        <v>0.85049999999999992</v>
      </c>
      <c r="L26" s="49">
        <f t="shared" si="72"/>
        <v>0.35909999999999997</v>
      </c>
    </row>
    <row r="27" spans="1:24" x14ac:dyDescent="0.25">
      <c r="A27" s="50"/>
      <c r="B27" s="46"/>
      <c r="C27" s="51">
        <f ca="1">SUM(C16:C26)</f>
        <v>35.557180336139595</v>
      </c>
      <c r="D27" s="51">
        <f t="shared" ref="D27:L27" ca="1" si="73">SUM(D16:D26)</f>
        <v>51.241334790597811</v>
      </c>
      <c r="E27" s="51">
        <f t="shared" ca="1" si="73"/>
        <v>35.775129296390972</v>
      </c>
      <c r="F27" s="51">
        <f t="shared" ca="1" si="73"/>
        <v>68.230269841179066</v>
      </c>
      <c r="G27" s="51">
        <f t="shared" ca="1" si="73"/>
        <v>33.00668431375739</v>
      </c>
      <c r="H27" s="51">
        <f t="shared" ca="1" si="73"/>
        <v>53.662563683010042</v>
      </c>
      <c r="I27" s="51">
        <f t="shared" ca="1" si="73"/>
        <v>49.549839606707565</v>
      </c>
      <c r="J27" s="52">
        <f t="shared" si="73"/>
        <v>15.125</v>
      </c>
      <c r="K27" s="52">
        <f t="shared" si="73"/>
        <v>6.3297500000000007</v>
      </c>
      <c r="L27" s="52">
        <f t="shared" si="73"/>
        <v>6.1086999999999998</v>
      </c>
    </row>
    <row r="28" spans="1:24" ht="15.75" x14ac:dyDescent="0.25">
      <c r="A28" s="50"/>
      <c r="B28" s="50" t="s">
        <v>105</v>
      </c>
      <c r="C28" s="53">
        <f ca="1">C27*0.34</f>
        <v>12.089441314287463</v>
      </c>
      <c r="D28" s="53">
        <f ca="1">D27*0.245</f>
        <v>12.554127023696463</v>
      </c>
      <c r="E28" s="53">
        <f ca="1">E27*0.34</f>
        <v>12.163543960772932</v>
      </c>
      <c r="F28" s="53">
        <f ca="1">F27*0.125</f>
        <v>8.5287837301473832</v>
      </c>
      <c r="G28" s="53">
        <f ca="1">G27*0.25</f>
        <v>8.2516710784393474</v>
      </c>
      <c r="H28" s="53">
        <f ca="1">H27*0.19</f>
        <v>10.195887099771909</v>
      </c>
      <c r="I28" s="53">
        <f ca="1">I27*0.25</f>
        <v>12.387459901676891</v>
      </c>
    </row>
    <row r="29" spans="1:24" ht="15.75" x14ac:dyDescent="0.25">
      <c r="A29" s="50"/>
      <c r="B29" s="50" t="s">
        <v>106</v>
      </c>
      <c r="C29" s="53">
        <f ca="1">C28*1.2/1.05</f>
        <v>13.81650435918567</v>
      </c>
      <c r="D29" s="53">
        <f t="shared" ref="D29:E29" ca="1" si="74">D28*1.2/1.05</f>
        <v>14.347573741367384</v>
      </c>
      <c r="E29" s="53">
        <f t="shared" ca="1" si="74"/>
        <v>13.901193098026207</v>
      </c>
      <c r="F29" s="53">
        <f ca="1">F28</f>
        <v>8.5287837301473832</v>
      </c>
      <c r="G29" s="53">
        <f ca="1">G28*0.925/1.05</f>
        <v>7.2693292833870444</v>
      </c>
      <c r="H29" s="53">
        <f t="shared" ref="H29:I29" ca="1" si="75">H28*0.925/1.05</f>
        <v>8.9820910164657288</v>
      </c>
      <c r="I29" s="53">
        <f t="shared" ca="1" si="75"/>
        <v>10.912762294334405</v>
      </c>
    </row>
    <row r="30" spans="1:24" ht="15.75" x14ac:dyDescent="0.25">
      <c r="A30" s="50"/>
      <c r="B30" s="50" t="s">
        <v>107</v>
      </c>
      <c r="C30" s="53">
        <f ca="1">C28*0.925/1.05</f>
        <v>10.650222110205622</v>
      </c>
      <c r="D30" s="53">
        <f t="shared" ref="D30:E30" ca="1" si="76">D28*0.925/1.05</f>
        <v>11.059588092304026</v>
      </c>
      <c r="E30" s="53">
        <f t="shared" ca="1" si="76"/>
        <v>10.715503013061868</v>
      </c>
      <c r="F30" s="53">
        <f ca="1">F29</f>
        <v>8.5287837301473832</v>
      </c>
      <c r="G30" s="53">
        <f ca="1">G28*1.135/1.05</f>
        <v>8.9196634990749128</v>
      </c>
      <c r="H30" s="53">
        <f t="shared" ref="H30:I30" ca="1" si="77">H28*1.135/1.05</f>
        <v>11.021268436420112</v>
      </c>
      <c r="I30" s="53">
        <f t="shared" ca="1" si="77"/>
        <v>13.390254274669783</v>
      </c>
    </row>
  </sheetData>
  <conditionalFormatting sqref="O3:P13">
    <cfRule type="cellIs" dxfId="27" priority="19" operator="greaterThan">
      <formula>15</formula>
    </cfRule>
  </conditionalFormatting>
  <conditionalFormatting sqref="L3:L13">
    <cfRule type="cellIs" dxfId="26" priority="18" operator="greaterThan">
      <formula>3.2</formula>
    </cfRule>
  </conditionalFormatting>
  <conditionalFormatting sqref="M3:N13">
    <cfRule type="cellIs" dxfId="25" priority="17" operator="greaterThan">
      <formula>0.6</formula>
    </cfRule>
  </conditionalFormatting>
  <conditionalFormatting sqref="Q3:V13 AB3:AC13 AJ3:AK13 AO3:AQ13 BC3:BC13 BH3:BI13">
    <cfRule type="cellIs" dxfId="24" priority="16" operator="greaterThan">
      <formula>12.5</formula>
    </cfRule>
  </conditionalFormatting>
  <conditionalFormatting sqref="W3:W13 AL3:AL13 AR3:AR13 BE3:BE13 BJ3:BJ13 BR3:BR13">
    <cfRule type="cellIs" dxfId="23" priority="15" operator="greaterThan">
      <formula>12.5</formula>
    </cfRule>
  </conditionalFormatting>
  <conditionalFormatting sqref="AE3:AE13 AM3:AN13 AS3:AU13 BF3:BG13 BK3:BL13 BS3:BX13">
    <cfRule type="cellIs" dxfId="22" priority="14" operator="greaterThan">
      <formula>12.5</formula>
    </cfRule>
  </conditionalFormatting>
  <conditionalFormatting sqref="D3:D13">
    <cfRule type="cellIs" dxfId="21" priority="13" operator="greaterThan">
      <formula>7</formula>
    </cfRule>
  </conditionalFormatting>
  <conditionalFormatting sqref="E3:K11">
    <cfRule type="colorScale" priority="20">
      <colorScale>
        <cfvo type="min"/>
        <cfvo type="max"/>
        <color rgb="FFFCFCFF"/>
        <color rgb="FFF8696B"/>
      </colorScale>
    </cfRule>
  </conditionalFormatting>
  <conditionalFormatting sqref="AF3:AG13">
    <cfRule type="cellIs" dxfId="20" priority="12" operator="greaterThan">
      <formula>12.5</formula>
    </cfRule>
  </conditionalFormatting>
  <conditionalFormatting sqref="AI3:AI13">
    <cfRule type="cellIs" dxfId="19" priority="11" operator="greaterThan">
      <formula>12.5</formula>
    </cfRule>
  </conditionalFormatting>
  <conditionalFormatting sqref="BY3:BY13">
    <cfRule type="cellIs" dxfId="18" priority="10" operator="greaterThan">
      <formula>12.5</formula>
    </cfRule>
  </conditionalFormatting>
  <conditionalFormatting sqref="BM3:BN13">
    <cfRule type="cellIs" dxfId="17" priority="9" operator="greaterThan">
      <formula>12.5</formula>
    </cfRule>
  </conditionalFormatting>
  <conditionalFormatting sqref="BO3:BO13">
    <cfRule type="cellIs" dxfId="16" priority="8" operator="greaterThan">
      <formula>12.5</formula>
    </cfRule>
  </conditionalFormatting>
  <conditionalFormatting sqref="BP3:BQ13">
    <cfRule type="cellIs" dxfId="15" priority="7" operator="greaterThan">
      <formula>12.5</formula>
    </cfRule>
  </conditionalFormatting>
  <conditionalFormatting sqref="AV3:AX13">
    <cfRule type="cellIs" dxfId="14" priority="6" operator="greaterThan">
      <formula>12.5</formula>
    </cfRule>
  </conditionalFormatting>
  <conditionalFormatting sqref="AY3:AY13">
    <cfRule type="cellIs" dxfId="13" priority="5" operator="greaterThan">
      <formula>12.5</formula>
    </cfRule>
  </conditionalFormatting>
  <conditionalFormatting sqref="AZ3:BB13">
    <cfRule type="cellIs" dxfId="12" priority="4" operator="greaterThan">
      <formula>12.5</formula>
    </cfRule>
  </conditionalFormatting>
  <conditionalFormatting sqref="E12:K13">
    <cfRule type="colorScale" priority="3">
      <colorScale>
        <cfvo type="min"/>
        <cfvo type="max"/>
        <color rgb="FFFCFCFF"/>
        <color rgb="FFF8696B"/>
      </colorScale>
    </cfRule>
  </conditionalFormatting>
  <conditionalFormatting sqref="X3:Z13">
    <cfRule type="cellIs" dxfId="11" priority="2" operator="greaterThan">
      <formula>12.5</formula>
    </cfRule>
  </conditionalFormatting>
  <conditionalFormatting sqref="AA3:AA13">
    <cfRule type="cellIs" dxfId="10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</sheetPr>
  <dimension ref="A1:BI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I7" sqref="I7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6.85546875" bestFit="1" customWidth="1"/>
    <col min="45" max="45" width="6.42578125" bestFit="1" customWidth="1"/>
    <col min="46" max="46" width="7.42578125" bestFit="1" customWidth="1"/>
    <col min="47" max="47" width="7.85546875" bestFit="1" customWidth="1"/>
    <col min="48" max="48" width="5.5703125" bestFit="1" customWidth="1"/>
    <col min="49" max="49" width="7.42578125" bestFit="1" customWidth="1"/>
    <col min="50" max="50" width="7.85546875" bestFit="1" customWidth="1"/>
    <col min="51" max="51" width="5.140625" bestFit="1" customWidth="1"/>
    <col min="52" max="52" width="6.42578125" bestFit="1" customWidth="1"/>
    <col min="53" max="53" width="6.85546875" bestFit="1" customWidth="1"/>
    <col min="54" max="54" width="5.140625" bestFit="1" customWidth="1"/>
    <col min="55" max="55" width="6.42578125" bestFit="1" customWidth="1"/>
    <col min="56" max="56" width="6.85546875" bestFit="1" customWidth="1"/>
    <col min="57" max="58" width="6.42578125" bestFit="1" customWidth="1"/>
    <col min="59" max="59" width="6.85546875" bestFit="1" customWidth="1"/>
    <col min="60" max="60" width="6.42578125" bestFit="1" customWidth="1"/>
    <col min="61" max="61" width="5.140625" bestFit="1" customWidth="1"/>
    <col min="62" max="62" width="6.42578125" bestFit="1" customWidth="1"/>
  </cols>
  <sheetData>
    <row r="1" spans="1:61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102</v>
      </c>
      <c r="AW1" t="s">
        <v>101</v>
      </c>
      <c r="BB1" t="s">
        <v>104</v>
      </c>
      <c r="BF1" t="s">
        <v>118</v>
      </c>
    </row>
    <row r="2" spans="1:61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7" t="s">
        <v>90</v>
      </c>
      <c r="AS2" s="57" t="s">
        <v>114</v>
      </c>
      <c r="AT2" s="57" t="s">
        <v>92</v>
      </c>
      <c r="AU2" s="57" t="s">
        <v>95</v>
      </c>
      <c r="AV2" s="57" t="s">
        <v>94</v>
      </c>
      <c r="AW2" s="56" t="s">
        <v>90</v>
      </c>
      <c r="AX2" s="56" t="s">
        <v>114</v>
      </c>
      <c r="AY2" s="56" t="s">
        <v>92</v>
      </c>
      <c r="AZ2" s="56" t="s">
        <v>95</v>
      </c>
      <c r="BA2" s="56" t="s">
        <v>94</v>
      </c>
      <c r="BB2" s="57" t="s">
        <v>92</v>
      </c>
      <c r="BC2" s="57" t="s">
        <v>95</v>
      </c>
      <c r="BD2" s="57" t="s">
        <v>94</v>
      </c>
      <c r="BE2" s="57" t="s">
        <v>95</v>
      </c>
      <c r="BF2" s="56" t="s">
        <v>95</v>
      </c>
      <c r="BG2" s="56" t="s">
        <v>94</v>
      </c>
      <c r="BH2" s="56" t="s">
        <v>95</v>
      </c>
      <c r="BI2" s="56" t="s">
        <v>92</v>
      </c>
    </row>
    <row r="3" spans="1:61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IF(TODAY()-B3&gt;335,((F3+1+(LOG(D3)*4/3))*0.291),((F3+(((TODAY()-B3)^0.5)/(336^0.5))+(LOG(D3)*4/3))*0.291))</f>
        <v>3.7939226851488534</v>
      </c>
      <c r="AS3" s="58">
        <f ca="1">IF(TODAY()-B3&gt;335,((F3+1+(LOG(D3)*4/3))*0.348),((F3+(((TODAY()-B3)^0.5)/(336^0.5))+(LOG(D3)*4/3))*0.348))</f>
        <v>4.53706218017801</v>
      </c>
      <c r="AT3" s="58">
        <f ca="1">IF(TODAY()-B3&gt;335,((G3+1+(LOG(D3)*4/3))*0.881),((G3+(((TODAY()-B3)^0.5)/(336^0.5))+(LOG(D3)*4/3))*0.881))</f>
        <v>3.5570683354506536</v>
      </c>
      <c r="AU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AV3" s="58">
        <f ca="1">IF(TODAY()-B3&gt;335,((I3+1+(LOG(D3)*4/3))*0.241),((I3+(((TODAY()-B3)^0.5)/(336^0.5))+(LOG(D3)*4/3))*0.241))</f>
        <v>1.2140459351232775</v>
      </c>
      <c r="AW3" s="58">
        <f ca="1">IF(TODAY()-B3&gt;335,((F3+1+(LOG(D3)*4/3))*0.18),((F3+(((TODAY()-B3)^0.5)/(336^0.5))+(LOG(D3)*4/3))*0.18))</f>
        <v>2.3467563000920744</v>
      </c>
      <c r="AX3" s="58">
        <f ca="1">IF(TODAY()-B3&gt;335,((F3+1+(LOG(D3)*4/3))*0.068),((F3+(((TODAY()-B3)^0.5)/(336^0.5))+(LOG(D3)*4/3))*0.068))</f>
        <v>0.88655238003478376</v>
      </c>
      <c r="AY3" s="58">
        <f ca="1">IF(TODAY()-B3&gt;335,((G3+1+(LOG(D3)*4/3))*0.305),((G3+(((TODAY()-B3)^0.5)/(336^0.5))+(LOG(D3)*4/3))*0.305))</f>
        <v>1.2314481751560151</v>
      </c>
      <c r="AZ3" s="58">
        <f ca="1">IF(TODAY()-B3&gt;335,((H3+1+(LOG(D3)*4/3))*1)+((I3+1+(LOG(D3)*4/3))*0.286),((H3+(((TODAY()-B3)^0.5)/(336^0.5))+(LOG(D3)*4/3))*1)+((I3+(((TODAY()-B3)^0.5)/(336^0.5))+(LOG(D3)*4/3))*0.286))</f>
        <v>6.4782700106578215</v>
      </c>
      <c r="BA3" s="58">
        <f ca="1">IF(TODAY()-B3&gt;335,((I3+1+(LOG(D3)*4/3))*0.135),((I3+(((TODAY()-B3)^0.5)/(336^0.5))+(LOG(D3)*4/3))*0.135))</f>
        <v>0.68006722506905593</v>
      </c>
      <c r="BB3" s="58">
        <f ca="1">IF(TODAY()-B3&gt;335,((G3+1+(LOG(D3)*4/3))*0.406),((G3+(((TODAY()-B3)^0.5)/(336^0.5))+(LOG(D3)*4/3))*0.406))</f>
        <v>1.6392392102076794</v>
      </c>
      <c r="BC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D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E3" s="58">
        <f ca="1">BC3</f>
        <v>2.4975557352665048</v>
      </c>
      <c r="BF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G3" s="58">
        <f ca="1">IF(TODAY()-B3&gt;335,((J3+1+(LOG(D3)*4/3))*1)+((I3+1+(LOG(D3)*4/3))*0.369),((J3+(((TODAY()-B3)^0.5)/(336^0.5))+(LOG(D3)*4/3))*1)+((I3+(((TODAY()-B3)^0.5)/(336^0.5))+(LOG(D3)*4/3))*0.369))</f>
        <v>5.8963854157002782</v>
      </c>
      <c r="BH3" s="58">
        <f ca="1">BF3</f>
        <v>2.8783843053186806</v>
      </c>
      <c r="BI3" s="58">
        <f ca="1">IF(TODAY()-B3&gt;335,((G3+1+(LOG(D3)*4/3))*0.25),((G3+(((TODAY()-B3)^0.5)/(336^0.5))+(LOG(D3)*4/3))*0.25))</f>
        <v>1.0093837501278813</v>
      </c>
    </row>
    <row r="4" spans="1:61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ref="U4:U13" ca="1" si="8">IF(TODAY()-B4&gt;335,((F4+1+(LOG(D4)*4/3))*1),((F4+(((TODAY()-B4)^0.5)/(336^0.5))+(LOG(D4)*4/3))*1))</f>
        <v>16.037535000511525</v>
      </c>
      <c r="V4" s="58">
        <f t="shared" ref="V4:V13" ca="1" si="9">T4/2</f>
        <v>4.1376840301319735</v>
      </c>
      <c r="W4" s="58">
        <f t="shared" ref="W4:W13" ca="1" si="10">IF(TODAY()-B4&gt;335,((G4+1+(LOG(D4)*4/3))*0.238),((G4+(((TODAY()-B4)^0.5)/(336^0.238))+(LOG(D4)*4/3))*0.238))</f>
        <v>0.96093333012174298</v>
      </c>
      <c r="X4" s="58">
        <f t="shared" ref="X4:X13" ca="1" si="11">IF(TODAY()-B4&gt;335,((F4+1+(LOG(D4)*4/3))*0.92),((F4+(((TODAY()-B4)^0.5)/(336^0.5))+(LOG(D4)*4/3))*0.92))</f>
        <v>14.754532200470603</v>
      </c>
      <c r="Y4" s="58">
        <f t="shared" ref="Y4:Y13" ca="1" si="12">IF(TODAY()-B4&gt;335,((F4+1+(LOG(D4)*4/3))*0.414),((F4+(((TODAY()-B4)^0.5)/(336^0.414))+(LOG(D4)*4/3))*0.414))</f>
        <v>6.6395394902117708</v>
      </c>
      <c r="Z4" s="58">
        <f t="shared" ref="Z4:Z13" ca="1" si="13">IF(TODAY()-B4&gt;335,((G4+1+(LOG(D4)*4/3))*0.167),((G4+(((TODAY()-B4)^0.5)/(336^0.5))+(LOG(D4)*4/3))*0.167))</f>
        <v>0.67426834508542477</v>
      </c>
      <c r="AA4" s="58">
        <f t="shared" ref="AA4:AA13" ca="1" si="14">IF(TODAY()-B4&gt;335,((H4+1+(LOG(D4)*4/3))*0.588),((H4+(((TODAY()-B4)^0.5)/(336^0.5))+(LOG(D4)*4/3))*0.588))</f>
        <v>8.2540705803007768</v>
      </c>
      <c r="AB4" s="58">
        <f t="shared" ref="AB4:AB13" ca="1" si="15">IF(TODAY()-B4&gt;335,((F4+1+(LOG(D4)*4/3))*0.754),((F4+(((TODAY()-B4)^0.5)/(336^0.5))+(LOG(D4)*4/3))*0.754))</f>
        <v>12.092301390385691</v>
      </c>
      <c r="AC4" s="58">
        <f t="shared" ref="AC4:AC13" ca="1" si="16">IF(TODAY()-B4&gt;335,((F4+1+(LOG(D4)*4/3))*0.708),((F4+(((TODAY()-B4)^0.5)/(336^0.414))+(LOG(D4)*4/3))*0.708))</f>
        <v>11.354574780362158</v>
      </c>
      <c r="AD4" s="58">
        <f t="shared" ref="AD4:AD13" ca="1" si="17">IF(TODAY()-F4&gt;335,((K4+1+(LOG(H4)*4/3))*0.167),((K4+(((TODAY()-F4)^0.5)/(336^0.5))+(LOG(H4)*4/3))*0.167))</f>
        <v>2.0772976907866045</v>
      </c>
      <c r="AE4" s="58">
        <f t="shared" ref="AE4:AE13" ca="1" si="18">IF(TODAY()-F4&gt;335,((L4+1+(LOG(H4)*4/3))*0.288),((L4+(((TODAY()-F4)^0.5)/(336^0.5))+(LOG(H4)*4/3))*0.288))</f>
        <v>2.1784055984822879</v>
      </c>
      <c r="AF4" s="58">
        <f t="shared" ref="AF4:AF13" ca="1" si="19">IF(TODAY()-B4&gt;335,((F4+1+(LOG(D4)*4/3))*0.485),((F4+(((TODAY()-B4)^0.5)/(336^0.5))+(LOG(D4)*4/3))*0.485))</f>
        <v>7.7782044752480894</v>
      </c>
      <c r="AG4" s="58">
        <f t="shared" ref="AG4:AG13" ca="1" si="20">IF(TODAY()-B4&gt;335,((F4+1+(LOG(D4)*4/3))*0.264),((F4+(((TODAY()-B4)^0.5)/(336^0.5))+(LOG(D4)*4/3))*0.264))</f>
        <v>4.2339092401350431</v>
      </c>
      <c r="AH4" s="58">
        <f t="shared" ref="AH4:AH13" ca="1" si="21">IF(TODAY()-B4&gt;335,((G4+1+(LOG(D4)*4/3))*0.381),((G4+(((TODAY()-B4)^0.5)/(336^0.5))+(LOG(D4)*4/3))*0.381))</f>
        <v>1.538300835194891</v>
      </c>
      <c r="AI4" s="58">
        <f t="shared" ref="AI4:AI13" ca="1" si="22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3">IF(TODAY()-B4&gt;335,((I4+1+(LOG(D4)*4/3))*0.052),((I4+(((TODAY()-B4)^0.5)/(336^0.5))+(LOG(D4)*4/3))*0.052))</f>
        <v>0.72995182002659931</v>
      </c>
      <c r="AK4" s="58">
        <f t="shared" ref="AK4:AK13" ca="1" si="24">IF(TODAY()-B4&gt;335,((F4+1+(LOG(D4)*4/3))*0.27),((F4+(((TODAY()-B4)^0.5)/(336^0.5))+(LOG(D4)*4/3))*0.27))</f>
        <v>4.3301344501381118</v>
      </c>
      <c r="AL4" s="58">
        <f t="shared" ref="AL4:AL13" ca="1" si="25">IF(TODAY()-B4&gt;335,((F4+1+(LOG(D4)*4/3))*0.594),((F4+(((TODAY()-B4)^0.5)/(336^0.5))+(LOG(D4)*4/3))*0.594))</f>
        <v>9.5262957903038448</v>
      </c>
      <c r="AM4" s="58">
        <f t="shared" ref="AM4:AM13" ca="1" si="26">AK4/2</f>
        <v>2.1650672250690559</v>
      </c>
      <c r="AN4" s="58">
        <f t="shared" ref="AN4:AN13" ca="1" si="27">IF(TODAY()-B4&gt;335,((G4+1+(LOG(D4)*4/3))*0.944),((G4+(((TODAY()-B4)^0.5)/(336^0.5))+(LOG(D4)*4/3))*0.944))</f>
        <v>3.8114330404828793</v>
      </c>
      <c r="AO4" s="58">
        <f t="shared" ref="AO4:AO13" ca="1" si="28">IF(TODAY()-B4&gt;335,((I4+1+(LOG(D4)*4/3))*0.13),((I4+(((TODAY()-B4)^0.5)/(336^0.5))+(LOG(D4)*4/3))*0.13))</f>
        <v>1.8248795500664983</v>
      </c>
      <c r="AP4" s="58">
        <f t="shared" ref="AP4:AP13" ca="1" si="29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30">AO4/2</f>
        <v>0.91243977503324913</v>
      </c>
      <c r="AR4" s="58">
        <f t="shared" ref="AR4:AR13" ca="1" si="31">IF(TODAY()-B4&gt;335,((F4+1+(LOG(D4)*4/3))*0.291),((F4+(((TODAY()-B4)^0.5)/(336^0.5))+(LOG(D4)*4/3))*0.291))</f>
        <v>4.6669226851488537</v>
      </c>
      <c r="AS4" s="58">
        <f t="shared" ref="AS4:AS13" ca="1" si="32">IF(TODAY()-B4&gt;335,((F4+1+(LOG(D4)*4/3))*0.348),((F4+(((TODAY()-B4)^0.5)/(336^0.5))+(LOG(D4)*4/3))*0.348))</f>
        <v>5.5810621801780105</v>
      </c>
      <c r="AT4" s="58">
        <f t="shared" ref="AT4:AT13" ca="1" si="33">IF(TODAY()-B4&gt;335,((G4+1+(LOG(D4)*4/3))*0.881),((G4+(((TODAY()-B4)^0.5)/(336^0.5))+(LOG(D4)*4/3))*0.881))</f>
        <v>3.5570683354506536</v>
      </c>
      <c r="AU4" s="58">
        <f t="shared" ref="AU4:AU13" ca="1" si="34">IF(TODAY()-B4&gt;335,((H4+1+(LOG(D4)*4/3))*0.574)+((I4+1+(LOG(D4)*4/3))*0.315),((H4+(((TODAY()-B4)^0.5)/(336^0.5))+(LOG(D4)*4/3))*0.574)+((I4+(((TODAY()-B4)^0.5)/(336^0.5))+(LOG(D4)*4/3))*0.315))</f>
        <v>12.479368615454746</v>
      </c>
      <c r="AV4" s="58">
        <f t="shared" ref="AV4:AV13" ca="1" si="35">IF(TODAY()-B4&gt;335,((I4+1+(LOG(D4)*4/3))*0.241),((I4+(((TODAY()-B4)^0.5)/(336^0.5))+(LOG(D4)*4/3))*0.241))</f>
        <v>3.3830459351232776</v>
      </c>
      <c r="AW4" s="58">
        <f t="shared" ref="AW4:AW13" ca="1" si="36">IF(TODAY()-B4&gt;335,((F4+1+(LOG(D4)*4/3))*0.18),((F4+(((TODAY()-B4)^0.5)/(336^0.5))+(LOG(D4)*4/3))*0.18))</f>
        <v>2.8867563000920744</v>
      </c>
      <c r="AX4" s="58">
        <f t="shared" ref="AX4:AX13" ca="1" si="37">IF(TODAY()-B4&gt;335,((F4+1+(LOG(D4)*4/3))*0.068),((F4+(((TODAY()-B4)^0.5)/(336^0.5))+(LOG(D4)*4/3))*0.068))</f>
        <v>1.0905523800347838</v>
      </c>
      <c r="AY4" s="58">
        <f t="shared" ref="AY4:AY13" ca="1" si="38">IF(TODAY()-B4&gt;335,((G4+1+(LOG(D4)*4/3))*0.305),((G4+(((TODAY()-B4)^0.5)/(336^0.5))+(LOG(D4)*4/3))*0.305))</f>
        <v>1.2314481751560151</v>
      </c>
      <c r="AZ4" s="58">
        <f t="shared" ref="AZ4:AZ13" ca="1" si="39">IF(TODAY()-B4&gt;335,((H4+1+(LOG(D4)*4/3))*1)+((I4+1+(LOG(D4)*4/3))*0.286),((H4+(((TODAY()-B4)^0.5)/(336^0.5))+(LOG(D4)*4/3))*1)+((I4+(((TODAY()-B4)^0.5)/(336^0.5))+(LOG(D4)*4/3))*0.286))</f>
        <v>18.052270010657821</v>
      </c>
      <c r="BA4" s="58">
        <f t="shared" ref="BA4:BA13" ca="1" si="40">IF(TODAY()-B4&gt;335,((I4+1+(LOG(D4)*4/3))*0.135),((I4+(((TODAY()-B4)^0.5)/(336^0.5))+(LOG(D4)*4/3))*0.135))</f>
        <v>1.8950672250690561</v>
      </c>
      <c r="BB4" s="58">
        <f t="shared" ref="BB4:BB13" ca="1" si="41">IF(TODAY()-B4&gt;335,((G4+1+(LOG(D4)*4/3))*0.406),((G4+(((TODAY()-B4)^0.5)/(336^0.5))+(LOG(D4)*4/3))*0.406))</f>
        <v>1.6392392102076794</v>
      </c>
      <c r="BC4" s="58">
        <f t="shared" ref="BC4:BC13" ca="1" si="42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D4" s="58">
        <f t="shared" ref="BD4:BD13" ca="1" si="43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E4" s="58">
        <f t="shared" ref="BE4:BE13" ca="1" si="44">BC4</f>
        <v>6.043555735266505</v>
      </c>
      <c r="BF4" s="58">
        <f t="shared" ref="BF4:BF13" ca="1" si="45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G4" s="58">
        <f t="shared" ref="BG4:BG13" ca="1" si="46">IF(TODAY()-B4&gt;335,((J4+1+(LOG(D4)*4/3))*1)+((I4+1+(LOG(D4)*4/3))*0.369),((J4+(((TODAY()-B4)^0.5)/(336^0.5))+(LOG(D4)*4/3))*1)+((I4+(((TODAY()-B4)^0.5)/(336^0.5))+(LOG(D4)*4/3))*0.369))</f>
        <v>9.2173854157002779</v>
      </c>
      <c r="BH4" s="58">
        <f t="shared" ref="BH4:BH13" ca="1" si="47">BF4</f>
        <v>6.1453843053186805</v>
      </c>
      <c r="BI4" s="58">
        <f t="shared" ref="BI4:BI13" ca="1" si="48">IF(TODAY()-B4&gt;335,((G4+1+(LOG(D4)*4/3))*0.25),((G4+(((TODAY()-B4)^0.5)/(336^0.5))+(LOG(D4)*4/3))*0.25))</f>
        <v>1.0093837501278813</v>
      </c>
    </row>
    <row r="5" spans="1:61" x14ac:dyDescent="0.25">
      <c r="B5" s="60">
        <v>41974</v>
      </c>
      <c r="C5" s="43">
        <v>6</v>
      </c>
      <c r="D5" s="44">
        <v>6</v>
      </c>
      <c r="E5" s="45">
        <v>0</v>
      </c>
      <c r="F5" s="45">
        <v>12</v>
      </c>
      <c r="G5" s="45">
        <v>14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49">((2*(I5+1))+(F5+1))/8</f>
        <v>4.875</v>
      </c>
      <c r="M5" s="45">
        <f t="shared" ref="M5:M13" si="50">(0.5*J5+ 0.3*K5)/10</f>
        <v>0.4</v>
      </c>
      <c r="N5" s="45">
        <f t="shared" ref="N5:N13" si="51">(0.4*F5+0.3*K5)/10</f>
        <v>0.78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5.0907680554465617</v>
      </c>
      <c r="R5" s="58">
        <f t="shared" ca="1" si="5"/>
        <v>7.7304576856603786</v>
      </c>
      <c r="S5" s="58">
        <f t="shared" ca="1" si="6"/>
        <v>5.0907680554465617</v>
      </c>
      <c r="T5" s="58">
        <f t="shared" ca="1" si="7"/>
        <v>7.243368060263947</v>
      </c>
      <c r="U5" s="58">
        <f t="shared" ca="1" si="8"/>
        <v>14.037535000511525</v>
      </c>
      <c r="V5" s="58">
        <f t="shared" ca="1" si="9"/>
        <v>3.6216840301319735</v>
      </c>
      <c r="W5" s="58">
        <f t="shared" ca="1" si="10"/>
        <v>3.816933330121743</v>
      </c>
      <c r="X5" s="58">
        <f t="shared" ca="1" si="11"/>
        <v>12.914532200470603</v>
      </c>
      <c r="Y5" s="58">
        <f t="shared" ca="1" si="12"/>
        <v>5.8115394902117714</v>
      </c>
      <c r="Z5" s="58">
        <f t="shared" ca="1" si="13"/>
        <v>2.6782683450854248</v>
      </c>
      <c r="AA5" s="58">
        <f t="shared" ca="1" si="14"/>
        <v>2.3740705803007764</v>
      </c>
      <c r="AB5" s="58">
        <f t="shared" ca="1" si="15"/>
        <v>10.58430139038569</v>
      </c>
      <c r="AC5" s="58">
        <f t="shared" ca="1" si="16"/>
        <v>9.9385747803621598</v>
      </c>
      <c r="AD5" s="58">
        <f t="shared" ca="1" si="17"/>
        <v>1.9040293457011799</v>
      </c>
      <c r="AE5" s="58">
        <f t="shared" ca="1" si="18"/>
        <v>1.8075955183349688</v>
      </c>
      <c r="AF5" s="58">
        <f t="shared" ca="1" si="19"/>
        <v>6.8082044752480897</v>
      </c>
      <c r="AG5" s="58">
        <f t="shared" ca="1" si="20"/>
        <v>3.7059092401350426</v>
      </c>
      <c r="AH5" s="58">
        <f t="shared" ca="1" si="21"/>
        <v>6.1103008351948915</v>
      </c>
      <c r="AI5" s="58">
        <f t="shared" ca="1" si="22"/>
        <v>5.5388055904470725</v>
      </c>
      <c r="AJ5" s="58">
        <f t="shared" ca="1" si="23"/>
        <v>0.72995182002659931</v>
      </c>
      <c r="AK5" s="58">
        <f t="shared" ca="1" si="24"/>
        <v>3.7901344501381122</v>
      </c>
      <c r="AL5" s="58">
        <f t="shared" ca="1" si="25"/>
        <v>8.3382957903038459</v>
      </c>
      <c r="AM5" s="58">
        <f t="shared" ca="1" si="26"/>
        <v>1.8950672250690561</v>
      </c>
      <c r="AN5" s="58">
        <f t="shared" ca="1" si="27"/>
        <v>15.13943304048288</v>
      </c>
      <c r="AO5" s="58">
        <f t="shared" ca="1" si="28"/>
        <v>1.8248795500664983</v>
      </c>
      <c r="AP5" s="58">
        <f t="shared" ca="1" si="29"/>
        <v>2.3829977551498769</v>
      </c>
      <c r="AQ5" s="58">
        <f t="shared" ca="1" si="30"/>
        <v>0.91243977503324913</v>
      </c>
      <c r="AR5" s="58">
        <f t="shared" ca="1" si="31"/>
        <v>4.0849226851488538</v>
      </c>
      <c r="AS5" s="58">
        <f t="shared" ca="1" si="32"/>
        <v>4.8850621801780107</v>
      </c>
      <c r="AT5" s="58">
        <f t="shared" ca="1" si="33"/>
        <v>14.129068335450654</v>
      </c>
      <c r="AU5" s="58">
        <f t="shared" ca="1" si="34"/>
        <v>6.7393686154547456</v>
      </c>
      <c r="AV5" s="58">
        <f t="shared" ca="1" si="35"/>
        <v>3.3830459351232776</v>
      </c>
      <c r="AW5" s="58">
        <f t="shared" ca="1" si="36"/>
        <v>2.5267563000920745</v>
      </c>
      <c r="AX5" s="58">
        <f t="shared" ca="1" si="37"/>
        <v>0.95455238003478382</v>
      </c>
      <c r="AY5" s="58">
        <f t="shared" ca="1" si="38"/>
        <v>4.8914481751560155</v>
      </c>
      <c r="AZ5" s="58">
        <f t="shared" ca="1" si="39"/>
        <v>8.0522700106578213</v>
      </c>
      <c r="BA5" s="58">
        <f t="shared" ca="1" si="40"/>
        <v>1.8950672250690561</v>
      </c>
      <c r="BB5" s="58">
        <f t="shared" ca="1" si="41"/>
        <v>6.5112392102076795</v>
      </c>
      <c r="BC5" s="58">
        <f t="shared" ca="1" si="42"/>
        <v>4.6035557352665037</v>
      </c>
      <c r="BD5" s="58">
        <f t="shared" ca="1" si="43"/>
        <v>9.976264410575979</v>
      </c>
      <c r="BE5" s="58">
        <f t="shared" ca="1" si="44"/>
        <v>4.6035557352665037</v>
      </c>
      <c r="BF5" s="58">
        <f t="shared" ca="1" si="45"/>
        <v>3.9353843053186801</v>
      </c>
      <c r="BG5" s="58">
        <f t="shared" ca="1" si="46"/>
        <v>9.2173854157002779</v>
      </c>
      <c r="BH5" s="58">
        <f t="shared" ca="1" si="47"/>
        <v>3.9353843053186801</v>
      </c>
      <c r="BI5" s="58">
        <f t="shared" ca="1" si="48"/>
        <v>4.0093837501278813</v>
      </c>
    </row>
    <row r="6" spans="1:61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49"/>
        <v>5.125</v>
      </c>
      <c r="M6" s="45">
        <f t="shared" si="50"/>
        <v>0.4</v>
      </c>
      <c r="N6" s="45">
        <f t="shared" si="51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8"/>
        <v>16.037535000511525</v>
      </c>
      <c r="V6" s="58">
        <f t="shared" ca="1" si="9"/>
        <v>4.1376840301319735</v>
      </c>
      <c r="W6" s="58">
        <f t="shared" ca="1" si="10"/>
        <v>0.96093333012174298</v>
      </c>
      <c r="X6" s="58">
        <f t="shared" ca="1" si="11"/>
        <v>14.754532200470603</v>
      </c>
      <c r="Y6" s="58">
        <f t="shared" ca="1" si="12"/>
        <v>6.6395394902117708</v>
      </c>
      <c r="Z6" s="58">
        <f t="shared" ca="1" si="13"/>
        <v>0.67426834508542477</v>
      </c>
      <c r="AA6" s="58">
        <f t="shared" ca="1" si="14"/>
        <v>8.2540705803007768</v>
      </c>
      <c r="AB6" s="58">
        <f t="shared" ca="1" si="15"/>
        <v>12.092301390385691</v>
      </c>
      <c r="AC6" s="58">
        <f t="shared" ca="1" si="16"/>
        <v>11.354574780362158</v>
      </c>
      <c r="AD6" s="58">
        <f t="shared" ca="1" si="17"/>
        <v>2.0772976907866045</v>
      </c>
      <c r="AE6" s="58">
        <f t="shared" ca="1" si="18"/>
        <v>2.1784055984822879</v>
      </c>
      <c r="AF6" s="58">
        <f t="shared" ca="1" si="19"/>
        <v>7.7782044752480894</v>
      </c>
      <c r="AG6" s="58">
        <f t="shared" ca="1" si="20"/>
        <v>4.2339092401350431</v>
      </c>
      <c r="AH6" s="58">
        <f t="shared" ca="1" si="21"/>
        <v>1.538300835194891</v>
      </c>
      <c r="AI6" s="58">
        <f t="shared" ca="1" si="22"/>
        <v>12.268805590447073</v>
      </c>
      <c r="AJ6" s="58">
        <f t="shared" ca="1" si="23"/>
        <v>0.72995182002659931</v>
      </c>
      <c r="AK6" s="58">
        <f t="shared" ca="1" si="24"/>
        <v>4.3301344501381118</v>
      </c>
      <c r="AL6" s="58">
        <f t="shared" ca="1" si="25"/>
        <v>9.5262957903038448</v>
      </c>
      <c r="AM6" s="58">
        <f t="shared" ca="1" si="26"/>
        <v>2.1650672250690559</v>
      </c>
      <c r="AN6" s="58">
        <f t="shared" ca="1" si="27"/>
        <v>3.8114330404828793</v>
      </c>
      <c r="AO6" s="58">
        <f t="shared" ca="1" si="28"/>
        <v>1.8248795500664983</v>
      </c>
      <c r="AP6" s="58">
        <f t="shared" ca="1" si="29"/>
        <v>2.3829977551498769</v>
      </c>
      <c r="AQ6" s="58">
        <f t="shared" ca="1" si="30"/>
        <v>0.91243977503324913</v>
      </c>
      <c r="AR6" s="58">
        <f t="shared" ca="1" si="31"/>
        <v>4.6669226851488537</v>
      </c>
      <c r="AS6" s="58">
        <f t="shared" ca="1" si="32"/>
        <v>5.5810621801780105</v>
      </c>
      <c r="AT6" s="58">
        <f t="shared" ca="1" si="33"/>
        <v>3.5570683354506536</v>
      </c>
      <c r="AU6" s="58">
        <f t="shared" ca="1" si="34"/>
        <v>12.479368615454746</v>
      </c>
      <c r="AV6" s="58">
        <f t="shared" ca="1" si="35"/>
        <v>3.3830459351232776</v>
      </c>
      <c r="AW6" s="58">
        <f t="shared" ca="1" si="36"/>
        <v>2.8867563000920744</v>
      </c>
      <c r="AX6" s="58">
        <f t="shared" ca="1" si="37"/>
        <v>1.0905523800347838</v>
      </c>
      <c r="AY6" s="58">
        <f t="shared" ca="1" si="38"/>
        <v>1.2314481751560151</v>
      </c>
      <c r="AZ6" s="58">
        <f t="shared" ca="1" si="39"/>
        <v>18.052270010657821</v>
      </c>
      <c r="BA6" s="58">
        <f t="shared" ca="1" si="40"/>
        <v>1.8950672250690561</v>
      </c>
      <c r="BB6" s="58">
        <f t="shared" ca="1" si="41"/>
        <v>1.6392392102076794</v>
      </c>
      <c r="BC6" s="58">
        <f t="shared" ca="1" si="42"/>
        <v>6.043555735266505</v>
      </c>
      <c r="BD6" s="58">
        <f t="shared" ca="1" si="43"/>
        <v>9.976264410575979</v>
      </c>
      <c r="BE6" s="58">
        <f t="shared" ca="1" si="44"/>
        <v>6.043555735266505</v>
      </c>
      <c r="BF6" s="58">
        <f t="shared" ca="1" si="45"/>
        <v>6.1453843053186805</v>
      </c>
      <c r="BG6" s="58">
        <f t="shared" ca="1" si="46"/>
        <v>9.2173854157002779</v>
      </c>
      <c r="BH6" s="58">
        <f t="shared" ca="1" si="47"/>
        <v>6.1453843053186805</v>
      </c>
      <c r="BI6" s="58">
        <f t="shared" ca="1" si="48"/>
        <v>1.0093837501278813</v>
      </c>
    </row>
    <row r="7" spans="1:61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49"/>
        <v>2.375</v>
      </c>
      <c r="M7" s="45">
        <f t="shared" si="50"/>
        <v>0.65</v>
      </c>
      <c r="N7" s="45">
        <f t="shared" si="51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8"/>
        <v>4.0375350005115251</v>
      </c>
      <c r="V7" s="58">
        <f t="shared" ca="1" si="9"/>
        <v>1.0416840301319734</v>
      </c>
      <c r="W7" s="58">
        <f t="shared" ca="1" si="10"/>
        <v>3.816933330121743</v>
      </c>
      <c r="X7" s="58">
        <f t="shared" ca="1" si="11"/>
        <v>3.7145322004706034</v>
      </c>
      <c r="Y7" s="58">
        <f t="shared" ca="1" si="12"/>
        <v>1.6715394902117713</v>
      </c>
      <c r="Z7" s="58">
        <f t="shared" ca="1" si="13"/>
        <v>2.6782683450854248</v>
      </c>
      <c r="AA7" s="58">
        <f t="shared" ca="1" si="14"/>
        <v>10.018070580300776</v>
      </c>
      <c r="AB7" s="58">
        <f t="shared" ca="1" si="15"/>
        <v>3.0443013903856899</v>
      </c>
      <c r="AC7" s="58">
        <f t="shared" ca="1" si="16"/>
        <v>2.8585747803621597</v>
      </c>
      <c r="AD7" s="58">
        <f t="shared" ca="1" si="17"/>
        <v>2.0988763203497318</v>
      </c>
      <c r="AE7" s="58">
        <f t="shared" ca="1" si="18"/>
        <v>1.4236190434773814</v>
      </c>
      <c r="AF7" s="58">
        <f t="shared" ca="1" si="19"/>
        <v>1.9582044752480896</v>
      </c>
      <c r="AG7" s="58">
        <f t="shared" ca="1" si="20"/>
        <v>1.0659092401350427</v>
      </c>
      <c r="AH7" s="58">
        <f t="shared" ca="1" si="21"/>
        <v>6.1103008351948915</v>
      </c>
      <c r="AI7" s="58">
        <f t="shared" ca="1" si="22"/>
        <v>13.282805590447072</v>
      </c>
      <c r="AJ7" s="58">
        <f t="shared" ca="1" si="23"/>
        <v>0.4699518200265993</v>
      </c>
      <c r="AK7" s="58">
        <f t="shared" ca="1" si="24"/>
        <v>1.0901344501381118</v>
      </c>
      <c r="AL7" s="58">
        <f t="shared" ca="1" si="25"/>
        <v>2.398295790303846</v>
      </c>
      <c r="AM7" s="58">
        <f t="shared" ca="1" si="26"/>
        <v>0.54506722506905592</v>
      </c>
      <c r="AN7" s="58">
        <f t="shared" ca="1" si="27"/>
        <v>15.13943304048288</v>
      </c>
      <c r="AO7" s="58">
        <f t="shared" ca="1" si="28"/>
        <v>1.1748795500664984</v>
      </c>
      <c r="AP7" s="58">
        <f t="shared" ca="1" si="29"/>
        <v>2.6479977551498766</v>
      </c>
      <c r="AQ7" s="58">
        <f t="shared" ca="1" si="30"/>
        <v>0.58743977503324918</v>
      </c>
      <c r="AR7" s="58">
        <f t="shared" ca="1" si="31"/>
        <v>1.1749226851488537</v>
      </c>
      <c r="AS7" s="58">
        <f t="shared" ca="1" si="32"/>
        <v>1.4050621801780105</v>
      </c>
      <c r="AT7" s="58">
        <f t="shared" ca="1" si="33"/>
        <v>14.129068335450654</v>
      </c>
      <c r="AU7" s="58">
        <f t="shared" ca="1" si="34"/>
        <v>12.626368615454744</v>
      </c>
      <c r="AV7" s="58">
        <f t="shared" ca="1" si="35"/>
        <v>2.1780459351232775</v>
      </c>
      <c r="AW7" s="58">
        <f t="shared" ca="1" si="36"/>
        <v>0.72675630009207448</v>
      </c>
      <c r="AX7" s="58">
        <f t="shared" ca="1" si="37"/>
        <v>0.27455238003478372</v>
      </c>
      <c r="AY7" s="58">
        <f t="shared" ca="1" si="38"/>
        <v>4.8914481751560155</v>
      </c>
      <c r="AZ7" s="58">
        <f t="shared" ca="1" si="39"/>
        <v>19.622270010657822</v>
      </c>
      <c r="BA7" s="58">
        <f t="shared" ca="1" si="40"/>
        <v>1.2200672250690561</v>
      </c>
      <c r="BB7" s="58">
        <f t="shared" ca="1" si="41"/>
        <v>6.5112392102076795</v>
      </c>
      <c r="BC7" s="58">
        <f t="shared" ca="1" si="42"/>
        <v>5.8605557352665052</v>
      </c>
      <c r="BD7" s="58">
        <f t="shared" ca="1" si="43"/>
        <v>10.176264410575978</v>
      </c>
      <c r="BE7" s="58">
        <f t="shared" ca="1" si="44"/>
        <v>5.8605557352665052</v>
      </c>
      <c r="BF7" s="58">
        <f t="shared" ca="1" si="45"/>
        <v>7.3983843053186806</v>
      </c>
      <c r="BG7" s="58">
        <f t="shared" ca="1" si="46"/>
        <v>12.372385415700277</v>
      </c>
      <c r="BH7" s="58">
        <f t="shared" ca="1" si="47"/>
        <v>7.3983843053186806</v>
      </c>
      <c r="BI7" s="58">
        <f t="shared" ca="1" si="48"/>
        <v>4.0093837501278813</v>
      </c>
    </row>
    <row r="8" spans="1:61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7</v>
      </c>
      <c r="J8" s="45">
        <v>7</v>
      </c>
      <c r="K8" s="45">
        <v>10</v>
      </c>
      <c r="L8" s="45">
        <f t="shared" si="49"/>
        <v>2.375</v>
      </c>
      <c r="M8" s="45">
        <f t="shared" si="50"/>
        <v>0.65</v>
      </c>
      <c r="N8" s="45">
        <f t="shared" si="51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8"/>
        <v>4.0375350005115251</v>
      </c>
      <c r="V8" s="58">
        <f t="shared" ca="1" si="9"/>
        <v>1.0416840301319734</v>
      </c>
      <c r="W8" s="58">
        <f t="shared" ca="1" si="10"/>
        <v>3.816933330121743</v>
      </c>
      <c r="X8" s="58">
        <f t="shared" ca="1" si="11"/>
        <v>3.7145322004706034</v>
      </c>
      <c r="Y8" s="58">
        <f t="shared" ca="1" si="12"/>
        <v>1.6715394902117713</v>
      </c>
      <c r="Z8" s="58">
        <f t="shared" ca="1" si="13"/>
        <v>2.6782683450854248</v>
      </c>
      <c r="AA8" s="58">
        <f t="shared" ca="1" si="14"/>
        <v>10.018070580300776</v>
      </c>
      <c r="AB8" s="58">
        <f t="shared" ca="1" si="15"/>
        <v>3.0443013903856899</v>
      </c>
      <c r="AC8" s="58">
        <f t="shared" ca="1" si="16"/>
        <v>2.8585747803621597</v>
      </c>
      <c r="AD8" s="58">
        <f t="shared" ca="1" si="17"/>
        <v>2.0988763203497318</v>
      </c>
      <c r="AE8" s="58">
        <f t="shared" ca="1" si="18"/>
        <v>1.4236190434773814</v>
      </c>
      <c r="AF8" s="58">
        <f t="shared" ca="1" si="19"/>
        <v>1.9582044752480896</v>
      </c>
      <c r="AG8" s="58">
        <f t="shared" ca="1" si="20"/>
        <v>1.0659092401350427</v>
      </c>
      <c r="AH8" s="58">
        <f t="shared" ca="1" si="21"/>
        <v>6.1103008351948915</v>
      </c>
      <c r="AI8" s="58">
        <f t="shared" ca="1" si="22"/>
        <v>13.282805590447072</v>
      </c>
      <c r="AJ8" s="58">
        <f t="shared" ca="1" si="23"/>
        <v>0.4699518200265993</v>
      </c>
      <c r="AK8" s="58">
        <f t="shared" ca="1" si="24"/>
        <v>1.0901344501381118</v>
      </c>
      <c r="AL8" s="58">
        <f t="shared" ca="1" si="25"/>
        <v>2.398295790303846</v>
      </c>
      <c r="AM8" s="58">
        <f t="shared" ca="1" si="26"/>
        <v>0.54506722506905592</v>
      </c>
      <c r="AN8" s="58">
        <f t="shared" ca="1" si="27"/>
        <v>15.13943304048288</v>
      </c>
      <c r="AO8" s="58">
        <f t="shared" ca="1" si="28"/>
        <v>1.1748795500664984</v>
      </c>
      <c r="AP8" s="58">
        <f t="shared" ca="1" si="29"/>
        <v>2.6479977551498766</v>
      </c>
      <c r="AQ8" s="58">
        <f t="shared" ca="1" si="30"/>
        <v>0.58743977503324918</v>
      </c>
      <c r="AR8" s="58">
        <f t="shared" ca="1" si="31"/>
        <v>1.1749226851488537</v>
      </c>
      <c r="AS8" s="58">
        <f t="shared" ca="1" si="32"/>
        <v>1.4050621801780105</v>
      </c>
      <c r="AT8" s="58">
        <f t="shared" ca="1" si="33"/>
        <v>14.129068335450654</v>
      </c>
      <c r="AU8" s="58">
        <f t="shared" ca="1" si="34"/>
        <v>12.626368615454744</v>
      </c>
      <c r="AV8" s="58">
        <f t="shared" ca="1" si="35"/>
        <v>2.1780459351232775</v>
      </c>
      <c r="AW8" s="58">
        <f t="shared" ca="1" si="36"/>
        <v>0.72675630009207448</v>
      </c>
      <c r="AX8" s="58">
        <f t="shared" ca="1" si="37"/>
        <v>0.27455238003478372</v>
      </c>
      <c r="AY8" s="58">
        <f t="shared" ca="1" si="38"/>
        <v>4.8914481751560155</v>
      </c>
      <c r="AZ8" s="58">
        <f t="shared" ca="1" si="39"/>
        <v>19.622270010657822</v>
      </c>
      <c r="BA8" s="58">
        <f t="shared" ca="1" si="40"/>
        <v>1.2200672250690561</v>
      </c>
      <c r="BB8" s="58">
        <f t="shared" ca="1" si="41"/>
        <v>6.5112392102076795</v>
      </c>
      <c r="BC8" s="58">
        <f t="shared" ca="1" si="42"/>
        <v>5.8605557352665052</v>
      </c>
      <c r="BD8" s="58">
        <f t="shared" ca="1" si="43"/>
        <v>10.176264410575978</v>
      </c>
      <c r="BE8" s="58">
        <f t="shared" ca="1" si="44"/>
        <v>5.8605557352665052</v>
      </c>
      <c r="BF8" s="58">
        <f t="shared" ca="1" si="45"/>
        <v>7.3983843053186806</v>
      </c>
      <c r="BG8" s="58">
        <f t="shared" ca="1" si="46"/>
        <v>12.372385415700277</v>
      </c>
      <c r="BH8" s="58">
        <f t="shared" ca="1" si="47"/>
        <v>7.3983843053186806</v>
      </c>
      <c r="BI8" s="58">
        <f t="shared" ca="1" si="48"/>
        <v>4.0093837501278813</v>
      </c>
    </row>
    <row r="9" spans="1:61" x14ac:dyDescent="0.25">
      <c r="B9" s="60">
        <v>41974</v>
      </c>
      <c r="C9" s="43">
        <v>6</v>
      </c>
      <c r="D9" s="44">
        <v>6</v>
      </c>
      <c r="E9" s="45">
        <v>0</v>
      </c>
      <c r="F9" s="45">
        <v>12</v>
      </c>
      <c r="G9" s="45">
        <v>14</v>
      </c>
      <c r="H9" s="45">
        <v>2</v>
      </c>
      <c r="I9" s="45">
        <v>12</v>
      </c>
      <c r="J9" s="45">
        <v>12</v>
      </c>
      <c r="K9" s="45">
        <v>10</v>
      </c>
      <c r="L9" s="45">
        <f t="shared" si="49"/>
        <v>4.875</v>
      </c>
      <c r="M9" s="45">
        <f t="shared" si="50"/>
        <v>0.9</v>
      </c>
      <c r="N9" s="45">
        <f t="shared" si="51"/>
        <v>0.78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5.0907680554465617</v>
      </c>
      <c r="R9" s="58">
        <f t="shared" ca="1" si="5"/>
        <v>7.7304576856603786</v>
      </c>
      <c r="S9" s="58">
        <f t="shared" ca="1" si="6"/>
        <v>5.0907680554465617</v>
      </c>
      <c r="T9" s="58">
        <f t="shared" ca="1" si="7"/>
        <v>7.243368060263947</v>
      </c>
      <c r="U9" s="58">
        <f t="shared" ca="1" si="8"/>
        <v>14.037535000511525</v>
      </c>
      <c r="V9" s="58">
        <f t="shared" ca="1" si="9"/>
        <v>3.6216840301319735</v>
      </c>
      <c r="W9" s="58">
        <f t="shared" ca="1" si="10"/>
        <v>3.816933330121743</v>
      </c>
      <c r="X9" s="58">
        <f t="shared" ca="1" si="11"/>
        <v>12.914532200470603</v>
      </c>
      <c r="Y9" s="58">
        <f t="shared" ca="1" si="12"/>
        <v>5.8115394902117714</v>
      </c>
      <c r="Z9" s="58">
        <f t="shared" ca="1" si="13"/>
        <v>2.6782683450854248</v>
      </c>
      <c r="AA9" s="58">
        <f t="shared" ca="1" si="14"/>
        <v>2.3740705803007764</v>
      </c>
      <c r="AB9" s="58">
        <f t="shared" ca="1" si="15"/>
        <v>10.58430139038569</v>
      </c>
      <c r="AC9" s="58">
        <f t="shared" ca="1" si="16"/>
        <v>9.9385747803621598</v>
      </c>
      <c r="AD9" s="58">
        <f t="shared" ca="1" si="17"/>
        <v>1.9040293457011799</v>
      </c>
      <c r="AE9" s="58">
        <f t="shared" ca="1" si="18"/>
        <v>1.8075955183349688</v>
      </c>
      <c r="AF9" s="58">
        <f t="shared" ca="1" si="19"/>
        <v>6.8082044752480897</v>
      </c>
      <c r="AG9" s="58">
        <f t="shared" ca="1" si="20"/>
        <v>3.7059092401350426</v>
      </c>
      <c r="AH9" s="58">
        <f t="shared" ca="1" si="21"/>
        <v>6.1103008351948915</v>
      </c>
      <c r="AI9" s="58">
        <f t="shared" ca="1" si="22"/>
        <v>5.5388055904470725</v>
      </c>
      <c r="AJ9" s="58">
        <f t="shared" ca="1" si="23"/>
        <v>0.72995182002659931</v>
      </c>
      <c r="AK9" s="58">
        <f t="shared" ca="1" si="24"/>
        <v>3.7901344501381122</v>
      </c>
      <c r="AL9" s="58">
        <f t="shared" ca="1" si="25"/>
        <v>8.3382957903038459</v>
      </c>
      <c r="AM9" s="58">
        <f t="shared" ca="1" si="26"/>
        <v>1.8950672250690561</v>
      </c>
      <c r="AN9" s="58">
        <f t="shared" ca="1" si="27"/>
        <v>15.13943304048288</v>
      </c>
      <c r="AO9" s="58">
        <f t="shared" ca="1" si="28"/>
        <v>1.8248795500664983</v>
      </c>
      <c r="AP9" s="58">
        <f t="shared" ca="1" si="29"/>
        <v>4.1129977551498769</v>
      </c>
      <c r="AQ9" s="58">
        <f t="shared" ca="1" si="30"/>
        <v>0.91243977503324913</v>
      </c>
      <c r="AR9" s="58">
        <f t="shared" ca="1" si="31"/>
        <v>4.0849226851488538</v>
      </c>
      <c r="AS9" s="58">
        <f t="shared" ca="1" si="32"/>
        <v>4.8850621801780107</v>
      </c>
      <c r="AT9" s="58">
        <f t="shared" ca="1" si="33"/>
        <v>14.129068335450654</v>
      </c>
      <c r="AU9" s="58">
        <f t="shared" ca="1" si="34"/>
        <v>6.7393686154547456</v>
      </c>
      <c r="AV9" s="58">
        <f t="shared" ca="1" si="35"/>
        <v>3.3830459351232776</v>
      </c>
      <c r="AW9" s="58">
        <f t="shared" ca="1" si="36"/>
        <v>2.5267563000920745</v>
      </c>
      <c r="AX9" s="58">
        <f t="shared" ca="1" si="37"/>
        <v>0.95455238003478382</v>
      </c>
      <c r="AY9" s="58">
        <f t="shared" ca="1" si="38"/>
        <v>4.8914481751560155</v>
      </c>
      <c r="AZ9" s="58">
        <f t="shared" ca="1" si="39"/>
        <v>8.0522700106578213</v>
      </c>
      <c r="BA9" s="58">
        <f t="shared" ca="1" si="40"/>
        <v>1.8950672250690561</v>
      </c>
      <c r="BB9" s="58">
        <f t="shared" ca="1" si="41"/>
        <v>6.5112392102076795</v>
      </c>
      <c r="BC9" s="58">
        <f t="shared" ca="1" si="42"/>
        <v>5.8735557352665042</v>
      </c>
      <c r="BD9" s="58">
        <f t="shared" ca="1" si="43"/>
        <v>15.806264410575977</v>
      </c>
      <c r="BE9" s="58">
        <f t="shared" ca="1" si="44"/>
        <v>5.8735557352665042</v>
      </c>
      <c r="BF9" s="58">
        <f t="shared" ca="1" si="45"/>
        <v>6.5353843053186802</v>
      </c>
      <c r="BG9" s="58">
        <f t="shared" ca="1" si="46"/>
        <v>19.217385415700278</v>
      </c>
      <c r="BH9" s="58">
        <f t="shared" ca="1" si="47"/>
        <v>6.5353843053186802</v>
      </c>
      <c r="BI9" s="58">
        <f t="shared" ca="1" si="48"/>
        <v>4.0093837501278813</v>
      </c>
    </row>
    <row r="10" spans="1:61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49"/>
        <v>2.375</v>
      </c>
      <c r="M10" s="45">
        <f t="shared" si="50"/>
        <v>0.65</v>
      </c>
      <c r="N10" s="45">
        <f t="shared" si="51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8"/>
        <v>4.0375350005115251</v>
      </c>
      <c r="V10" s="58">
        <f t="shared" ca="1" si="9"/>
        <v>1.0416840301319734</v>
      </c>
      <c r="W10" s="58">
        <f t="shared" ca="1" si="10"/>
        <v>3.816933330121743</v>
      </c>
      <c r="X10" s="58">
        <f t="shared" ca="1" si="11"/>
        <v>3.7145322004706034</v>
      </c>
      <c r="Y10" s="58">
        <f t="shared" ca="1" si="12"/>
        <v>1.6715394902117713</v>
      </c>
      <c r="Z10" s="58">
        <f t="shared" ca="1" si="13"/>
        <v>2.6782683450854248</v>
      </c>
      <c r="AA10" s="58">
        <f t="shared" ca="1" si="14"/>
        <v>10.018070580300776</v>
      </c>
      <c r="AB10" s="58">
        <f t="shared" ca="1" si="15"/>
        <v>3.0443013903856899</v>
      </c>
      <c r="AC10" s="58">
        <f t="shared" ca="1" si="16"/>
        <v>2.8585747803621597</v>
      </c>
      <c r="AD10" s="58">
        <f t="shared" ca="1" si="17"/>
        <v>2.0988763203497318</v>
      </c>
      <c r="AE10" s="58">
        <f t="shared" ca="1" si="18"/>
        <v>1.4236190434773814</v>
      </c>
      <c r="AF10" s="58">
        <f t="shared" ca="1" si="19"/>
        <v>1.9582044752480896</v>
      </c>
      <c r="AG10" s="58">
        <f t="shared" ca="1" si="20"/>
        <v>1.0659092401350427</v>
      </c>
      <c r="AH10" s="58">
        <f t="shared" ca="1" si="21"/>
        <v>6.1103008351948915</v>
      </c>
      <c r="AI10" s="58">
        <f t="shared" ca="1" si="22"/>
        <v>13.282805590447072</v>
      </c>
      <c r="AJ10" s="58">
        <f t="shared" ca="1" si="23"/>
        <v>0.4699518200265993</v>
      </c>
      <c r="AK10" s="58">
        <f t="shared" ca="1" si="24"/>
        <v>1.0901344501381118</v>
      </c>
      <c r="AL10" s="58">
        <f t="shared" ca="1" si="25"/>
        <v>2.398295790303846</v>
      </c>
      <c r="AM10" s="58">
        <f t="shared" ca="1" si="26"/>
        <v>0.54506722506905592</v>
      </c>
      <c r="AN10" s="58">
        <f t="shared" ca="1" si="27"/>
        <v>15.13943304048288</v>
      </c>
      <c r="AO10" s="58">
        <f t="shared" ca="1" si="28"/>
        <v>1.1748795500664984</v>
      </c>
      <c r="AP10" s="58">
        <f t="shared" ca="1" si="29"/>
        <v>2.6479977551498766</v>
      </c>
      <c r="AQ10" s="58">
        <f t="shared" ca="1" si="30"/>
        <v>0.58743977503324918</v>
      </c>
      <c r="AR10" s="58">
        <f t="shared" ca="1" si="31"/>
        <v>1.1749226851488537</v>
      </c>
      <c r="AS10" s="58">
        <f t="shared" ca="1" si="32"/>
        <v>1.4050621801780105</v>
      </c>
      <c r="AT10" s="58">
        <f t="shared" ca="1" si="33"/>
        <v>14.129068335450654</v>
      </c>
      <c r="AU10" s="58">
        <f t="shared" ca="1" si="34"/>
        <v>12.626368615454744</v>
      </c>
      <c r="AV10" s="58">
        <f t="shared" ca="1" si="35"/>
        <v>2.1780459351232775</v>
      </c>
      <c r="AW10" s="58">
        <f t="shared" ca="1" si="36"/>
        <v>0.72675630009207448</v>
      </c>
      <c r="AX10" s="58">
        <f t="shared" ca="1" si="37"/>
        <v>0.27455238003478372</v>
      </c>
      <c r="AY10" s="58">
        <f t="shared" ca="1" si="38"/>
        <v>4.8914481751560155</v>
      </c>
      <c r="AZ10" s="58">
        <f t="shared" ca="1" si="39"/>
        <v>19.622270010657822</v>
      </c>
      <c r="BA10" s="58">
        <f t="shared" ca="1" si="40"/>
        <v>1.2200672250690561</v>
      </c>
      <c r="BB10" s="58">
        <f t="shared" ca="1" si="41"/>
        <v>6.5112392102076795</v>
      </c>
      <c r="BC10" s="58">
        <f t="shared" ca="1" si="42"/>
        <v>5.8605557352665052</v>
      </c>
      <c r="BD10" s="58">
        <f t="shared" ca="1" si="43"/>
        <v>10.176264410575978</v>
      </c>
      <c r="BE10" s="58">
        <f t="shared" ca="1" si="44"/>
        <v>5.8605557352665052</v>
      </c>
      <c r="BF10" s="58">
        <f t="shared" ca="1" si="45"/>
        <v>7.3983843053186806</v>
      </c>
      <c r="BG10" s="58">
        <f t="shared" ca="1" si="46"/>
        <v>12.372385415700277</v>
      </c>
      <c r="BH10" s="58">
        <f t="shared" ca="1" si="47"/>
        <v>7.3983843053186806</v>
      </c>
      <c r="BI10" s="58">
        <f t="shared" ca="1" si="48"/>
        <v>4.0093837501278813</v>
      </c>
    </row>
    <row r="11" spans="1:61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49"/>
        <v>2.375</v>
      </c>
      <c r="M11" s="45">
        <f t="shared" si="50"/>
        <v>0.65</v>
      </c>
      <c r="N11" s="45">
        <f t="shared" si="51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8"/>
        <v>4.0375350005115251</v>
      </c>
      <c r="V11" s="58">
        <f t="shared" ca="1" si="9"/>
        <v>1.0416840301319734</v>
      </c>
      <c r="W11" s="58">
        <f t="shared" ca="1" si="10"/>
        <v>3.816933330121743</v>
      </c>
      <c r="X11" s="58">
        <f t="shared" ca="1" si="11"/>
        <v>3.7145322004706034</v>
      </c>
      <c r="Y11" s="58">
        <f t="shared" ca="1" si="12"/>
        <v>1.6715394902117713</v>
      </c>
      <c r="Z11" s="58">
        <f t="shared" ca="1" si="13"/>
        <v>2.6782683450854248</v>
      </c>
      <c r="AA11" s="58">
        <f t="shared" ca="1" si="14"/>
        <v>10.018070580300776</v>
      </c>
      <c r="AB11" s="58">
        <f t="shared" ca="1" si="15"/>
        <v>3.0443013903856899</v>
      </c>
      <c r="AC11" s="58">
        <f t="shared" ca="1" si="16"/>
        <v>2.8585747803621597</v>
      </c>
      <c r="AD11" s="58">
        <f t="shared" ca="1" si="17"/>
        <v>2.0988763203497318</v>
      </c>
      <c r="AE11" s="58">
        <f t="shared" ca="1" si="18"/>
        <v>1.4236190434773814</v>
      </c>
      <c r="AF11" s="58">
        <f t="shared" ca="1" si="19"/>
        <v>1.9582044752480896</v>
      </c>
      <c r="AG11" s="58">
        <f t="shared" ca="1" si="20"/>
        <v>1.0659092401350427</v>
      </c>
      <c r="AH11" s="58">
        <f t="shared" ca="1" si="21"/>
        <v>6.1103008351948915</v>
      </c>
      <c r="AI11" s="58">
        <f t="shared" ca="1" si="22"/>
        <v>13.282805590447072</v>
      </c>
      <c r="AJ11" s="58">
        <f t="shared" ca="1" si="23"/>
        <v>0.4699518200265993</v>
      </c>
      <c r="AK11" s="58">
        <f t="shared" ca="1" si="24"/>
        <v>1.0901344501381118</v>
      </c>
      <c r="AL11" s="58">
        <f t="shared" ca="1" si="25"/>
        <v>2.398295790303846</v>
      </c>
      <c r="AM11" s="58">
        <f t="shared" ca="1" si="26"/>
        <v>0.54506722506905592</v>
      </c>
      <c r="AN11" s="58">
        <f t="shared" ca="1" si="27"/>
        <v>15.13943304048288</v>
      </c>
      <c r="AO11" s="58">
        <f t="shared" ca="1" si="28"/>
        <v>1.1748795500664984</v>
      </c>
      <c r="AP11" s="58">
        <f t="shared" ca="1" si="29"/>
        <v>2.6479977551498766</v>
      </c>
      <c r="AQ11" s="58">
        <f t="shared" ca="1" si="30"/>
        <v>0.58743977503324918</v>
      </c>
      <c r="AR11" s="58">
        <f t="shared" ca="1" si="31"/>
        <v>1.1749226851488537</v>
      </c>
      <c r="AS11" s="58">
        <f t="shared" ca="1" si="32"/>
        <v>1.4050621801780105</v>
      </c>
      <c r="AT11" s="58">
        <f t="shared" ca="1" si="33"/>
        <v>14.129068335450654</v>
      </c>
      <c r="AU11" s="58">
        <f t="shared" ca="1" si="34"/>
        <v>12.626368615454744</v>
      </c>
      <c r="AV11" s="58">
        <f t="shared" ca="1" si="35"/>
        <v>2.1780459351232775</v>
      </c>
      <c r="AW11" s="58">
        <f t="shared" ca="1" si="36"/>
        <v>0.72675630009207448</v>
      </c>
      <c r="AX11" s="58">
        <f t="shared" ca="1" si="37"/>
        <v>0.27455238003478372</v>
      </c>
      <c r="AY11" s="58">
        <f t="shared" ca="1" si="38"/>
        <v>4.8914481751560155</v>
      </c>
      <c r="AZ11" s="58">
        <f t="shared" ca="1" si="39"/>
        <v>19.622270010657822</v>
      </c>
      <c r="BA11" s="58">
        <f t="shared" ca="1" si="40"/>
        <v>1.2200672250690561</v>
      </c>
      <c r="BB11" s="58">
        <f t="shared" ca="1" si="41"/>
        <v>6.5112392102076795</v>
      </c>
      <c r="BC11" s="58">
        <f t="shared" ca="1" si="42"/>
        <v>5.8605557352665052</v>
      </c>
      <c r="BD11" s="58">
        <f t="shared" ca="1" si="43"/>
        <v>10.176264410575978</v>
      </c>
      <c r="BE11" s="58">
        <f t="shared" ca="1" si="44"/>
        <v>5.8605557352665052</v>
      </c>
      <c r="BF11" s="58">
        <f t="shared" ca="1" si="45"/>
        <v>7.3983843053186806</v>
      </c>
      <c r="BG11" s="58">
        <f t="shared" ca="1" si="46"/>
        <v>12.372385415700277</v>
      </c>
      <c r="BH11" s="58">
        <f t="shared" ca="1" si="47"/>
        <v>7.3983843053186806</v>
      </c>
      <c r="BI11" s="58">
        <f t="shared" ca="1" si="48"/>
        <v>4.0093837501278813</v>
      </c>
    </row>
    <row r="12" spans="1:61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49"/>
        <v>4.125</v>
      </c>
      <c r="M12" s="45">
        <f t="shared" si="50"/>
        <v>0.9</v>
      </c>
      <c r="N12" s="45">
        <f t="shared" si="51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8"/>
        <v>4.0375350005115251</v>
      </c>
      <c r="V12" s="58">
        <f t="shared" ca="1" si="9"/>
        <v>1.0416840301319734</v>
      </c>
      <c r="W12" s="58">
        <f t="shared" ca="1" si="10"/>
        <v>3.816933330121743</v>
      </c>
      <c r="X12" s="58">
        <f t="shared" ca="1" si="11"/>
        <v>3.7145322004706034</v>
      </c>
      <c r="Y12" s="58">
        <f t="shared" ca="1" si="12"/>
        <v>1.6715394902117713</v>
      </c>
      <c r="Z12" s="58">
        <f t="shared" ca="1" si="13"/>
        <v>2.6782683450854248</v>
      </c>
      <c r="AA12" s="58">
        <f t="shared" ca="1" si="14"/>
        <v>2.3740705803007764</v>
      </c>
      <c r="AB12" s="58">
        <f t="shared" ca="1" si="15"/>
        <v>3.0443013903856899</v>
      </c>
      <c r="AC12" s="58">
        <f t="shared" ca="1" si="16"/>
        <v>2.8585747803621597</v>
      </c>
      <c r="AD12" s="58">
        <f t="shared" ca="1" si="17"/>
        <v>1.9040293457011799</v>
      </c>
      <c r="AE12" s="58">
        <f t="shared" ca="1" si="18"/>
        <v>1.5915955183349688</v>
      </c>
      <c r="AF12" s="58">
        <f t="shared" ca="1" si="19"/>
        <v>1.9582044752480896</v>
      </c>
      <c r="AG12" s="58">
        <f t="shared" ca="1" si="20"/>
        <v>1.0659092401350427</v>
      </c>
      <c r="AH12" s="58">
        <f t="shared" ca="1" si="21"/>
        <v>6.1103008351948915</v>
      </c>
      <c r="AI12" s="58">
        <f t="shared" ca="1" si="22"/>
        <v>5.9408055904470736</v>
      </c>
      <c r="AJ12" s="58">
        <f t="shared" ca="1" si="23"/>
        <v>0.83395182002659929</v>
      </c>
      <c r="AK12" s="58">
        <f t="shared" ca="1" si="24"/>
        <v>1.0901344501381118</v>
      </c>
      <c r="AL12" s="58">
        <f t="shared" ca="1" si="25"/>
        <v>2.398295790303846</v>
      </c>
      <c r="AM12" s="58">
        <f t="shared" ca="1" si="26"/>
        <v>0.54506722506905592</v>
      </c>
      <c r="AN12" s="58">
        <f t="shared" ca="1" si="27"/>
        <v>15.13943304048288</v>
      </c>
      <c r="AO12" s="58">
        <f t="shared" ca="1" si="28"/>
        <v>2.0848795500664985</v>
      </c>
      <c r="AP12" s="58">
        <f t="shared" ca="1" si="29"/>
        <v>4.3529977551498771</v>
      </c>
      <c r="AQ12" s="58">
        <f t="shared" ca="1" si="30"/>
        <v>1.0424397750332492</v>
      </c>
      <c r="AR12" s="58">
        <f t="shared" ca="1" si="31"/>
        <v>1.1749226851488537</v>
      </c>
      <c r="AS12" s="58">
        <f t="shared" ca="1" si="32"/>
        <v>1.4050621801780105</v>
      </c>
      <c r="AT12" s="58">
        <f t="shared" ca="1" si="33"/>
        <v>14.129068335450654</v>
      </c>
      <c r="AU12" s="58">
        <f t="shared" ca="1" si="34"/>
        <v>7.3693686154547455</v>
      </c>
      <c r="AV12" s="58">
        <f t="shared" ca="1" si="35"/>
        <v>3.8650459351232773</v>
      </c>
      <c r="AW12" s="58">
        <f t="shared" ca="1" si="36"/>
        <v>0.72675630009207448</v>
      </c>
      <c r="AX12" s="58">
        <f t="shared" ca="1" si="37"/>
        <v>0.27455238003478372</v>
      </c>
      <c r="AY12" s="58">
        <f t="shared" ca="1" si="38"/>
        <v>4.8914481751560155</v>
      </c>
      <c r="AZ12" s="58">
        <f t="shared" ca="1" si="39"/>
        <v>8.6242700106578205</v>
      </c>
      <c r="BA12" s="58">
        <f t="shared" ca="1" si="40"/>
        <v>2.1650672250690559</v>
      </c>
      <c r="BB12" s="58">
        <f t="shared" ca="1" si="41"/>
        <v>6.5112392102076795</v>
      </c>
      <c r="BC12" s="58">
        <f t="shared" ca="1" si="42"/>
        <v>6.3735557352665042</v>
      </c>
      <c r="BD12" s="58">
        <f t="shared" ca="1" si="43"/>
        <v>16.892264410575976</v>
      </c>
      <c r="BE12" s="58">
        <f t="shared" ca="1" si="44"/>
        <v>6.3735557352665042</v>
      </c>
      <c r="BF12" s="58">
        <f t="shared" ca="1" si="45"/>
        <v>6.81938430531868</v>
      </c>
      <c r="BG12" s="58">
        <f t="shared" ca="1" si="46"/>
        <v>19.955385415700277</v>
      </c>
      <c r="BH12" s="58">
        <f t="shared" ca="1" si="47"/>
        <v>6.81938430531868</v>
      </c>
      <c r="BI12" s="58">
        <f t="shared" ca="1" si="48"/>
        <v>4.0093837501278813</v>
      </c>
    </row>
    <row r="13" spans="1:61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49"/>
        <v>4.125</v>
      </c>
      <c r="M13" s="45">
        <f t="shared" si="50"/>
        <v>0.9</v>
      </c>
      <c r="N13" s="45">
        <f t="shared" si="51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8"/>
        <v>4.0375350005115251</v>
      </c>
      <c r="V13" s="58">
        <f t="shared" ca="1" si="9"/>
        <v>1.0416840301319734</v>
      </c>
      <c r="W13" s="58">
        <f t="shared" ca="1" si="10"/>
        <v>3.816933330121743</v>
      </c>
      <c r="X13" s="58">
        <f t="shared" ca="1" si="11"/>
        <v>3.7145322004706034</v>
      </c>
      <c r="Y13" s="58">
        <f t="shared" ca="1" si="12"/>
        <v>1.6715394902117713</v>
      </c>
      <c r="Z13" s="58">
        <f t="shared" ca="1" si="13"/>
        <v>2.6782683450854248</v>
      </c>
      <c r="AA13" s="58">
        <f t="shared" ca="1" si="14"/>
        <v>2.3740705803007764</v>
      </c>
      <c r="AB13" s="58">
        <f t="shared" ca="1" si="15"/>
        <v>3.0443013903856899</v>
      </c>
      <c r="AC13" s="58">
        <f t="shared" ca="1" si="16"/>
        <v>2.8585747803621597</v>
      </c>
      <c r="AD13" s="58">
        <f t="shared" ca="1" si="17"/>
        <v>1.9040293457011799</v>
      </c>
      <c r="AE13" s="58">
        <f t="shared" ca="1" si="18"/>
        <v>1.5915955183349688</v>
      </c>
      <c r="AF13" s="58">
        <f t="shared" ca="1" si="19"/>
        <v>1.9582044752480896</v>
      </c>
      <c r="AG13" s="58">
        <f t="shared" ca="1" si="20"/>
        <v>1.0659092401350427</v>
      </c>
      <c r="AH13" s="58">
        <f t="shared" ca="1" si="21"/>
        <v>6.1103008351948915</v>
      </c>
      <c r="AI13" s="58">
        <f t="shared" ca="1" si="22"/>
        <v>5.9408055904470736</v>
      </c>
      <c r="AJ13" s="58">
        <f t="shared" ca="1" si="23"/>
        <v>0.83395182002659929</v>
      </c>
      <c r="AK13" s="58">
        <f t="shared" ca="1" si="24"/>
        <v>1.0901344501381118</v>
      </c>
      <c r="AL13" s="58">
        <f t="shared" ca="1" si="25"/>
        <v>2.398295790303846</v>
      </c>
      <c r="AM13" s="58">
        <f t="shared" ca="1" si="26"/>
        <v>0.54506722506905592</v>
      </c>
      <c r="AN13" s="58">
        <f t="shared" ca="1" si="27"/>
        <v>15.13943304048288</v>
      </c>
      <c r="AO13" s="58">
        <f t="shared" ca="1" si="28"/>
        <v>2.0848795500664985</v>
      </c>
      <c r="AP13" s="58">
        <f t="shared" ca="1" si="29"/>
        <v>4.3529977551498771</v>
      </c>
      <c r="AQ13" s="58">
        <f t="shared" ca="1" si="30"/>
        <v>1.0424397750332492</v>
      </c>
      <c r="AR13" s="58">
        <f t="shared" ca="1" si="31"/>
        <v>1.1749226851488537</v>
      </c>
      <c r="AS13" s="58">
        <f t="shared" ca="1" si="32"/>
        <v>1.4050621801780105</v>
      </c>
      <c r="AT13" s="58">
        <f t="shared" ca="1" si="33"/>
        <v>14.129068335450654</v>
      </c>
      <c r="AU13" s="58">
        <f t="shared" ca="1" si="34"/>
        <v>7.3693686154547455</v>
      </c>
      <c r="AV13" s="58">
        <f t="shared" ca="1" si="35"/>
        <v>3.8650459351232773</v>
      </c>
      <c r="AW13" s="58">
        <f t="shared" ca="1" si="36"/>
        <v>0.72675630009207448</v>
      </c>
      <c r="AX13" s="58">
        <f t="shared" ca="1" si="37"/>
        <v>0.27455238003478372</v>
      </c>
      <c r="AY13" s="58">
        <f t="shared" ca="1" si="38"/>
        <v>4.8914481751560155</v>
      </c>
      <c r="AZ13" s="58">
        <f t="shared" ca="1" si="39"/>
        <v>8.6242700106578205</v>
      </c>
      <c r="BA13" s="58">
        <f t="shared" ca="1" si="40"/>
        <v>2.1650672250690559</v>
      </c>
      <c r="BB13" s="58">
        <f t="shared" ca="1" si="41"/>
        <v>6.5112392102076795</v>
      </c>
      <c r="BC13" s="58">
        <f t="shared" ca="1" si="42"/>
        <v>6.3735557352665042</v>
      </c>
      <c r="BD13" s="58">
        <f t="shared" ca="1" si="43"/>
        <v>16.892264410575976</v>
      </c>
      <c r="BE13" s="58">
        <f t="shared" ca="1" si="44"/>
        <v>6.3735557352665042</v>
      </c>
      <c r="BF13" s="58">
        <f t="shared" ca="1" si="45"/>
        <v>6.81938430531868</v>
      </c>
      <c r="BG13" s="58">
        <f t="shared" ca="1" si="46"/>
        <v>19.955385415700277</v>
      </c>
      <c r="BH13" s="58">
        <f t="shared" ca="1" si="47"/>
        <v>6.81938430531868</v>
      </c>
      <c r="BI13" s="58">
        <f t="shared" ca="1" si="48"/>
        <v>4.0093837501278813</v>
      </c>
    </row>
    <row r="15" spans="1:61" x14ac:dyDescent="0.25">
      <c r="A15" s="61" t="s">
        <v>108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1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17" si="52">M4</f>
        <v>0.4</v>
      </c>
      <c r="L17" s="49">
        <f t="shared" si="52"/>
        <v>0.8600000000000001</v>
      </c>
    </row>
    <row r="18" spans="1:20" x14ac:dyDescent="0.25">
      <c r="A18" s="48" t="s">
        <v>100</v>
      </c>
      <c r="B18" s="54">
        <v>1</v>
      </c>
      <c r="C18" s="49">
        <f ca="1">(T5+V5)/2</f>
        <v>5.4325260451979602</v>
      </c>
      <c r="D18" s="49">
        <f t="shared" ref="D18:F18" ca="1" si="53">U5</f>
        <v>14.037535000511525</v>
      </c>
      <c r="E18" s="49">
        <f ca="1">C18</f>
        <v>5.4325260451979602</v>
      </c>
      <c r="F18" s="49">
        <f t="shared" ca="1" si="53"/>
        <v>3.816933330121743</v>
      </c>
      <c r="G18" s="49">
        <v>0</v>
      </c>
      <c r="H18" s="49">
        <v>0</v>
      </c>
      <c r="I18" s="49">
        <v>0</v>
      </c>
      <c r="J18" s="49">
        <f>L5</f>
        <v>4.875</v>
      </c>
      <c r="K18" s="49">
        <f t="shared" ref="K18" si="54">M5</f>
        <v>0.4</v>
      </c>
      <c r="L18" s="49">
        <f t="shared" ref="L18" si="55">N5</f>
        <v>0.78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ref="K19" si="56">M6</f>
        <v>0.4</v>
      </c>
      <c r="L19" s="49">
        <f t="shared" ref="L19" si="57">N6</f>
        <v>0.8600000000000001</v>
      </c>
    </row>
    <row r="20" spans="1:20" x14ac:dyDescent="0.25">
      <c r="A20" s="48" t="s">
        <v>101</v>
      </c>
      <c r="B20" s="54">
        <v>1</v>
      </c>
      <c r="C20" s="49">
        <f ca="1">AW7</f>
        <v>0.72675630009207448</v>
      </c>
      <c r="D20" s="49">
        <f ca="1">AX7</f>
        <v>0.27455238003478372</v>
      </c>
      <c r="E20" s="49">
        <v>0</v>
      </c>
      <c r="F20" s="49">
        <f ca="1">AY7</f>
        <v>4.8914481751560155</v>
      </c>
      <c r="G20" s="49">
        <f t="shared" ref="G20:H20" ca="1" si="58">AZ7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ref="K20:K24" si="59">M7</f>
        <v>0.65</v>
      </c>
      <c r="L20" s="49">
        <f t="shared" ref="L20:L24" si="60">N7</f>
        <v>0.38</v>
      </c>
    </row>
    <row r="21" spans="1:20" x14ac:dyDescent="0.25">
      <c r="A21" s="48" t="s">
        <v>102</v>
      </c>
      <c r="B21" s="54">
        <f>1-0.175</f>
        <v>0.82499999999999996</v>
      </c>
      <c r="C21" s="49">
        <f ca="1">AR8*B21</f>
        <v>0.96931121524780428</v>
      </c>
      <c r="D21" s="49">
        <f ca="1">AS8*B21</f>
        <v>1.1591762986468586</v>
      </c>
      <c r="E21" s="49">
        <v>0</v>
      </c>
      <c r="F21" s="49">
        <f ca="1">AT8*B21</f>
        <v>11.65648137674679</v>
      </c>
      <c r="G21" s="49">
        <f ca="1">AU8*B21</f>
        <v>10.416754107750164</v>
      </c>
      <c r="H21" s="49">
        <f ca="1">AV8*B21</f>
        <v>1.7968878964767039</v>
      </c>
      <c r="I21" s="49">
        <v>0</v>
      </c>
      <c r="J21" s="49">
        <v>0</v>
      </c>
      <c r="K21" s="49">
        <f>M8*B21</f>
        <v>0.53625</v>
      </c>
      <c r="L21" s="49">
        <f>N8*B21</f>
        <v>0.3135</v>
      </c>
      <c r="T21" s="62"/>
    </row>
    <row r="22" spans="1:20" x14ac:dyDescent="0.25">
      <c r="A22" s="48" t="s">
        <v>103</v>
      </c>
      <c r="B22" s="54">
        <f>1-0.175</f>
        <v>0.82499999999999996</v>
      </c>
      <c r="C22" s="49">
        <f ca="1">(AK9+AM9)/2*B22</f>
        <v>2.3451456910229571</v>
      </c>
      <c r="D22" s="49">
        <f ca="1">AL9*B22</f>
        <v>6.8790940270006722</v>
      </c>
      <c r="E22" s="49">
        <f ca="1">C22</f>
        <v>2.3451456910229571</v>
      </c>
      <c r="F22" s="49">
        <f ca="1">AN9*B22</f>
        <v>12.490032258398376</v>
      </c>
      <c r="G22" s="49">
        <f ca="1">(AO9+AQ9)/2*B22</f>
        <v>1.1291442216036458</v>
      </c>
      <c r="H22" s="49">
        <f ca="1">AP9*B22</f>
        <v>3.3932231479986483</v>
      </c>
      <c r="I22" s="49">
        <f ca="1">G22*B22</f>
        <v>0.93154398282300777</v>
      </c>
      <c r="J22" s="49">
        <v>0</v>
      </c>
      <c r="K22" s="49">
        <f>M9*B22</f>
        <v>0.74249999999999994</v>
      </c>
      <c r="L22" s="49">
        <f>N9*B22</f>
        <v>0.64349999999999996</v>
      </c>
    </row>
    <row r="23" spans="1:20" x14ac:dyDescent="0.25">
      <c r="A23" s="48" t="s">
        <v>102</v>
      </c>
      <c r="B23" s="54">
        <f>1-0.175</f>
        <v>0.82499999999999996</v>
      </c>
      <c r="C23" s="49">
        <v>0</v>
      </c>
      <c r="D23" s="49">
        <f ca="1">AS10*B23</f>
        <v>1.1591762986468586</v>
      </c>
      <c r="E23" s="49">
        <f ca="1">AR10*B23</f>
        <v>0.96931121524780428</v>
      </c>
      <c r="F23" s="49">
        <f ca="1">AT10*B23</f>
        <v>11.65648137674679</v>
      </c>
      <c r="G23" s="49">
        <v>0</v>
      </c>
      <c r="H23" s="49">
        <f ca="1">AV10*B23</f>
        <v>1.7968878964767039</v>
      </c>
      <c r="I23" s="49">
        <f ca="1">AU10*B23</f>
        <v>10.416754107750164</v>
      </c>
      <c r="J23" s="49">
        <v>0</v>
      </c>
      <c r="K23" s="49">
        <f>M10*B23</f>
        <v>0.53625</v>
      </c>
      <c r="L23" s="49">
        <f>N10*B23</f>
        <v>0.3135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AX11</f>
        <v>0.27455238003478372</v>
      </c>
      <c r="E24" s="49">
        <f ca="1">AR11</f>
        <v>1.1749226851488537</v>
      </c>
      <c r="F24" s="49">
        <f ca="1">AY11</f>
        <v>4.8914481751560155</v>
      </c>
      <c r="G24" s="49">
        <v>0</v>
      </c>
      <c r="H24" s="49">
        <f ca="1">BA11</f>
        <v>1.2200672250690561</v>
      </c>
      <c r="I24" s="49">
        <f ca="1">AZ11</f>
        <v>19.622270010657822</v>
      </c>
      <c r="J24" s="49">
        <v>0</v>
      </c>
      <c r="K24" s="49">
        <f t="shared" si="59"/>
        <v>0.65</v>
      </c>
      <c r="L24" s="49">
        <f t="shared" si="60"/>
        <v>0.38</v>
      </c>
    </row>
    <row r="25" spans="1:20" x14ac:dyDescent="0.25">
      <c r="A25" s="48" t="s">
        <v>104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BB12*B25</f>
        <v>6.1531210536462568</v>
      </c>
      <c r="G25" s="49">
        <f ca="1">BC12*B25</f>
        <v>6.0230101698268461</v>
      </c>
      <c r="H25" s="49">
        <f ca="1">BD12*B25</f>
        <v>15.963189867994297</v>
      </c>
      <c r="I25" s="49">
        <v>0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104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BB13*B26</f>
        <v>6.1531210536462568</v>
      </c>
      <c r="G26" s="49">
        <v>0</v>
      </c>
      <c r="H26" s="49">
        <f ca="1">BD13*B26</f>
        <v>15.963189867994297</v>
      </c>
      <c r="I26" s="49">
        <f ca="1">BE13*B26</f>
        <v>6.0230101698268461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37.401039507477961</v>
      </c>
      <c r="D27" s="51">
        <f t="shared" ref="D27:L27" ca="1" si="61">SUM(D16:D26)</f>
        <v>56.492623050959388</v>
      </c>
      <c r="E27" s="51">
        <f t="shared" ca="1" si="61"/>
        <v>37.849205892534741</v>
      </c>
      <c r="F27" s="51">
        <f t="shared" ca="1" si="61"/>
        <v>63.057603489789095</v>
      </c>
      <c r="G27" s="51">
        <f t="shared" ca="1" si="61"/>
        <v>45.445249090139257</v>
      </c>
      <c r="H27" s="51">
        <f t="shared" ca="1" si="61"/>
        <v>41.353513127078763</v>
      </c>
      <c r="I27" s="51">
        <f t="shared" ca="1" si="61"/>
        <v>45.247648851358619</v>
      </c>
      <c r="J27" s="52">
        <f t="shared" si="61"/>
        <v>16.125</v>
      </c>
      <c r="K27" s="52">
        <f t="shared" si="61"/>
        <v>6.5360000000000005</v>
      </c>
      <c r="L27" s="52">
        <f t="shared" si="61"/>
        <v>6.1087000000000007</v>
      </c>
    </row>
    <row r="28" spans="1:20" ht="15.75" x14ac:dyDescent="0.25">
      <c r="A28" s="50"/>
      <c r="B28" s="50" t="s">
        <v>105</v>
      </c>
      <c r="C28" s="53">
        <f ca="1">C27*0.34</f>
        <v>12.716353432542508</v>
      </c>
      <c r="D28" s="53">
        <f ca="1">D27*0.245</f>
        <v>13.840692647485049</v>
      </c>
      <c r="E28" s="53">
        <f ca="1">E27*0.34</f>
        <v>12.868730003461813</v>
      </c>
      <c r="F28" s="53">
        <f ca="1">F27*0.125</f>
        <v>7.8822004362236369</v>
      </c>
      <c r="G28" s="53">
        <f ca="1">G27*0.25</f>
        <v>11.361312272534814</v>
      </c>
      <c r="H28" s="53">
        <f ca="1">H27*0.19</f>
        <v>7.8571674941449654</v>
      </c>
      <c r="I28" s="53">
        <f ca="1">I27*0.25</f>
        <v>11.311912212839655</v>
      </c>
    </row>
    <row r="29" spans="1:20" ht="15.75" x14ac:dyDescent="0.25">
      <c r="A29" s="50"/>
      <c r="B29" s="50" t="s">
        <v>106</v>
      </c>
      <c r="C29" s="53">
        <f ca="1">C28*1.2/1.05</f>
        <v>14.532975351477152</v>
      </c>
      <c r="D29" s="53">
        <f t="shared" ref="D29:E29" ca="1" si="62">D28*1.2/1.05</f>
        <v>15.817934454268626</v>
      </c>
      <c r="E29" s="53">
        <f t="shared" ca="1" si="62"/>
        <v>14.707120003956357</v>
      </c>
      <c r="F29" s="53">
        <f ca="1">F28</f>
        <v>7.8822004362236369</v>
      </c>
      <c r="G29" s="53">
        <f ca="1">G28*0.925/1.05</f>
        <v>10.00877509723305</v>
      </c>
      <c r="H29" s="53">
        <f t="shared" ref="H29:I29" ca="1" si="63">H28*0.925/1.05</f>
        <v>6.9217904115086597</v>
      </c>
      <c r="I29" s="53">
        <f t="shared" ca="1" si="63"/>
        <v>9.9652559970254107</v>
      </c>
    </row>
    <row r="30" spans="1:20" ht="15.75" x14ac:dyDescent="0.25">
      <c r="A30" s="50"/>
      <c r="B30" s="50" t="s">
        <v>107</v>
      </c>
      <c r="C30" s="53">
        <f ca="1">C28*0.925/1.05</f>
        <v>11.202501833430304</v>
      </c>
      <c r="D30" s="53">
        <f t="shared" ref="D30:E30" ca="1" si="64">D28*0.925/1.05</f>
        <v>12.192991141832067</v>
      </c>
      <c r="E30" s="53">
        <f t="shared" ca="1" si="64"/>
        <v>11.336738336383025</v>
      </c>
      <c r="F30" s="53">
        <f ca="1">F29</f>
        <v>7.8822004362236369</v>
      </c>
      <c r="G30" s="53">
        <f ca="1">G28*1.135/1.05</f>
        <v>12.281037551740013</v>
      </c>
      <c r="H30" s="53">
        <f t="shared" ref="H30:I30" ca="1" si="65">H28*1.135/1.05</f>
        <v>8.4932239103376528</v>
      </c>
      <c r="I30" s="53">
        <f t="shared" ca="1" si="65"/>
        <v>12.22763843959334</v>
      </c>
    </row>
  </sheetData>
  <conditionalFormatting sqref="O3:P13">
    <cfRule type="cellIs" dxfId="9" priority="14" operator="greaterThan">
      <formula>15</formula>
    </cfRule>
  </conditionalFormatting>
  <conditionalFormatting sqref="L3:L13">
    <cfRule type="cellIs" dxfId="8" priority="13" operator="greaterThan">
      <formula>3.2</formula>
    </cfRule>
  </conditionalFormatting>
  <conditionalFormatting sqref="M3:N13">
    <cfRule type="cellIs" dxfId="7" priority="12" operator="greaterThan">
      <formula>0.6</formula>
    </cfRule>
  </conditionalFormatting>
  <conditionalFormatting sqref="Q3:V13 X3:Y13 AF3:AG13 AK3:AM13 AR3:AR13 AW3:AX13">
    <cfRule type="cellIs" dxfId="6" priority="11" operator="greaterThan">
      <formula>12.5</formula>
    </cfRule>
  </conditionalFormatting>
  <conditionalFormatting sqref="W3:W13 AH3:AH13 AN3:AN13 AT3:AT13 AY3:AY13 BB3:BB13">
    <cfRule type="cellIs" dxfId="5" priority="10" operator="greaterThan">
      <formula>12.5</formula>
    </cfRule>
  </conditionalFormatting>
  <conditionalFormatting sqref="AA3:AA13 AI3:AJ13 AO3:AQ13 AU3:AV13 AZ3:BA13 BC3:BH13">
    <cfRule type="cellIs" dxfId="4" priority="9" operator="greaterThan">
      <formula>12.5</formula>
    </cfRule>
  </conditionalFormatting>
  <conditionalFormatting sqref="D3:D13">
    <cfRule type="cellIs" dxfId="3" priority="8" operator="greaterThan">
      <formula>7</formula>
    </cfRule>
  </conditionalFormatting>
  <conditionalFormatting sqref="AB3:AC13">
    <cfRule type="cellIs" dxfId="2" priority="7" operator="greaterThan">
      <formula>12.5</formula>
    </cfRule>
  </conditionalFormatting>
  <conditionalFormatting sqref="AE3:AE13">
    <cfRule type="cellIs" dxfId="1" priority="6" operator="greaterThan">
      <formula>12.5</formula>
    </cfRule>
  </conditionalFormatting>
  <conditionalFormatting sqref="BI3:BI13">
    <cfRule type="cellIs" dxfId="0" priority="5" operator="greaterThan">
      <formula>12.5</formula>
    </cfRule>
  </conditionalFormatting>
  <conditionalFormatting sqref="E3:K1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2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Z69"/>
  <sheetViews>
    <sheetView zoomScale="80" zoomScaleNormal="80" workbookViewId="0">
      <pane ySplit="3" topLeftCell="A37" activePane="bottomLeft" state="frozen"/>
      <selection pane="bottomLeft" activeCell="F26" sqref="F26:G26"/>
    </sheetView>
  </sheetViews>
  <sheetFormatPr baseColWidth="10" defaultColWidth="9.140625" defaultRowHeight="15" x14ac:dyDescent="0.25"/>
  <cols>
    <col min="1" max="1" width="37" bestFit="1" customWidth="1"/>
    <col min="2" max="2" width="7.5703125" bestFit="1" customWidth="1"/>
    <col min="3" max="3" width="7.140625" bestFit="1" customWidth="1"/>
    <col min="8" max="8" width="7.5703125" bestFit="1" customWidth="1"/>
    <col min="9" max="9" width="7.140625" bestFit="1" customWidth="1"/>
    <col min="16" max="16" width="26" bestFit="1" customWidth="1"/>
  </cols>
  <sheetData>
    <row r="1" spans="1:26" ht="18.75" x14ac:dyDescent="0.3">
      <c r="B1" s="119">
        <v>0.34</v>
      </c>
      <c r="C1" s="120"/>
      <c r="D1" s="119">
        <v>0.245</v>
      </c>
      <c r="E1" s="120"/>
      <c r="F1" s="119">
        <v>0.125</v>
      </c>
      <c r="G1" s="120"/>
      <c r="H1" s="119">
        <v>0.25025999999999998</v>
      </c>
      <c r="I1" s="120"/>
      <c r="J1" s="119">
        <v>0.19</v>
      </c>
      <c r="K1" s="120"/>
    </row>
    <row r="2" spans="1:26" ht="18.75" x14ac:dyDescent="0.3">
      <c r="B2" s="138" t="s">
        <v>0</v>
      </c>
      <c r="C2" s="138"/>
      <c r="D2" s="138" t="s">
        <v>1</v>
      </c>
      <c r="E2" s="138"/>
      <c r="F2" s="138" t="s">
        <v>2</v>
      </c>
      <c r="G2" s="138"/>
      <c r="H2" s="138" t="s">
        <v>3</v>
      </c>
      <c r="I2" s="138"/>
      <c r="J2" s="138" t="s">
        <v>4</v>
      </c>
      <c r="K2" s="138"/>
      <c r="Q2" s="138" t="s">
        <v>0</v>
      </c>
      <c r="R2" s="138"/>
      <c r="S2" s="138" t="s">
        <v>1</v>
      </c>
      <c r="T2" s="138"/>
      <c r="U2" s="138" t="s">
        <v>2</v>
      </c>
      <c r="V2" s="138"/>
      <c r="W2" s="138" t="s">
        <v>3</v>
      </c>
      <c r="X2" s="138"/>
      <c r="Y2" s="138" t="s">
        <v>4</v>
      </c>
      <c r="Z2" s="138"/>
    </row>
    <row r="3" spans="1:26" ht="19.5" thickBot="1" x14ac:dyDescent="0.35">
      <c r="B3" s="1" t="s">
        <v>5</v>
      </c>
      <c r="C3" s="1" t="s">
        <v>6</v>
      </c>
      <c r="D3" s="133"/>
      <c r="E3" s="134"/>
      <c r="F3" s="133"/>
      <c r="G3" s="134"/>
      <c r="H3" s="1" t="s">
        <v>5</v>
      </c>
      <c r="I3" s="1" t="s">
        <v>6</v>
      </c>
      <c r="J3" s="133"/>
      <c r="K3" s="134"/>
      <c r="Q3" s="1" t="s">
        <v>5</v>
      </c>
      <c r="R3" s="1" t="s">
        <v>6</v>
      </c>
      <c r="S3" s="133"/>
      <c r="T3" s="134"/>
      <c r="U3" s="133"/>
      <c r="V3" s="134"/>
      <c r="W3" s="1" t="s">
        <v>5</v>
      </c>
      <c r="X3" s="1" t="s">
        <v>6</v>
      </c>
      <c r="Y3" s="133"/>
      <c r="Z3" s="134"/>
    </row>
    <row r="4" spans="1:26" s="74" customFormat="1" x14ac:dyDescent="0.25">
      <c r="A4" s="4" t="s">
        <v>7</v>
      </c>
      <c r="B4" s="131">
        <v>0.59699999999999998</v>
      </c>
      <c r="C4" s="131"/>
      <c r="D4" s="131">
        <v>0.86599999999999999</v>
      </c>
      <c r="E4" s="131"/>
      <c r="F4" s="2"/>
      <c r="G4" s="2"/>
      <c r="H4" s="2"/>
      <c r="I4" s="2"/>
      <c r="J4" s="2"/>
      <c r="K4" s="3"/>
      <c r="P4" s="4" t="s">
        <v>28</v>
      </c>
      <c r="Q4" s="2">
        <v>0.189</v>
      </c>
      <c r="R4" s="2">
        <v>9.4500000000000001E-2</v>
      </c>
      <c r="S4" s="100">
        <v>0.4</v>
      </c>
      <c r="T4" s="100"/>
      <c r="U4" s="2"/>
      <c r="V4" s="2"/>
      <c r="W4" s="2"/>
      <c r="X4" s="2"/>
      <c r="Y4" s="95"/>
      <c r="Z4" s="97"/>
    </row>
    <row r="5" spans="1:26" s="74" customFormat="1" ht="15.75" thickBot="1" x14ac:dyDescent="0.3">
      <c r="A5" s="7" t="s">
        <v>8</v>
      </c>
      <c r="B5" s="139">
        <v>0.27600000000000002</v>
      </c>
      <c r="C5" s="139"/>
      <c r="D5" s="139">
        <v>0.42499999999999999</v>
      </c>
      <c r="E5" s="139"/>
      <c r="F5" s="5"/>
      <c r="G5" s="5"/>
      <c r="H5" s="5"/>
      <c r="I5" s="5"/>
      <c r="J5" s="5"/>
      <c r="K5" s="6"/>
      <c r="M5" s="104"/>
      <c r="P5" s="10" t="s">
        <v>29</v>
      </c>
      <c r="Q5" s="8"/>
      <c r="R5" s="8"/>
      <c r="S5" s="8"/>
      <c r="T5" s="8"/>
      <c r="U5" s="102">
        <v>1</v>
      </c>
      <c r="V5" s="102"/>
      <c r="W5" s="8"/>
      <c r="X5" s="8"/>
      <c r="Y5" s="94"/>
      <c r="Z5" s="96"/>
    </row>
    <row r="6" spans="1:26" x14ac:dyDescent="0.25">
      <c r="A6" s="4" t="s">
        <v>9</v>
      </c>
      <c r="B6" s="2">
        <v>0.51600000000000001</v>
      </c>
      <c r="C6" s="2">
        <v>0.25800000000000001</v>
      </c>
      <c r="D6" s="131">
        <v>1</v>
      </c>
      <c r="E6" s="131"/>
      <c r="F6" s="2"/>
      <c r="G6" s="2"/>
      <c r="H6" s="2"/>
      <c r="I6" s="2"/>
      <c r="J6" s="2"/>
      <c r="K6" s="3"/>
      <c r="P6" s="10" t="s">
        <v>30</v>
      </c>
      <c r="Q6" s="5"/>
      <c r="R6" s="5"/>
      <c r="S6" s="5"/>
      <c r="T6" s="5"/>
      <c r="U6" s="101"/>
      <c r="V6" s="101"/>
      <c r="W6" s="5"/>
      <c r="X6" s="5"/>
      <c r="Y6" s="98">
        <v>0.21</v>
      </c>
      <c r="Z6" s="99"/>
    </row>
    <row r="7" spans="1:26" ht="15.75" thickBot="1" x14ac:dyDescent="0.3">
      <c r="A7" s="41" t="s">
        <v>10</v>
      </c>
      <c r="B7" s="27"/>
      <c r="C7" s="27"/>
      <c r="D7" s="27"/>
      <c r="E7" s="27"/>
      <c r="F7" s="129">
        <v>0.23599999999999999</v>
      </c>
      <c r="G7" s="129"/>
      <c r="H7" s="27"/>
      <c r="I7" s="27"/>
      <c r="J7" s="27"/>
      <c r="K7" s="75"/>
      <c r="P7" s="7" t="s">
        <v>31</v>
      </c>
      <c r="Q7" s="5"/>
      <c r="R7" s="5"/>
      <c r="S7" s="5"/>
      <c r="T7" s="5"/>
      <c r="U7" s="101"/>
      <c r="V7" s="101"/>
      <c r="W7" s="5">
        <v>0.25348837209302327</v>
      </c>
      <c r="X7" s="5">
        <v>0.12674418604651164</v>
      </c>
      <c r="Y7" s="98">
        <v>0.34125000000000005</v>
      </c>
      <c r="Z7" s="99"/>
    </row>
    <row r="8" spans="1:26" x14ac:dyDescent="0.25">
      <c r="A8" s="4" t="s">
        <v>11</v>
      </c>
      <c r="B8" s="2">
        <v>0.378</v>
      </c>
      <c r="C8" s="2">
        <v>0.189</v>
      </c>
      <c r="D8" s="131">
        <v>0.72499999999999998</v>
      </c>
      <c r="E8" s="131"/>
      <c r="F8" s="2"/>
      <c r="G8" s="2"/>
      <c r="H8" s="2"/>
      <c r="I8" s="2"/>
      <c r="J8" s="2"/>
      <c r="K8" s="3"/>
      <c r="P8" s="4" t="s">
        <v>32</v>
      </c>
      <c r="Q8" s="2">
        <v>0.27</v>
      </c>
      <c r="R8" s="2">
        <v>0.13500000000000001</v>
      </c>
      <c r="S8" s="100">
        <v>0.59399999999999997</v>
      </c>
      <c r="T8" s="100"/>
      <c r="U8" s="2"/>
      <c r="V8" s="2"/>
      <c r="W8" s="2"/>
      <c r="X8" s="2"/>
      <c r="Y8" s="95"/>
      <c r="Z8" s="97"/>
    </row>
    <row r="9" spans="1:26" ht="15.75" thickBot="1" x14ac:dyDescent="0.3">
      <c r="A9" s="7" t="s">
        <v>12</v>
      </c>
      <c r="B9" s="5"/>
      <c r="C9" s="5"/>
      <c r="D9" s="5"/>
      <c r="E9" s="5"/>
      <c r="F9" s="139">
        <f>0.318*1.14</f>
        <v>0.36251999999999995</v>
      </c>
      <c r="G9" s="139"/>
      <c r="H9" s="5"/>
      <c r="I9" s="5"/>
      <c r="J9" s="5"/>
      <c r="K9" s="6"/>
      <c r="P9" s="17" t="s">
        <v>33</v>
      </c>
      <c r="Q9" s="13"/>
      <c r="R9" s="13"/>
      <c r="S9" s="14"/>
      <c r="T9" s="14"/>
      <c r="U9" s="13"/>
      <c r="V9" s="13"/>
      <c r="W9" s="13"/>
      <c r="X9" s="13"/>
      <c r="Y9" s="98">
        <v>0.12</v>
      </c>
      <c r="Z9" s="99"/>
    </row>
    <row r="10" spans="1:26" ht="15.75" thickBot="1" x14ac:dyDescent="0.3">
      <c r="A10" s="4" t="s">
        <v>13</v>
      </c>
      <c r="B10" s="2">
        <v>0.75366</v>
      </c>
      <c r="C10" s="2"/>
      <c r="D10" s="131">
        <v>0.70798000000000005</v>
      </c>
      <c r="E10" s="131"/>
      <c r="F10" s="2"/>
      <c r="G10" s="2"/>
      <c r="H10" s="2"/>
      <c r="I10" s="2"/>
      <c r="J10" s="2"/>
      <c r="K10" s="3"/>
      <c r="P10" s="7" t="s">
        <v>34</v>
      </c>
      <c r="Q10" s="5"/>
      <c r="R10" s="5"/>
      <c r="S10" s="101"/>
      <c r="T10" s="101"/>
      <c r="U10" s="5"/>
      <c r="V10" s="5"/>
      <c r="W10" s="5">
        <v>0.13023255813953491</v>
      </c>
      <c r="X10" s="5">
        <v>6.5116279069767455E-2</v>
      </c>
      <c r="Y10" s="98">
        <v>0.17519999999999999</v>
      </c>
      <c r="Z10" s="99"/>
    </row>
    <row r="11" spans="1:26" x14ac:dyDescent="0.25">
      <c r="A11" s="10" t="s">
        <v>14</v>
      </c>
      <c r="B11" s="8"/>
      <c r="C11" s="8"/>
      <c r="D11" s="8"/>
      <c r="E11" s="8"/>
      <c r="F11" s="126">
        <v>0.16500000000000001</v>
      </c>
      <c r="G11" s="126"/>
      <c r="H11" s="8"/>
      <c r="I11" s="8"/>
      <c r="J11" s="8"/>
      <c r="K11" s="9"/>
      <c r="P11" s="4" t="s">
        <v>35</v>
      </c>
      <c r="Q11" s="2">
        <v>7.6499999999999999E-2</v>
      </c>
      <c r="R11" s="2">
        <v>3.8249999999999999E-2</v>
      </c>
      <c r="S11" s="100">
        <v>0.16200000000000003</v>
      </c>
      <c r="T11" s="100"/>
      <c r="U11" s="2"/>
      <c r="V11" s="2"/>
      <c r="W11" s="2"/>
      <c r="X11" s="2"/>
      <c r="Y11" s="95"/>
      <c r="Z11" s="97"/>
    </row>
    <row r="12" spans="1:26" ht="15.75" thickBot="1" x14ac:dyDescent="0.3">
      <c r="A12" s="7" t="s">
        <v>15</v>
      </c>
      <c r="B12" s="5"/>
      <c r="C12" s="5"/>
      <c r="D12" s="5"/>
      <c r="E12" s="5"/>
      <c r="F12" s="11"/>
      <c r="G12" s="11"/>
      <c r="H12" s="5">
        <v>0.28604651162790701</v>
      </c>
      <c r="I12" s="5"/>
      <c r="J12" s="5"/>
      <c r="K12" s="6"/>
      <c r="P12" s="17" t="s">
        <v>36</v>
      </c>
      <c r="Q12" s="13"/>
      <c r="R12" s="13"/>
      <c r="S12" s="14"/>
      <c r="T12" s="14"/>
      <c r="U12" s="13"/>
      <c r="V12" s="13"/>
      <c r="W12" s="13"/>
      <c r="X12" s="13"/>
      <c r="Y12" s="98">
        <v>0.31</v>
      </c>
      <c r="Z12" s="99"/>
    </row>
    <row r="13" spans="1:26" ht="15.75" thickBot="1" x14ac:dyDescent="0.3">
      <c r="A13" s="4" t="s">
        <v>16</v>
      </c>
      <c r="B13" s="2">
        <v>1</v>
      </c>
      <c r="C13" s="12"/>
      <c r="D13" s="131">
        <v>0.47899999999999998</v>
      </c>
      <c r="E13" s="131"/>
      <c r="F13" s="2"/>
      <c r="G13" s="2"/>
      <c r="H13" s="2"/>
      <c r="I13" s="2"/>
      <c r="J13" s="2"/>
      <c r="K13" s="3"/>
      <c r="P13" s="7" t="s">
        <v>37</v>
      </c>
      <c r="Q13" s="5"/>
      <c r="R13" s="5"/>
      <c r="S13" s="101"/>
      <c r="T13" s="101"/>
      <c r="U13" s="5"/>
      <c r="V13" s="5"/>
      <c r="W13" s="5">
        <v>0.25116279069767444</v>
      </c>
      <c r="X13" s="5">
        <v>0.12558139534883722</v>
      </c>
      <c r="Y13" s="121">
        <v>0.50714999999999999</v>
      </c>
      <c r="Z13" s="122"/>
    </row>
    <row r="14" spans="1:26" ht="15.75" thickBot="1" x14ac:dyDescent="0.3">
      <c r="A14" s="10" t="s">
        <v>17</v>
      </c>
      <c r="B14" s="8"/>
      <c r="C14" s="8"/>
      <c r="D14" s="8"/>
      <c r="E14" s="8"/>
      <c r="F14" s="126">
        <v>6.6000000000000003E-2</v>
      </c>
      <c r="G14" s="126"/>
      <c r="H14" s="8"/>
      <c r="I14" s="8"/>
      <c r="J14" s="8"/>
      <c r="K14" s="9"/>
      <c r="P14" s="19" t="s">
        <v>38</v>
      </c>
      <c r="Q14" s="18"/>
      <c r="R14" s="18"/>
      <c r="S14" s="18"/>
      <c r="T14" s="18"/>
      <c r="U14" s="135">
        <v>0.94399999999999995</v>
      </c>
      <c r="V14" s="135"/>
      <c r="W14" s="18"/>
      <c r="X14" s="18"/>
      <c r="Y14" s="136"/>
      <c r="Z14" s="137"/>
    </row>
    <row r="15" spans="1:26" ht="15.75" thickBot="1" x14ac:dyDescent="0.3">
      <c r="A15" s="7" t="s">
        <v>18</v>
      </c>
      <c r="B15" s="5"/>
      <c r="C15" s="5"/>
      <c r="D15" s="5"/>
      <c r="E15" s="5"/>
      <c r="F15" s="11"/>
      <c r="G15" s="11"/>
      <c r="H15" s="5">
        <v>0.37558139534883728</v>
      </c>
      <c r="I15" s="5"/>
      <c r="J15" s="5"/>
      <c r="K15" s="6"/>
      <c r="P15" s="4" t="s">
        <v>39</v>
      </c>
      <c r="Q15" s="131">
        <v>0.29099999999999998</v>
      </c>
      <c r="R15" s="131"/>
      <c r="S15" s="131">
        <v>0.34799999999999998</v>
      </c>
      <c r="T15" s="131"/>
      <c r="U15" s="2"/>
      <c r="V15" s="2"/>
      <c r="W15" s="2"/>
      <c r="X15" s="2"/>
      <c r="Y15" s="105"/>
      <c r="Z15" s="106"/>
    </row>
    <row r="16" spans="1:26" x14ac:dyDescent="0.25">
      <c r="A16" s="4" t="s">
        <v>19</v>
      </c>
      <c r="B16" s="2">
        <v>0.91900000000000004</v>
      </c>
      <c r="C16" s="12"/>
      <c r="D16" s="131">
        <v>0.41400000000000003</v>
      </c>
      <c r="E16" s="131"/>
      <c r="F16" s="2"/>
      <c r="G16" s="2"/>
      <c r="H16" s="2"/>
      <c r="I16" s="2"/>
      <c r="J16" s="2"/>
      <c r="K16" s="3"/>
      <c r="P16" s="10" t="s">
        <v>40</v>
      </c>
      <c r="Q16" s="8"/>
      <c r="R16" s="8"/>
      <c r="S16" s="8"/>
      <c r="T16" s="8"/>
      <c r="U16" s="126">
        <v>0.88100000000000001</v>
      </c>
      <c r="V16" s="126"/>
      <c r="W16" s="8"/>
      <c r="X16" s="8"/>
      <c r="Y16" s="107"/>
      <c r="Z16" s="108"/>
    </row>
    <row r="17" spans="1:26" x14ac:dyDescent="0.25">
      <c r="A17" s="10" t="s">
        <v>20</v>
      </c>
      <c r="B17" s="8"/>
      <c r="C17" s="8"/>
      <c r="D17" s="8"/>
      <c r="E17" s="8"/>
      <c r="F17" s="126">
        <v>0.16700000000000001</v>
      </c>
      <c r="G17" s="126"/>
      <c r="H17" s="8"/>
      <c r="I17" s="8"/>
      <c r="J17" s="8"/>
      <c r="K17" s="9"/>
      <c r="P17" s="10" t="s">
        <v>41</v>
      </c>
      <c r="Q17" s="8"/>
      <c r="R17" s="8"/>
      <c r="S17" s="8"/>
      <c r="T17" s="8"/>
      <c r="U17" s="102"/>
      <c r="V17" s="102"/>
      <c r="W17" s="8">
        <v>0.57441860465116279</v>
      </c>
      <c r="X17" s="8"/>
      <c r="Y17" s="107"/>
      <c r="Z17" s="108"/>
    </row>
    <row r="18" spans="1:26" ht="15.75" thickBot="1" x14ac:dyDescent="0.3">
      <c r="A18" s="7" t="s">
        <v>21</v>
      </c>
      <c r="B18" s="5"/>
      <c r="C18" s="5"/>
      <c r="D18" s="5"/>
      <c r="E18" s="5"/>
      <c r="F18" s="11"/>
      <c r="G18" s="11"/>
      <c r="H18" s="5">
        <v>0.58837209302325588</v>
      </c>
      <c r="I18" s="5"/>
      <c r="J18" s="5"/>
      <c r="K18" s="6"/>
      <c r="P18" s="7" t="s">
        <v>42</v>
      </c>
      <c r="Q18" s="5"/>
      <c r="R18" s="5"/>
      <c r="S18" s="5"/>
      <c r="T18" s="5"/>
      <c r="U18" s="101"/>
      <c r="V18" s="101"/>
      <c r="W18" s="5">
        <v>0.31511627906976747</v>
      </c>
      <c r="X18" s="5"/>
      <c r="Y18" s="121">
        <v>0.24062</v>
      </c>
      <c r="Z18" s="122"/>
    </row>
    <row r="19" spans="1:26" ht="15.75" thickBot="1" x14ac:dyDescent="0.3">
      <c r="A19" s="4" t="s">
        <v>22</v>
      </c>
      <c r="B19" s="2">
        <v>0.69799999999999995</v>
      </c>
      <c r="C19" s="12"/>
      <c r="D19" s="131">
        <v>0.38200000000000001</v>
      </c>
      <c r="E19" s="131"/>
      <c r="F19" s="2"/>
      <c r="G19" s="2"/>
      <c r="H19" s="2"/>
      <c r="I19" s="2"/>
      <c r="J19" s="2"/>
      <c r="K19" s="3"/>
      <c r="P19" s="7"/>
      <c r="Q19" s="5"/>
      <c r="R19" s="5"/>
      <c r="S19" s="101"/>
      <c r="T19" s="101"/>
      <c r="U19" s="5"/>
      <c r="V19" s="5"/>
      <c r="W19" s="5"/>
      <c r="X19" s="5"/>
      <c r="Y19" s="121"/>
      <c r="Z19" s="122"/>
    </row>
    <row r="20" spans="1:26" ht="15.75" thickBot="1" x14ac:dyDescent="0.3">
      <c r="A20" s="10" t="s">
        <v>23</v>
      </c>
      <c r="B20" s="8"/>
      <c r="C20" s="8"/>
      <c r="D20" s="8"/>
      <c r="E20" s="8"/>
      <c r="F20" s="126">
        <v>0.23</v>
      </c>
      <c r="G20" s="126"/>
      <c r="H20" s="8"/>
      <c r="I20" s="8"/>
      <c r="J20" s="8"/>
      <c r="K20" s="9"/>
      <c r="P20" s="19"/>
      <c r="Q20" s="18"/>
      <c r="R20" s="18"/>
      <c r="S20" s="18"/>
      <c r="T20" s="18"/>
      <c r="U20" s="135"/>
      <c r="V20" s="135"/>
      <c r="W20" s="18"/>
      <c r="X20" s="18"/>
      <c r="Y20" s="136"/>
      <c r="Z20" s="137"/>
    </row>
    <row r="21" spans="1:26" ht="15.75" thickBot="1" x14ac:dyDescent="0.3">
      <c r="A21" s="7" t="s">
        <v>24</v>
      </c>
      <c r="B21" s="5"/>
      <c r="C21" s="5"/>
      <c r="D21" s="5"/>
      <c r="E21" s="5"/>
      <c r="F21" s="11"/>
      <c r="G21" s="11"/>
      <c r="H21" s="5">
        <v>0.71860465116279071</v>
      </c>
      <c r="I21" s="5"/>
      <c r="J21" s="5"/>
      <c r="K21" s="6"/>
      <c r="P21" s="4"/>
      <c r="Q21" s="131"/>
      <c r="R21" s="131"/>
      <c r="S21" s="131"/>
      <c r="T21" s="131"/>
      <c r="U21" s="2"/>
      <c r="V21" s="2"/>
      <c r="W21" s="2"/>
      <c r="X21" s="2"/>
      <c r="Y21" s="105"/>
      <c r="Z21" s="106"/>
    </row>
    <row r="22" spans="1:26" x14ac:dyDescent="0.25">
      <c r="A22" s="4" t="s">
        <v>25</v>
      </c>
      <c r="B22" s="2">
        <v>0.68700000000000006</v>
      </c>
      <c r="C22" s="12"/>
      <c r="D22" s="131">
        <v>0.68300000000000005</v>
      </c>
      <c r="E22" s="131"/>
      <c r="F22" s="2"/>
      <c r="G22" s="2"/>
      <c r="H22" s="2"/>
      <c r="I22" s="2"/>
      <c r="J22" s="2"/>
      <c r="K22" s="3"/>
      <c r="P22" s="10"/>
      <c r="Q22" s="8"/>
      <c r="R22" s="8"/>
      <c r="S22" s="8"/>
      <c r="T22" s="8"/>
      <c r="U22" s="126"/>
      <c r="V22" s="126"/>
      <c r="W22" s="8"/>
      <c r="X22" s="8"/>
      <c r="Y22" s="107"/>
      <c r="Z22" s="108"/>
    </row>
    <row r="23" spans="1:26" x14ac:dyDescent="0.25">
      <c r="A23" s="10" t="s">
        <v>26</v>
      </c>
      <c r="B23" s="8"/>
      <c r="C23" s="8"/>
      <c r="D23" s="8"/>
      <c r="E23" s="8"/>
      <c r="F23" s="126">
        <v>0.16700000000000001</v>
      </c>
      <c r="G23" s="126"/>
      <c r="H23" s="8"/>
      <c r="I23" s="8"/>
      <c r="J23" s="8"/>
      <c r="K23" s="9"/>
      <c r="P23" s="10"/>
      <c r="Q23" s="8"/>
      <c r="R23" s="8"/>
      <c r="S23" s="8"/>
      <c r="T23" s="8"/>
      <c r="U23" s="102"/>
      <c r="V23" s="102"/>
      <c r="W23" s="8"/>
      <c r="X23" s="8"/>
      <c r="Y23" s="107"/>
      <c r="Z23" s="108"/>
    </row>
    <row r="24" spans="1:26" ht="15.75" thickBot="1" x14ac:dyDescent="0.3">
      <c r="A24" s="7" t="s">
        <v>27</v>
      </c>
      <c r="B24" s="5"/>
      <c r="C24" s="5"/>
      <c r="D24" s="5"/>
      <c r="E24" s="5"/>
      <c r="F24" s="11"/>
      <c r="G24" s="11"/>
      <c r="H24" s="5">
        <v>0.32441860465116279</v>
      </c>
      <c r="I24" s="5"/>
      <c r="J24" s="5"/>
      <c r="K24" s="6"/>
      <c r="P24" s="7"/>
      <c r="Q24" s="5"/>
      <c r="R24" s="5"/>
      <c r="S24" s="5"/>
      <c r="T24" s="5"/>
      <c r="U24" s="101"/>
      <c r="V24" s="101"/>
      <c r="W24" s="5"/>
      <c r="X24" s="5"/>
      <c r="Y24" s="121"/>
      <c r="Z24" s="122"/>
    </row>
    <row r="25" spans="1:26" x14ac:dyDescent="0.25">
      <c r="A25" s="4" t="s">
        <v>28</v>
      </c>
      <c r="B25" s="2">
        <v>0.189</v>
      </c>
      <c r="C25" s="2">
        <v>9.4500000000000001E-2</v>
      </c>
      <c r="D25" s="131">
        <v>0.4</v>
      </c>
      <c r="E25" s="131"/>
      <c r="F25" s="2"/>
      <c r="G25" s="2"/>
      <c r="H25" s="2"/>
      <c r="I25" s="2"/>
      <c r="J25" s="105"/>
      <c r="K25" s="106"/>
    </row>
    <row r="26" spans="1:26" x14ac:dyDescent="0.25">
      <c r="A26" s="10" t="s">
        <v>29</v>
      </c>
      <c r="B26" s="8"/>
      <c r="C26" s="8"/>
      <c r="D26" s="8"/>
      <c r="E26" s="8"/>
      <c r="F26" s="126">
        <v>1</v>
      </c>
      <c r="G26" s="126"/>
      <c r="H26" s="8"/>
      <c r="I26" s="8"/>
      <c r="J26" s="107"/>
      <c r="K26" s="108"/>
    </row>
    <row r="27" spans="1:26" x14ac:dyDescent="0.25">
      <c r="A27" s="10" t="s">
        <v>30</v>
      </c>
      <c r="B27" s="5"/>
      <c r="C27" s="5"/>
      <c r="D27" s="5"/>
      <c r="E27" s="5"/>
      <c r="F27" s="11"/>
      <c r="G27" s="11"/>
      <c r="H27" s="5"/>
      <c r="I27" s="5"/>
      <c r="J27" s="121">
        <v>0.21</v>
      </c>
      <c r="K27" s="122"/>
    </row>
    <row r="28" spans="1:26" ht="15.75" thickBot="1" x14ac:dyDescent="0.3">
      <c r="A28" s="7" t="s">
        <v>31</v>
      </c>
      <c r="B28" s="5"/>
      <c r="C28" s="5"/>
      <c r="D28" s="5"/>
      <c r="E28" s="5"/>
      <c r="F28" s="11"/>
      <c r="G28" s="11"/>
      <c r="H28" s="5">
        <v>0.25348837209302327</v>
      </c>
      <c r="I28" s="5">
        <v>0.12674418604651164</v>
      </c>
      <c r="J28" s="121">
        <v>0.34125000000000005</v>
      </c>
      <c r="K28" s="122"/>
    </row>
    <row r="29" spans="1:26" x14ac:dyDescent="0.25">
      <c r="A29" s="4" t="s">
        <v>32</v>
      </c>
      <c r="B29" s="2">
        <v>0.27</v>
      </c>
      <c r="C29" s="2">
        <v>0.13500000000000001</v>
      </c>
      <c r="D29" s="131">
        <v>0.59399999999999997</v>
      </c>
      <c r="E29" s="131"/>
      <c r="F29" s="2"/>
      <c r="G29" s="2"/>
      <c r="H29" s="2"/>
      <c r="I29" s="2"/>
      <c r="J29" s="105"/>
      <c r="K29" s="106"/>
    </row>
    <row r="30" spans="1:26" x14ac:dyDescent="0.25">
      <c r="A30" s="17" t="s">
        <v>33</v>
      </c>
      <c r="B30" s="13"/>
      <c r="C30" s="13"/>
      <c r="D30" s="14"/>
      <c r="E30" s="14"/>
      <c r="F30" s="13"/>
      <c r="G30" s="13"/>
      <c r="H30" s="13"/>
      <c r="I30" s="13"/>
      <c r="J30" s="121">
        <v>0.12</v>
      </c>
      <c r="K30" s="122"/>
    </row>
    <row r="31" spans="1:26" ht="15.75" thickBot="1" x14ac:dyDescent="0.3">
      <c r="A31" s="7" t="s">
        <v>34</v>
      </c>
      <c r="B31" s="5"/>
      <c r="C31" s="5"/>
      <c r="D31" s="11"/>
      <c r="E31" s="11"/>
      <c r="F31" s="5"/>
      <c r="G31" s="5"/>
      <c r="H31" s="5">
        <v>0.13023255813953491</v>
      </c>
      <c r="I31" s="5">
        <v>6.5116279069767455E-2</v>
      </c>
      <c r="J31" s="121">
        <v>0.17519999999999999</v>
      </c>
      <c r="K31" s="122"/>
    </row>
    <row r="32" spans="1:26" x14ac:dyDescent="0.25">
      <c r="A32" s="4" t="s">
        <v>35</v>
      </c>
      <c r="B32" s="2">
        <v>7.6499999999999999E-2</v>
      </c>
      <c r="C32" s="2">
        <v>3.8249999999999999E-2</v>
      </c>
      <c r="D32" s="131">
        <v>0.16200000000000003</v>
      </c>
      <c r="E32" s="131"/>
      <c r="F32" s="2"/>
      <c r="G32" s="2"/>
      <c r="H32" s="2"/>
      <c r="I32" s="2"/>
      <c r="J32" s="105"/>
      <c r="K32" s="106"/>
    </row>
    <row r="33" spans="1:21" x14ac:dyDescent="0.25">
      <c r="A33" s="17" t="s">
        <v>36</v>
      </c>
      <c r="B33" s="13"/>
      <c r="C33" s="13"/>
      <c r="D33" s="14"/>
      <c r="E33" s="14"/>
      <c r="F33" s="13"/>
      <c r="G33" s="13"/>
      <c r="H33" s="13"/>
      <c r="I33" s="13"/>
      <c r="J33" s="121">
        <v>0.31</v>
      </c>
      <c r="K33" s="122"/>
    </row>
    <row r="34" spans="1:21" ht="15.75" thickBot="1" x14ac:dyDescent="0.3">
      <c r="A34" s="7" t="s">
        <v>37</v>
      </c>
      <c r="B34" s="5"/>
      <c r="C34" s="5"/>
      <c r="D34" s="11"/>
      <c r="E34" s="11"/>
      <c r="F34" s="5"/>
      <c r="G34" s="5"/>
      <c r="H34" s="5">
        <v>0.25116279069767444</v>
      </c>
      <c r="I34" s="5">
        <v>0.12558139534883722</v>
      </c>
      <c r="J34" s="121">
        <v>0.50714999999999999</v>
      </c>
      <c r="K34" s="122"/>
    </row>
    <row r="35" spans="1:21" ht="15.75" thickBot="1" x14ac:dyDescent="0.3">
      <c r="A35" s="19" t="s">
        <v>38</v>
      </c>
      <c r="B35" s="18"/>
      <c r="C35" s="18"/>
      <c r="D35" s="18"/>
      <c r="E35" s="18"/>
      <c r="F35" s="135">
        <v>0.94399999999999995</v>
      </c>
      <c r="G35" s="135"/>
      <c r="H35" s="18"/>
      <c r="I35" s="18"/>
      <c r="J35" s="136"/>
      <c r="K35" s="137"/>
    </row>
    <row r="36" spans="1:21" x14ac:dyDescent="0.25">
      <c r="A36" s="4" t="s">
        <v>39</v>
      </c>
      <c r="B36" s="131">
        <v>0.29099999999999998</v>
      </c>
      <c r="C36" s="131"/>
      <c r="D36" s="131">
        <v>0.34799999999999998</v>
      </c>
      <c r="E36" s="131"/>
      <c r="F36" s="2"/>
      <c r="G36" s="2"/>
      <c r="H36" s="2"/>
      <c r="I36" s="2"/>
      <c r="J36" s="105"/>
      <c r="K36" s="106"/>
    </row>
    <row r="37" spans="1:21" x14ac:dyDescent="0.25">
      <c r="A37" s="10" t="s">
        <v>40</v>
      </c>
      <c r="B37" s="8"/>
      <c r="C37" s="8"/>
      <c r="D37" s="8"/>
      <c r="E37" s="8"/>
      <c r="F37" s="126">
        <v>0.88100000000000001</v>
      </c>
      <c r="G37" s="126"/>
      <c r="H37" s="8"/>
      <c r="I37" s="8"/>
      <c r="J37" s="107"/>
      <c r="K37" s="108"/>
    </row>
    <row r="38" spans="1:21" x14ac:dyDescent="0.25">
      <c r="A38" s="10" t="s">
        <v>41</v>
      </c>
      <c r="B38" s="8"/>
      <c r="C38" s="8"/>
      <c r="D38" s="8"/>
      <c r="E38" s="8"/>
      <c r="F38" s="20"/>
      <c r="G38" s="20"/>
      <c r="H38" s="8">
        <v>0.57441860465116279</v>
      </c>
      <c r="I38" s="8"/>
      <c r="J38" s="107"/>
      <c r="K38" s="108"/>
      <c r="P38" s="43"/>
      <c r="Q38" s="43"/>
      <c r="R38" s="43"/>
      <c r="S38" s="43"/>
      <c r="T38" s="58"/>
      <c r="U38" s="58"/>
    </row>
    <row r="39" spans="1:21" ht="15.75" thickBot="1" x14ac:dyDescent="0.3">
      <c r="A39" s="7" t="s">
        <v>42</v>
      </c>
      <c r="B39" s="5"/>
      <c r="C39" s="5"/>
      <c r="D39" s="5"/>
      <c r="E39" s="5"/>
      <c r="F39" s="11"/>
      <c r="G39" s="11"/>
      <c r="H39" s="5">
        <v>0.31511627906976747</v>
      </c>
      <c r="I39" s="5"/>
      <c r="J39" s="121">
        <v>0.24062</v>
      </c>
      <c r="K39" s="122"/>
      <c r="P39" s="43"/>
      <c r="Q39" s="43"/>
      <c r="R39" s="43"/>
      <c r="S39" s="43"/>
      <c r="T39" s="58"/>
      <c r="U39" s="58"/>
    </row>
    <row r="40" spans="1:21" x14ac:dyDescent="0.25">
      <c r="A40" s="4" t="s">
        <v>43</v>
      </c>
      <c r="B40" s="2">
        <v>0.34899999999999998</v>
      </c>
      <c r="C40" s="12"/>
      <c r="D40" s="131">
        <v>0.20100000000000001</v>
      </c>
      <c r="E40" s="131"/>
      <c r="F40" s="2"/>
      <c r="G40" s="2"/>
      <c r="H40" s="2"/>
      <c r="I40" s="2"/>
      <c r="J40" s="105"/>
      <c r="K40" s="106"/>
      <c r="P40" s="43"/>
      <c r="Q40" s="43"/>
      <c r="R40" s="43"/>
      <c r="S40" s="43"/>
      <c r="T40" s="58"/>
      <c r="U40" s="58"/>
    </row>
    <row r="41" spans="1:21" x14ac:dyDescent="0.25">
      <c r="A41" s="10" t="s">
        <v>44</v>
      </c>
      <c r="B41" s="8"/>
      <c r="C41" s="8"/>
      <c r="D41" s="8"/>
      <c r="E41" s="8"/>
      <c r="F41" s="126">
        <v>0.45500000000000002</v>
      </c>
      <c r="G41" s="126"/>
      <c r="H41" s="8"/>
      <c r="I41" s="8"/>
      <c r="J41" s="107"/>
      <c r="K41" s="108"/>
    </row>
    <row r="42" spans="1:21" x14ac:dyDescent="0.25">
      <c r="A42" s="10" t="s">
        <v>45</v>
      </c>
      <c r="B42" s="8"/>
      <c r="C42" s="8"/>
      <c r="D42" s="8"/>
      <c r="E42" s="8"/>
      <c r="F42" s="20"/>
      <c r="G42" s="20"/>
      <c r="H42" s="8">
        <v>0.86393023255813961</v>
      </c>
      <c r="I42" s="8"/>
      <c r="J42" s="107"/>
      <c r="K42" s="108"/>
    </row>
    <row r="43" spans="1:21" ht="15.75" thickBot="1" x14ac:dyDescent="0.3">
      <c r="A43" s="7" t="s">
        <v>46</v>
      </c>
      <c r="B43" s="5"/>
      <c r="C43" s="5"/>
      <c r="D43" s="5"/>
      <c r="E43" s="5"/>
      <c r="F43" s="11"/>
      <c r="G43" s="11"/>
      <c r="H43" s="5">
        <v>0.2441860465116279</v>
      </c>
      <c r="I43" s="5"/>
      <c r="J43" s="121">
        <v>0.12064</v>
      </c>
      <c r="K43" s="122"/>
    </row>
    <row r="44" spans="1:21" x14ac:dyDescent="0.25">
      <c r="A44" s="28" t="s">
        <v>47</v>
      </c>
      <c r="B44" s="33"/>
      <c r="C44" s="2"/>
      <c r="D44" s="2"/>
      <c r="E44" s="2"/>
      <c r="F44" s="131">
        <v>0.38100000000000001</v>
      </c>
      <c r="G44" s="131"/>
      <c r="H44" s="2"/>
      <c r="I44" s="2"/>
      <c r="J44" s="131"/>
      <c r="K44" s="132"/>
    </row>
    <row r="45" spans="1:21" x14ac:dyDescent="0.25">
      <c r="A45" s="29" t="s">
        <v>48</v>
      </c>
      <c r="B45" s="34">
        <v>0.48499999999999999</v>
      </c>
      <c r="C45" s="21"/>
      <c r="D45" s="126">
        <v>0.26400000000000001</v>
      </c>
      <c r="E45" s="126"/>
      <c r="F45" s="8"/>
      <c r="G45" s="8"/>
      <c r="H45" s="8"/>
      <c r="I45" s="8"/>
      <c r="J45" s="126"/>
      <c r="K45" s="128"/>
    </row>
    <row r="46" spans="1:21" x14ac:dyDescent="0.25">
      <c r="A46" s="29" t="s">
        <v>49</v>
      </c>
      <c r="B46" s="34"/>
      <c r="C46" s="21"/>
      <c r="D46" s="20"/>
      <c r="E46" s="20"/>
      <c r="F46" s="8"/>
      <c r="G46" s="8"/>
      <c r="H46" s="8">
        <v>0.67255813953488375</v>
      </c>
      <c r="I46" s="8"/>
      <c r="J46" s="126"/>
      <c r="K46" s="128"/>
    </row>
    <row r="47" spans="1:21" ht="15.75" thickBot="1" x14ac:dyDescent="0.3">
      <c r="A47" s="36" t="s">
        <v>50</v>
      </c>
      <c r="B47" s="35"/>
      <c r="C47" s="39"/>
      <c r="D47" s="40"/>
      <c r="E47" s="40"/>
      <c r="F47" s="27"/>
      <c r="G47" s="27"/>
      <c r="H47" s="27">
        <v>0.2011627906976744</v>
      </c>
      <c r="I47" s="27"/>
      <c r="J47" s="129">
        <v>5.1999999999999998E-2</v>
      </c>
      <c r="K47" s="130"/>
    </row>
    <row r="48" spans="1:21" x14ac:dyDescent="0.25">
      <c r="A48" s="38" t="s">
        <v>51</v>
      </c>
      <c r="B48" s="37">
        <v>0.18</v>
      </c>
      <c r="C48" s="30"/>
      <c r="D48" s="123">
        <v>6.8000000000000005E-2</v>
      </c>
      <c r="E48" s="123"/>
      <c r="F48" s="25"/>
      <c r="G48" s="25"/>
      <c r="H48" s="25"/>
      <c r="I48" s="25"/>
      <c r="J48" s="123"/>
      <c r="K48" s="127"/>
    </row>
    <row r="49" spans="1:11" x14ac:dyDescent="0.25">
      <c r="A49" s="29" t="s">
        <v>52</v>
      </c>
      <c r="B49" s="34"/>
      <c r="C49" s="21"/>
      <c r="D49" s="20"/>
      <c r="E49" s="20"/>
      <c r="F49" s="8"/>
      <c r="G49" s="8"/>
      <c r="H49" s="8">
        <v>1</v>
      </c>
      <c r="I49" s="8"/>
      <c r="J49" s="126"/>
      <c r="K49" s="128"/>
    </row>
    <row r="50" spans="1:11" x14ac:dyDescent="0.25">
      <c r="A50" s="29" t="s">
        <v>53</v>
      </c>
      <c r="B50" s="34"/>
      <c r="C50" s="21"/>
      <c r="D50" s="20"/>
      <c r="E50" s="20"/>
      <c r="F50" s="8"/>
      <c r="G50" s="8"/>
      <c r="H50" s="8">
        <v>0.28604651162790701</v>
      </c>
      <c r="I50" s="8"/>
      <c r="J50" s="126">
        <v>0.13500000000000001</v>
      </c>
      <c r="K50" s="128"/>
    </row>
    <row r="51" spans="1:11" ht="15.75" thickBot="1" x14ac:dyDescent="0.3">
      <c r="A51" s="36" t="s">
        <v>54</v>
      </c>
      <c r="B51" s="35"/>
      <c r="C51" s="27"/>
      <c r="D51" s="27"/>
      <c r="E51" s="27"/>
      <c r="F51" s="129">
        <v>0.30480000000000002</v>
      </c>
      <c r="G51" s="129"/>
      <c r="H51" s="27"/>
      <c r="I51" s="27"/>
      <c r="J51" s="129"/>
      <c r="K51" s="130"/>
    </row>
    <row r="52" spans="1:11" x14ac:dyDescent="0.25">
      <c r="A52" s="26" t="s">
        <v>55</v>
      </c>
      <c r="B52" s="25">
        <v>0.28399999999999997</v>
      </c>
      <c r="C52" s="30"/>
      <c r="D52" s="123">
        <v>0.24399999999999999</v>
      </c>
      <c r="E52" s="123"/>
      <c r="F52" s="25"/>
      <c r="G52" s="25"/>
      <c r="H52" s="25"/>
      <c r="I52" s="25"/>
      <c r="J52" s="124"/>
      <c r="K52" s="125"/>
    </row>
    <row r="53" spans="1:11" x14ac:dyDescent="0.25">
      <c r="A53" s="10" t="s">
        <v>56</v>
      </c>
      <c r="B53" s="8"/>
      <c r="C53" s="8"/>
      <c r="D53" s="8"/>
      <c r="E53" s="8"/>
      <c r="F53" s="126">
        <v>0.63139999999999996</v>
      </c>
      <c r="G53" s="126"/>
      <c r="H53" s="8"/>
      <c r="I53" s="8"/>
      <c r="J53" s="107"/>
      <c r="K53" s="108"/>
    </row>
    <row r="54" spans="1:11" x14ac:dyDescent="0.25">
      <c r="A54" s="10" t="s">
        <v>57</v>
      </c>
      <c r="B54" s="8"/>
      <c r="C54" s="8"/>
      <c r="D54" s="8"/>
      <c r="E54" s="8"/>
      <c r="F54" s="20"/>
      <c r="G54" s="20"/>
      <c r="H54" s="8">
        <v>0.70185779069767451</v>
      </c>
      <c r="I54" s="8"/>
      <c r="J54" s="107"/>
      <c r="K54" s="108"/>
    </row>
    <row r="55" spans="1:11" ht="15.75" thickBot="1" x14ac:dyDescent="0.3">
      <c r="A55" s="7" t="s">
        <v>58</v>
      </c>
      <c r="B55" s="5"/>
      <c r="C55" s="5"/>
      <c r="D55" s="5"/>
      <c r="E55" s="5"/>
      <c r="F55" s="11"/>
      <c r="G55" s="11"/>
      <c r="H55" s="5">
        <v>0.1933139534883721</v>
      </c>
      <c r="I55" s="5"/>
      <c r="J55" s="121">
        <v>0.14800000000000002</v>
      </c>
      <c r="K55" s="122"/>
    </row>
    <row r="56" spans="1:11" x14ac:dyDescent="0.25">
      <c r="A56" s="4" t="s">
        <v>59</v>
      </c>
      <c r="B56" s="2"/>
      <c r="C56" s="2"/>
      <c r="D56" s="2"/>
      <c r="E56" s="2"/>
      <c r="F56" s="22"/>
      <c r="G56" s="22"/>
      <c r="H56" s="2">
        <v>0.21162790697674419</v>
      </c>
      <c r="I56" s="2"/>
      <c r="J56" s="105"/>
      <c r="K56" s="106"/>
    </row>
    <row r="57" spans="1:11" ht="15.75" thickBot="1" x14ac:dyDescent="0.3">
      <c r="A57" s="10" t="s">
        <v>60</v>
      </c>
      <c r="B57" s="8"/>
      <c r="C57" s="8"/>
      <c r="D57" s="8"/>
      <c r="E57" s="8"/>
      <c r="F57" s="20"/>
      <c r="G57" s="20"/>
      <c r="H57" s="8">
        <v>0.60697674418604652</v>
      </c>
      <c r="I57" s="8"/>
      <c r="J57" s="107"/>
      <c r="K57" s="108"/>
    </row>
    <row r="58" spans="1:11" x14ac:dyDescent="0.25">
      <c r="A58" s="10" t="s">
        <v>61</v>
      </c>
      <c r="B58" s="8"/>
      <c r="C58" s="8"/>
      <c r="D58" s="8"/>
      <c r="E58" s="8"/>
      <c r="F58" s="105">
        <v>0.25</v>
      </c>
      <c r="G58" s="111"/>
      <c r="H58" s="8"/>
      <c r="I58" s="8"/>
      <c r="J58" s="23"/>
      <c r="K58" s="24"/>
    </row>
    <row r="59" spans="1:11" x14ac:dyDescent="0.25">
      <c r="A59" s="10" t="s">
        <v>62</v>
      </c>
      <c r="B59" s="8"/>
      <c r="C59" s="8"/>
      <c r="D59" s="8"/>
      <c r="E59" s="8"/>
      <c r="F59" s="20"/>
      <c r="G59" s="20"/>
      <c r="H59" s="8">
        <v>0.52441860465116286</v>
      </c>
      <c r="I59" s="8"/>
      <c r="J59" s="107">
        <v>0.60697000000000001</v>
      </c>
      <c r="K59" s="108"/>
    </row>
    <row r="60" spans="1:11" ht="15.75" thickBot="1" x14ac:dyDescent="0.3">
      <c r="A60" s="7" t="s">
        <v>63</v>
      </c>
      <c r="B60" s="5"/>
      <c r="C60" s="5"/>
      <c r="D60" s="5"/>
      <c r="E60" s="5"/>
      <c r="F60" s="11"/>
      <c r="G60" s="11"/>
      <c r="H60" s="5">
        <v>0.20930232558139536</v>
      </c>
      <c r="I60" s="5"/>
      <c r="J60" s="121">
        <v>0.26100000000000001</v>
      </c>
      <c r="K60" s="122"/>
    </row>
    <row r="61" spans="1:11" x14ac:dyDescent="0.25">
      <c r="A61" s="4" t="s">
        <v>64</v>
      </c>
      <c r="B61" s="2"/>
      <c r="C61" s="2"/>
      <c r="D61" s="2"/>
      <c r="E61" s="2"/>
      <c r="F61" s="105">
        <v>0.40600000000000003</v>
      </c>
      <c r="G61" s="111"/>
      <c r="H61" s="2"/>
      <c r="I61" s="2"/>
      <c r="J61" s="105"/>
      <c r="K61" s="106"/>
    </row>
    <row r="62" spans="1:11" x14ac:dyDescent="0.25">
      <c r="A62" s="10" t="s">
        <v>65</v>
      </c>
      <c r="B62" s="8"/>
      <c r="C62" s="8"/>
      <c r="D62" s="8"/>
      <c r="E62" s="8"/>
      <c r="F62" s="8"/>
      <c r="G62" s="8"/>
      <c r="H62" s="8">
        <v>0.32441860465116279</v>
      </c>
      <c r="I62" s="8"/>
      <c r="J62" s="107">
        <v>0.54300000000000004</v>
      </c>
      <c r="K62" s="108"/>
    </row>
    <row r="63" spans="1:11" x14ac:dyDescent="0.25">
      <c r="A63" s="10" t="s">
        <v>66</v>
      </c>
      <c r="B63" s="8"/>
      <c r="C63" s="8"/>
      <c r="D63" s="8"/>
      <c r="E63" s="8"/>
      <c r="F63" s="8"/>
      <c r="G63" s="8"/>
      <c r="H63" s="8">
        <v>0.25</v>
      </c>
      <c r="I63" s="8"/>
      <c r="J63" s="107">
        <v>0.54300000000000004</v>
      </c>
      <c r="K63" s="108"/>
    </row>
    <row r="64" spans="1:11" x14ac:dyDescent="0.25">
      <c r="A64" s="10" t="s">
        <v>67</v>
      </c>
      <c r="B64" s="8"/>
      <c r="C64" s="8"/>
      <c r="D64" s="8"/>
      <c r="E64" s="8"/>
      <c r="F64" s="8"/>
      <c r="G64" s="8"/>
      <c r="H64" s="8">
        <v>0.14418604651162792</v>
      </c>
      <c r="I64" s="8"/>
      <c r="J64" s="107"/>
      <c r="K64" s="108"/>
    </row>
    <row r="65" spans="1:11" ht="15.75" thickBot="1" x14ac:dyDescent="0.3">
      <c r="A65" s="7" t="s">
        <v>68</v>
      </c>
      <c r="B65" s="5"/>
      <c r="C65" s="5"/>
      <c r="D65" s="5"/>
      <c r="E65" s="5"/>
      <c r="F65" s="5"/>
      <c r="G65" s="5"/>
      <c r="H65" s="5">
        <v>0.12674418604651164</v>
      </c>
      <c r="I65" s="5"/>
      <c r="J65" s="121">
        <v>0.58299999999999996</v>
      </c>
      <c r="K65" s="122"/>
    </row>
    <row r="66" spans="1:11" ht="15.75" thickBot="1" x14ac:dyDescent="0.3">
      <c r="A66" s="4" t="s">
        <v>69</v>
      </c>
      <c r="B66" s="2"/>
      <c r="C66" s="2"/>
      <c r="D66" s="2"/>
      <c r="E66" s="2"/>
      <c r="F66" s="2"/>
      <c r="G66" s="2"/>
      <c r="H66" s="2">
        <v>0.26046511627906982</v>
      </c>
      <c r="I66" s="2"/>
      <c r="J66" s="105">
        <v>1</v>
      </c>
      <c r="K66" s="106"/>
    </row>
    <row r="67" spans="1:11" x14ac:dyDescent="0.25">
      <c r="A67" s="26" t="s">
        <v>70</v>
      </c>
      <c r="B67" s="25"/>
      <c r="C67" s="25"/>
      <c r="D67" s="25"/>
      <c r="E67" s="25"/>
      <c r="F67" s="105">
        <v>0.25</v>
      </c>
      <c r="G67" s="111"/>
      <c r="H67" s="25"/>
      <c r="I67" s="25"/>
      <c r="J67" s="31"/>
      <c r="K67" s="32"/>
    </row>
    <row r="68" spans="1:11" x14ac:dyDescent="0.25">
      <c r="A68" s="10" t="s">
        <v>71</v>
      </c>
      <c r="B68" s="8"/>
      <c r="C68" s="8"/>
      <c r="D68" s="8"/>
      <c r="E68" s="8"/>
      <c r="F68" s="8"/>
      <c r="G68" s="8"/>
      <c r="H68" s="8">
        <v>0.22093023255813954</v>
      </c>
      <c r="I68" s="8"/>
      <c r="J68" s="107"/>
      <c r="K68" s="108"/>
    </row>
    <row r="69" spans="1:11" ht="15.75" thickBot="1" x14ac:dyDescent="0.3">
      <c r="A69" s="41" t="s">
        <v>72</v>
      </c>
      <c r="B69" s="27"/>
      <c r="C69" s="27"/>
      <c r="D69" s="27"/>
      <c r="E69" s="27"/>
      <c r="F69" s="27"/>
      <c r="G69" s="27"/>
      <c r="H69" s="27">
        <v>0.14186046511627906</v>
      </c>
      <c r="I69" s="27"/>
      <c r="J69" s="109">
        <v>0.36899999999999999</v>
      </c>
      <c r="K69" s="110"/>
    </row>
  </sheetData>
  <mergeCells count="121">
    <mergeCell ref="U16:V16"/>
    <mergeCell ref="Q21:R21"/>
    <mergeCell ref="S21:T21"/>
    <mergeCell ref="Y21:Z21"/>
    <mergeCell ref="U22:V22"/>
    <mergeCell ref="Y22:Z22"/>
    <mergeCell ref="Y17:Z17"/>
    <mergeCell ref="Y18:Z18"/>
    <mergeCell ref="Y19:Z19"/>
    <mergeCell ref="U20:V20"/>
    <mergeCell ref="Y20:Z20"/>
    <mergeCell ref="Y16:Z16"/>
    <mergeCell ref="B1:C1"/>
    <mergeCell ref="F2:G2"/>
    <mergeCell ref="H2:I2"/>
    <mergeCell ref="J2:K2"/>
    <mergeCell ref="J27:K27"/>
    <mergeCell ref="B4:C4"/>
    <mergeCell ref="B5:C5"/>
    <mergeCell ref="D5:E5"/>
    <mergeCell ref="D2:E2"/>
    <mergeCell ref="D3:E3"/>
    <mergeCell ref="B2:C2"/>
    <mergeCell ref="F20:G20"/>
    <mergeCell ref="D13:E13"/>
    <mergeCell ref="F14:G14"/>
    <mergeCell ref="D16:E16"/>
    <mergeCell ref="J25:K25"/>
    <mergeCell ref="D1:E1"/>
    <mergeCell ref="F1:G1"/>
    <mergeCell ref="H1:I1"/>
    <mergeCell ref="J1:K1"/>
    <mergeCell ref="J3:K3"/>
    <mergeCell ref="F9:G9"/>
    <mergeCell ref="D10:E10"/>
    <mergeCell ref="F11:G11"/>
    <mergeCell ref="Y23:Z23"/>
    <mergeCell ref="Y24:Z24"/>
    <mergeCell ref="Q2:R2"/>
    <mergeCell ref="S2:T2"/>
    <mergeCell ref="F17:G17"/>
    <mergeCell ref="D19:E19"/>
    <mergeCell ref="D4:E4"/>
    <mergeCell ref="F26:G26"/>
    <mergeCell ref="J26:K26"/>
    <mergeCell ref="D22:E22"/>
    <mergeCell ref="F23:G23"/>
    <mergeCell ref="D25:E25"/>
    <mergeCell ref="U2:V2"/>
    <mergeCell ref="W2:X2"/>
    <mergeCell ref="Y2:Z2"/>
    <mergeCell ref="S3:T3"/>
    <mergeCell ref="U3:V3"/>
    <mergeCell ref="Y3:Z3"/>
    <mergeCell ref="U14:V14"/>
    <mergeCell ref="Q15:R15"/>
    <mergeCell ref="S15:T15"/>
    <mergeCell ref="Y13:Z13"/>
    <mergeCell ref="Y14:Z14"/>
    <mergeCell ref="Y15:Z15"/>
    <mergeCell ref="D6:E6"/>
    <mergeCell ref="F7:G7"/>
    <mergeCell ref="D8:E8"/>
    <mergeCell ref="F3:G3"/>
    <mergeCell ref="J32:K32"/>
    <mergeCell ref="J28:K28"/>
    <mergeCell ref="D29:E29"/>
    <mergeCell ref="J29:K29"/>
    <mergeCell ref="B36:C36"/>
    <mergeCell ref="D36:E36"/>
    <mergeCell ref="J36:K36"/>
    <mergeCell ref="J34:K34"/>
    <mergeCell ref="F35:G35"/>
    <mergeCell ref="J35:K35"/>
    <mergeCell ref="J33:K33"/>
    <mergeCell ref="J31:K31"/>
    <mergeCell ref="D32:E32"/>
    <mergeCell ref="J30:K30"/>
    <mergeCell ref="J39:K39"/>
    <mergeCell ref="D40:E40"/>
    <mergeCell ref="J40:K40"/>
    <mergeCell ref="F37:G37"/>
    <mergeCell ref="J37:K37"/>
    <mergeCell ref="J38:K38"/>
    <mergeCell ref="J43:K43"/>
    <mergeCell ref="F44:G44"/>
    <mergeCell ref="J44:K44"/>
    <mergeCell ref="F41:G41"/>
    <mergeCell ref="J41:K41"/>
    <mergeCell ref="J42:K42"/>
    <mergeCell ref="D48:E48"/>
    <mergeCell ref="J48:K48"/>
    <mergeCell ref="D45:E45"/>
    <mergeCell ref="J45:K45"/>
    <mergeCell ref="J46:K46"/>
    <mergeCell ref="J49:K49"/>
    <mergeCell ref="J50:K50"/>
    <mergeCell ref="F51:G51"/>
    <mergeCell ref="J51:K51"/>
    <mergeCell ref="J47:K47"/>
    <mergeCell ref="J54:K54"/>
    <mergeCell ref="J55:K55"/>
    <mergeCell ref="J56:K56"/>
    <mergeCell ref="D52:E52"/>
    <mergeCell ref="J52:K52"/>
    <mergeCell ref="F53:G53"/>
    <mergeCell ref="J53:K53"/>
    <mergeCell ref="F61:G61"/>
    <mergeCell ref="J61:K61"/>
    <mergeCell ref="J62:K62"/>
    <mergeCell ref="J57:K57"/>
    <mergeCell ref="F58:G58"/>
    <mergeCell ref="J59:K59"/>
    <mergeCell ref="J60:K60"/>
    <mergeCell ref="J66:K66"/>
    <mergeCell ref="F67:G67"/>
    <mergeCell ref="J68:K68"/>
    <mergeCell ref="J69:K69"/>
    <mergeCell ref="J63:K63"/>
    <mergeCell ref="J64:K64"/>
    <mergeCell ref="J65:K65"/>
  </mergeCells>
  <conditionalFormatting sqref="B44:K44">
    <cfRule type="cellIs" dxfId="146" priority="13" operator="between">
      <formula>0.15</formula>
      <formula>0.3</formula>
    </cfRule>
    <cfRule type="cellIs" dxfId="145" priority="14" operator="between">
      <formula>0.3</formula>
      <formula>0.6</formula>
    </cfRule>
    <cfRule type="cellIs" dxfId="144" priority="15" operator="greaterThan">
      <formula>0.6</formula>
    </cfRule>
    <cfRule type="cellIs" dxfId="143" priority="16" operator="lessThan">
      <formula>0.15</formula>
    </cfRule>
  </conditionalFormatting>
  <conditionalFormatting sqref="B4:K43 B45:K69">
    <cfRule type="cellIs" dxfId="142" priority="17" operator="between">
      <formula>0.15</formula>
      <formula>0.3</formula>
    </cfRule>
    <cfRule type="cellIs" dxfId="141" priority="18" operator="between">
      <formula>0.3</formula>
      <formula>0.6</formula>
    </cfRule>
    <cfRule type="cellIs" dxfId="140" priority="19" operator="greaterThan">
      <formula>0.6</formula>
    </cfRule>
    <cfRule type="cellIs" dxfId="139" priority="20" operator="lessThan">
      <formula>0.15</formula>
    </cfRule>
  </conditionalFormatting>
  <conditionalFormatting sqref="Q4:Z24">
    <cfRule type="cellIs" dxfId="138" priority="1" operator="between">
      <formula>0.15</formula>
      <formula>0.3</formula>
    </cfRule>
    <cfRule type="cellIs" dxfId="137" priority="2" operator="between">
      <formula>0.3</formula>
      <formula>0.6</formula>
    </cfRule>
    <cfRule type="cellIs" dxfId="136" priority="3" operator="greaterThan">
      <formula>0.6</formula>
    </cfRule>
    <cfRule type="cellIs" dxfId="135" priority="4" operator="lessThan">
      <formula>0.15</formula>
    </cfRule>
  </conditionalFormatting>
  <pageMargins left="0.7" right="0.7" top="0.75" bottom="0.75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12"/>
  <sheetViews>
    <sheetView workbookViewId="0">
      <selection activeCell="E12" sqref="E12"/>
    </sheetView>
  </sheetViews>
  <sheetFormatPr baseColWidth="10" defaultRowHeight="15" x14ac:dyDescent="0.25"/>
  <sheetData>
    <row r="1" spans="1:7" x14ac:dyDescent="0.25">
      <c r="A1" t="s">
        <v>73</v>
      </c>
    </row>
    <row r="3" spans="1:7" x14ac:dyDescent="0.25">
      <c r="A3" t="s">
        <v>74</v>
      </c>
    </row>
    <row r="4" spans="1:7" x14ac:dyDescent="0.25">
      <c r="A4" t="s">
        <v>75</v>
      </c>
    </row>
    <row r="6" spans="1:7" x14ac:dyDescent="0.25">
      <c r="A6" t="s">
        <v>76</v>
      </c>
    </row>
    <row r="7" spans="1:7" x14ac:dyDescent="0.25">
      <c r="A7" t="s">
        <v>77</v>
      </c>
    </row>
    <row r="9" spans="1:7" x14ac:dyDescent="0.25">
      <c r="A9" t="s">
        <v>78</v>
      </c>
    </row>
    <row r="10" spans="1:7" x14ac:dyDescent="0.25">
      <c r="A10" t="s">
        <v>79</v>
      </c>
    </row>
    <row r="11" spans="1:7" x14ac:dyDescent="0.25">
      <c r="E11">
        <v>26</v>
      </c>
      <c r="F11">
        <v>22.1</v>
      </c>
      <c r="G11">
        <v>14.2</v>
      </c>
    </row>
    <row r="12" spans="1:7" x14ac:dyDescent="0.25">
      <c r="E12">
        <f>E11*(1-0.135)</f>
        <v>22.49</v>
      </c>
      <c r="F12">
        <f t="shared" ref="F12:G12" si="0">F11*(1-0.135)</f>
        <v>19.116500000000002</v>
      </c>
      <c r="G12">
        <f t="shared" si="0"/>
        <v>12.282999999999999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Q33"/>
  <sheetViews>
    <sheetView tabSelected="1" workbookViewId="0">
      <selection activeCell="G6" sqref="G6"/>
    </sheetView>
  </sheetViews>
  <sheetFormatPr baseColWidth="10" defaultRowHeight="15" x14ac:dyDescent="0.25"/>
  <cols>
    <col min="1" max="1" width="26.140625" bestFit="1" customWidth="1"/>
    <col min="2" max="2" width="4.140625" customWidth="1"/>
    <col min="3" max="3" width="24.28515625" style="77" bestFit="1" customWidth="1"/>
    <col min="4" max="13" width="6.5703125" bestFit="1" customWidth="1"/>
    <col min="14" max="16" width="5.5703125" bestFit="1" customWidth="1"/>
    <col min="17" max="17" width="6.7109375" bestFit="1" customWidth="1"/>
  </cols>
  <sheetData>
    <row r="1" spans="1:17" s="78" customFormat="1" x14ac:dyDescent="0.25">
      <c r="C1" s="76"/>
      <c r="D1" s="80" t="s">
        <v>99</v>
      </c>
      <c r="E1" s="80" t="s">
        <v>100</v>
      </c>
      <c r="F1" s="80" t="s">
        <v>100</v>
      </c>
      <c r="G1" s="80" t="s">
        <v>100</v>
      </c>
      <c r="H1" s="80" t="s">
        <v>99</v>
      </c>
      <c r="I1" s="80" t="s">
        <v>85</v>
      </c>
      <c r="J1" s="80" t="s">
        <v>164</v>
      </c>
      <c r="K1" s="80" t="s">
        <v>164</v>
      </c>
      <c r="L1" s="80" t="s">
        <v>164</v>
      </c>
      <c r="M1" s="80" t="s">
        <v>85</v>
      </c>
      <c r="N1" s="80" t="s">
        <v>118</v>
      </c>
      <c r="O1" s="80" t="s">
        <v>118</v>
      </c>
      <c r="P1" s="80" t="s">
        <v>118</v>
      </c>
      <c r="Q1" s="82" t="s">
        <v>165</v>
      </c>
    </row>
    <row r="2" spans="1:17" x14ac:dyDescent="0.25">
      <c r="A2" t="s">
        <v>74</v>
      </c>
      <c r="C2" s="79" t="s">
        <v>142</v>
      </c>
      <c r="D2" s="81">
        <v>1</v>
      </c>
      <c r="E2" s="81">
        <f>1-0.036</f>
        <v>0.96399999999999997</v>
      </c>
      <c r="F2" s="81">
        <v>0</v>
      </c>
      <c r="G2" s="81">
        <f>1-0.036</f>
        <v>0.96399999999999997</v>
      </c>
      <c r="H2" s="81">
        <v>1</v>
      </c>
      <c r="I2" s="81">
        <v>1</v>
      </c>
      <c r="J2" s="81">
        <f>1-0.065</f>
        <v>0.93500000000000005</v>
      </c>
      <c r="K2" s="81">
        <v>0</v>
      </c>
      <c r="L2" s="81">
        <f>1-0.065</f>
        <v>0.93500000000000005</v>
      </c>
      <c r="M2" s="81">
        <v>1</v>
      </c>
      <c r="N2" s="81">
        <f>1-0.055</f>
        <v>0.94499999999999995</v>
      </c>
      <c r="O2" s="81">
        <v>0</v>
      </c>
      <c r="P2" s="81">
        <f>1-0.055</f>
        <v>0.94499999999999995</v>
      </c>
      <c r="Q2" s="84">
        <f t="shared" ref="Q2:Q33" si="0">SUM(D2:P2)</f>
        <v>9.6880000000000006</v>
      </c>
    </row>
    <row r="3" spans="1:17" x14ac:dyDescent="0.25">
      <c r="A3" t="s">
        <v>75</v>
      </c>
      <c r="C3" s="79" t="s">
        <v>135</v>
      </c>
      <c r="D3" s="81">
        <v>1</v>
      </c>
      <c r="E3" s="83">
        <v>0.9</v>
      </c>
      <c r="F3" s="83">
        <v>0.9</v>
      </c>
      <c r="G3" s="83">
        <v>0.9</v>
      </c>
      <c r="H3" s="81">
        <v>1</v>
      </c>
      <c r="I3" s="81">
        <v>1</v>
      </c>
      <c r="J3" s="81">
        <v>0</v>
      </c>
      <c r="K3" s="81">
        <v>1</v>
      </c>
      <c r="L3" s="81">
        <v>0</v>
      </c>
      <c r="M3" s="81">
        <v>1</v>
      </c>
      <c r="N3" s="81">
        <f>1-0.055</f>
        <v>0.94499999999999995</v>
      </c>
      <c r="O3" s="81">
        <v>0</v>
      </c>
      <c r="P3" s="81">
        <f>1-0.055</f>
        <v>0.94499999999999995</v>
      </c>
      <c r="Q3" s="84">
        <f t="shared" si="0"/>
        <v>9.59</v>
      </c>
    </row>
    <row r="4" spans="1:17" x14ac:dyDescent="0.25">
      <c r="C4" s="79" t="s">
        <v>133</v>
      </c>
      <c r="D4" s="81">
        <v>1</v>
      </c>
      <c r="E4" s="83">
        <v>0.9</v>
      </c>
      <c r="F4" s="83">
        <v>0.9</v>
      </c>
      <c r="G4" s="83">
        <v>0.9</v>
      </c>
      <c r="H4" s="81">
        <v>1</v>
      </c>
      <c r="I4" s="81">
        <v>1</v>
      </c>
      <c r="J4" s="81">
        <f>1-0.065</f>
        <v>0.93500000000000005</v>
      </c>
      <c r="K4" s="81">
        <v>0</v>
      </c>
      <c r="L4" s="81">
        <f>1-0.065</f>
        <v>0.93500000000000005</v>
      </c>
      <c r="M4" s="81">
        <v>1</v>
      </c>
      <c r="N4" s="81">
        <v>0</v>
      </c>
      <c r="O4" s="81">
        <v>1</v>
      </c>
      <c r="P4" s="81">
        <v>0</v>
      </c>
      <c r="Q4" s="84">
        <f t="shared" si="0"/>
        <v>9.57</v>
      </c>
    </row>
    <row r="5" spans="1:17" x14ac:dyDescent="0.25">
      <c r="A5" t="s">
        <v>76</v>
      </c>
      <c r="C5" s="79" t="s">
        <v>146</v>
      </c>
      <c r="D5" s="81">
        <v>1</v>
      </c>
      <c r="E5" s="81">
        <f>1-0.036</f>
        <v>0.96399999999999997</v>
      </c>
      <c r="F5" s="81">
        <v>0</v>
      </c>
      <c r="G5" s="81">
        <f>1-0.036</f>
        <v>0.96399999999999997</v>
      </c>
      <c r="H5" s="81">
        <v>1</v>
      </c>
      <c r="I5" s="81">
        <v>1</v>
      </c>
      <c r="J5" s="81">
        <v>0</v>
      </c>
      <c r="K5" s="81">
        <v>1</v>
      </c>
      <c r="L5" s="81">
        <v>0</v>
      </c>
      <c r="M5" s="81">
        <v>1</v>
      </c>
      <c r="N5" s="81">
        <f t="shared" ref="N5:P6" si="1">1-0.135</f>
        <v>0.86499999999999999</v>
      </c>
      <c r="O5" s="81">
        <f t="shared" si="1"/>
        <v>0.86499999999999999</v>
      </c>
      <c r="P5" s="81">
        <f t="shared" si="1"/>
        <v>0.86499999999999999</v>
      </c>
      <c r="Q5" s="84">
        <f t="shared" si="0"/>
        <v>9.5229999999999997</v>
      </c>
    </row>
    <row r="6" spans="1:17" x14ac:dyDescent="0.25">
      <c r="A6" t="s">
        <v>77</v>
      </c>
      <c r="C6" s="79" t="s">
        <v>155</v>
      </c>
      <c r="D6" s="81">
        <v>1</v>
      </c>
      <c r="E6" s="81">
        <v>0</v>
      </c>
      <c r="F6" s="81">
        <v>1</v>
      </c>
      <c r="G6" s="81">
        <v>0</v>
      </c>
      <c r="H6" s="81">
        <v>1</v>
      </c>
      <c r="I6" s="81">
        <v>1</v>
      </c>
      <c r="J6" s="81">
        <f>1-0.065</f>
        <v>0.93500000000000005</v>
      </c>
      <c r="K6" s="81">
        <v>0</v>
      </c>
      <c r="L6" s="81">
        <f>1-0.065</f>
        <v>0.93500000000000005</v>
      </c>
      <c r="M6" s="81">
        <v>1</v>
      </c>
      <c r="N6" s="81">
        <f t="shared" si="1"/>
        <v>0.86499999999999999</v>
      </c>
      <c r="O6" s="81">
        <f t="shared" si="1"/>
        <v>0.86499999999999999</v>
      </c>
      <c r="P6" s="81">
        <f t="shared" si="1"/>
        <v>0.86499999999999999</v>
      </c>
      <c r="Q6" s="84">
        <f t="shared" si="0"/>
        <v>9.4650000000000016</v>
      </c>
    </row>
    <row r="7" spans="1:17" x14ac:dyDescent="0.25">
      <c r="C7" s="79" t="s">
        <v>136</v>
      </c>
      <c r="D7" s="81">
        <v>1</v>
      </c>
      <c r="E7" s="83">
        <v>0.9</v>
      </c>
      <c r="F7" s="83">
        <v>0.9</v>
      </c>
      <c r="G7" s="83">
        <v>0.9</v>
      </c>
      <c r="H7" s="81">
        <v>1</v>
      </c>
      <c r="I7" s="81">
        <v>1</v>
      </c>
      <c r="J7" s="81">
        <f>1-0.065</f>
        <v>0.93500000000000005</v>
      </c>
      <c r="K7" s="81">
        <v>0</v>
      </c>
      <c r="L7" s="81">
        <f>1-0.065</f>
        <v>0.93500000000000005</v>
      </c>
      <c r="M7" s="81">
        <v>0</v>
      </c>
      <c r="N7" s="81">
        <f>1-0.055</f>
        <v>0.94499999999999995</v>
      </c>
      <c r="O7" s="81">
        <v>0</v>
      </c>
      <c r="P7" s="81">
        <f>1-0.055</f>
        <v>0.94499999999999995</v>
      </c>
      <c r="Q7" s="84">
        <f t="shared" si="0"/>
        <v>9.4600000000000009</v>
      </c>
    </row>
    <row r="8" spans="1:17" x14ac:dyDescent="0.25">
      <c r="A8" t="s">
        <v>78</v>
      </c>
      <c r="C8" s="79" t="s">
        <v>143</v>
      </c>
      <c r="D8" s="81">
        <v>1</v>
      </c>
      <c r="E8" s="83">
        <v>0.9</v>
      </c>
      <c r="F8" s="83">
        <v>0.9</v>
      </c>
      <c r="G8" s="83">
        <v>0.9</v>
      </c>
      <c r="H8" s="81">
        <v>0</v>
      </c>
      <c r="I8" s="81">
        <v>1</v>
      </c>
      <c r="J8" s="81">
        <f>1-0.065</f>
        <v>0.93500000000000005</v>
      </c>
      <c r="K8" s="81">
        <v>0</v>
      </c>
      <c r="L8" s="81">
        <f>1-0.065</f>
        <v>0.93500000000000005</v>
      </c>
      <c r="M8" s="81">
        <v>1</v>
      </c>
      <c r="N8" s="81">
        <f>1-0.055</f>
        <v>0.94499999999999995</v>
      </c>
      <c r="O8" s="81">
        <v>0</v>
      </c>
      <c r="P8" s="81">
        <f>1-0.055</f>
        <v>0.94499999999999995</v>
      </c>
      <c r="Q8" s="84">
        <f t="shared" si="0"/>
        <v>9.4600000000000009</v>
      </c>
    </row>
    <row r="9" spans="1:17" x14ac:dyDescent="0.25">
      <c r="A9" t="s">
        <v>79</v>
      </c>
      <c r="C9" s="79" t="s">
        <v>140</v>
      </c>
      <c r="D9" s="81">
        <v>1</v>
      </c>
      <c r="E9" s="81">
        <f>1-0.036</f>
        <v>0.96399999999999997</v>
      </c>
      <c r="F9" s="81">
        <v>0</v>
      </c>
      <c r="G9" s="81">
        <f>1-0.036</f>
        <v>0.96399999999999997</v>
      </c>
      <c r="H9" s="81">
        <v>1</v>
      </c>
      <c r="I9" s="81">
        <v>1</v>
      </c>
      <c r="J9" s="81">
        <f>1-0.175</f>
        <v>0.82499999999999996</v>
      </c>
      <c r="K9" s="81">
        <f>1-0.175</f>
        <v>0.82499999999999996</v>
      </c>
      <c r="L9" s="81">
        <f>1-0.175</f>
        <v>0.82499999999999996</v>
      </c>
      <c r="M9" s="81">
        <v>1</v>
      </c>
      <c r="N9" s="81">
        <v>0</v>
      </c>
      <c r="O9" s="81">
        <v>1</v>
      </c>
      <c r="P9" s="81">
        <v>0</v>
      </c>
      <c r="Q9" s="84">
        <f t="shared" si="0"/>
        <v>9.4030000000000005</v>
      </c>
    </row>
    <row r="10" spans="1:17" x14ac:dyDescent="0.25">
      <c r="C10" s="79" t="s">
        <v>147</v>
      </c>
      <c r="D10" s="81">
        <v>1</v>
      </c>
      <c r="E10" s="81">
        <f>1-0.036</f>
        <v>0.96399999999999997</v>
      </c>
      <c r="F10" s="81">
        <v>0</v>
      </c>
      <c r="G10" s="81">
        <f>1-0.036</f>
        <v>0.96399999999999997</v>
      </c>
      <c r="H10" s="81">
        <v>1</v>
      </c>
      <c r="I10" s="81">
        <v>1</v>
      </c>
      <c r="J10" s="81">
        <f>1-0.065</f>
        <v>0.93500000000000005</v>
      </c>
      <c r="K10" s="81">
        <v>0</v>
      </c>
      <c r="L10" s="81">
        <f>1-0.065</f>
        <v>0.93500000000000005</v>
      </c>
      <c r="M10" s="81">
        <v>0</v>
      </c>
      <c r="N10" s="81">
        <f t="shared" ref="N10:P11" si="2">1-0.135</f>
        <v>0.86499999999999999</v>
      </c>
      <c r="O10" s="81">
        <f t="shared" si="2"/>
        <v>0.86499999999999999</v>
      </c>
      <c r="P10" s="81">
        <f t="shared" si="2"/>
        <v>0.86499999999999999</v>
      </c>
      <c r="Q10" s="84">
        <f t="shared" si="0"/>
        <v>9.3930000000000007</v>
      </c>
    </row>
    <row r="11" spans="1:17" x14ac:dyDescent="0.25">
      <c r="C11" s="79" t="s">
        <v>158</v>
      </c>
      <c r="D11" s="81">
        <v>1</v>
      </c>
      <c r="E11" s="81">
        <f>1-0.036</f>
        <v>0.96399999999999997</v>
      </c>
      <c r="F11" s="81">
        <v>0</v>
      </c>
      <c r="G11" s="81">
        <f>1-0.036</f>
        <v>0.96399999999999997</v>
      </c>
      <c r="H11" s="81">
        <v>0</v>
      </c>
      <c r="I11" s="81">
        <v>1</v>
      </c>
      <c r="J11" s="81">
        <f>1-0.065</f>
        <v>0.93500000000000005</v>
      </c>
      <c r="K11" s="81">
        <v>0</v>
      </c>
      <c r="L11" s="81">
        <f>1-0.065</f>
        <v>0.93500000000000005</v>
      </c>
      <c r="M11" s="81">
        <v>1</v>
      </c>
      <c r="N11" s="81">
        <f t="shared" si="2"/>
        <v>0.86499999999999999</v>
      </c>
      <c r="O11" s="81">
        <f t="shared" si="2"/>
        <v>0.86499999999999999</v>
      </c>
      <c r="P11" s="81">
        <f t="shared" si="2"/>
        <v>0.86499999999999999</v>
      </c>
      <c r="Q11" s="84">
        <f t="shared" si="0"/>
        <v>9.3930000000000007</v>
      </c>
    </row>
    <row r="12" spans="1:17" x14ac:dyDescent="0.25">
      <c r="C12" s="79" t="s">
        <v>152</v>
      </c>
      <c r="D12" s="81">
        <v>1</v>
      </c>
      <c r="E12" s="81">
        <v>0</v>
      </c>
      <c r="F12" s="81">
        <v>1</v>
      </c>
      <c r="G12" s="81">
        <v>0</v>
      </c>
      <c r="H12" s="81">
        <v>1</v>
      </c>
      <c r="I12" s="81">
        <v>1</v>
      </c>
      <c r="J12" s="81">
        <f>1-0.175</f>
        <v>0.82499999999999996</v>
      </c>
      <c r="K12" s="81">
        <f>1-0.175</f>
        <v>0.82499999999999996</v>
      </c>
      <c r="L12" s="81">
        <f>1-0.175</f>
        <v>0.82499999999999996</v>
      </c>
      <c r="M12" s="81">
        <v>1</v>
      </c>
      <c r="N12" s="81">
        <f>1-0.055</f>
        <v>0.94499999999999995</v>
      </c>
      <c r="O12" s="81">
        <v>0</v>
      </c>
      <c r="P12" s="81">
        <f>1-0.055</f>
        <v>0.94499999999999995</v>
      </c>
      <c r="Q12" s="84">
        <f t="shared" si="0"/>
        <v>9.3650000000000002</v>
      </c>
    </row>
    <row r="13" spans="1:17" x14ac:dyDescent="0.25">
      <c r="C13" s="79" t="s">
        <v>137</v>
      </c>
      <c r="D13" s="81">
        <v>1</v>
      </c>
      <c r="E13" s="83">
        <v>0.9</v>
      </c>
      <c r="F13" s="83">
        <v>0.9</v>
      </c>
      <c r="G13" s="83">
        <v>0.9</v>
      </c>
      <c r="H13" s="81">
        <v>1</v>
      </c>
      <c r="I13" s="81">
        <v>1</v>
      </c>
      <c r="J13" s="81">
        <v>0</v>
      </c>
      <c r="K13" s="81">
        <v>0</v>
      </c>
      <c r="L13" s="81">
        <v>0</v>
      </c>
      <c r="M13" s="81">
        <v>1</v>
      </c>
      <c r="N13" s="81">
        <f t="shared" ref="N13:P15" si="3">1-0.135</f>
        <v>0.86499999999999999</v>
      </c>
      <c r="O13" s="81">
        <f t="shared" si="3"/>
        <v>0.86499999999999999</v>
      </c>
      <c r="P13" s="81">
        <f t="shared" si="3"/>
        <v>0.86499999999999999</v>
      </c>
      <c r="Q13" s="84">
        <f t="shared" si="0"/>
        <v>9.2949999999999999</v>
      </c>
    </row>
    <row r="14" spans="1:17" x14ac:dyDescent="0.25">
      <c r="C14" s="79" t="s">
        <v>139</v>
      </c>
      <c r="D14" s="81">
        <v>1</v>
      </c>
      <c r="E14" s="83">
        <v>0.9</v>
      </c>
      <c r="F14" s="83">
        <v>0.9</v>
      </c>
      <c r="G14" s="83">
        <v>0.9</v>
      </c>
      <c r="H14" s="81">
        <v>1</v>
      </c>
      <c r="I14" s="81">
        <v>1</v>
      </c>
      <c r="J14" s="81">
        <v>0</v>
      </c>
      <c r="K14" s="81">
        <v>1</v>
      </c>
      <c r="L14" s="81">
        <v>0</v>
      </c>
      <c r="M14" s="81">
        <v>0</v>
      </c>
      <c r="N14" s="81">
        <f t="shared" si="3"/>
        <v>0.86499999999999999</v>
      </c>
      <c r="O14" s="81">
        <f t="shared" si="3"/>
        <v>0.86499999999999999</v>
      </c>
      <c r="P14" s="81">
        <f t="shared" si="3"/>
        <v>0.86499999999999999</v>
      </c>
      <c r="Q14" s="84">
        <f t="shared" si="0"/>
        <v>9.2949999999999999</v>
      </c>
    </row>
    <row r="15" spans="1:17" x14ac:dyDescent="0.25">
      <c r="C15" s="79" t="s">
        <v>149</v>
      </c>
      <c r="D15" s="81">
        <v>1</v>
      </c>
      <c r="E15" s="83">
        <v>0.9</v>
      </c>
      <c r="F15" s="83">
        <v>0.9</v>
      </c>
      <c r="G15" s="83">
        <v>0.9</v>
      </c>
      <c r="H15" s="81">
        <v>0</v>
      </c>
      <c r="I15" s="81">
        <v>1</v>
      </c>
      <c r="J15" s="81">
        <v>0</v>
      </c>
      <c r="K15" s="81">
        <v>1</v>
      </c>
      <c r="L15" s="81">
        <v>0</v>
      </c>
      <c r="M15" s="81">
        <v>1</v>
      </c>
      <c r="N15" s="81">
        <f t="shared" si="3"/>
        <v>0.86499999999999999</v>
      </c>
      <c r="O15" s="81">
        <f t="shared" si="3"/>
        <v>0.86499999999999999</v>
      </c>
      <c r="P15" s="81">
        <f t="shared" si="3"/>
        <v>0.86499999999999999</v>
      </c>
      <c r="Q15" s="84">
        <f t="shared" si="0"/>
        <v>9.2949999999999999</v>
      </c>
    </row>
    <row r="16" spans="1:17" x14ac:dyDescent="0.25">
      <c r="C16" s="79" t="s">
        <v>145</v>
      </c>
      <c r="D16" s="81">
        <v>1</v>
      </c>
      <c r="E16" s="81">
        <f>1-0.036</f>
        <v>0.96399999999999997</v>
      </c>
      <c r="F16" s="81">
        <v>0</v>
      </c>
      <c r="G16" s="81">
        <f>1-0.036</f>
        <v>0.96399999999999997</v>
      </c>
      <c r="H16" s="81">
        <v>1</v>
      </c>
      <c r="I16" s="81">
        <v>1</v>
      </c>
      <c r="J16" s="81">
        <f t="shared" ref="J16:L20" si="4">1-0.175</f>
        <v>0.82499999999999996</v>
      </c>
      <c r="K16" s="81">
        <f t="shared" si="4"/>
        <v>0.82499999999999996</v>
      </c>
      <c r="L16" s="81">
        <f t="shared" si="4"/>
        <v>0.82499999999999996</v>
      </c>
      <c r="M16" s="81">
        <v>0</v>
      </c>
      <c r="N16" s="81">
        <f>1-0.055</f>
        <v>0.94499999999999995</v>
      </c>
      <c r="O16" s="81">
        <v>0</v>
      </c>
      <c r="P16" s="81">
        <f>1-0.055</f>
        <v>0.94499999999999995</v>
      </c>
      <c r="Q16" s="84">
        <f t="shared" si="0"/>
        <v>9.293000000000001</v>
      </c>
    </row>
    <row r="17" spans="3:17" x14ac:dyDescent="0.25">
      <c r="C17" s="79" t="s">
        <v>153</v>
      </c>
      <c r="D17" s="81">
        <v>1</v>
      </c>
      <c r="E17" s="81">
        <f>1-0.036</f>
        <v>0.96399999999999997</v>
      </c>
      <c r="F17" s="81">
        <v>0</v>
      </c>
      <c r="G17" s="81">
        <f>1-0.036</f>
        <v>0.96399999999999997</v>
      </c>
      <c r="H17" s="81">
        <v>0</v>
      </c>
      <c r="I17" s="81">
        <v>1</v>
      </c>
      <c r="J17" s="81">
        <f t="shared" si="4"/>
        <v>0.82499999999999996</v>
      </c>
      <c r="K17" s="81">
        <f t="shared" si="4"/>
        <v>0.82499999999999996</v>
      </c>
      <c r="L17" s="81">
        <f t="shared" si="4"/>
        <v>0.82499999999999996</v>
      </c>
      <c r="M17" s="81">
        <v>1</v>
      </c>
      <c r="N17" s="81">
        <f>1-0.055</f>
        <v>0.94499999999999995</v>
      </c>
      <c r="O17" s="81">
        <v>0</v>
      </c>
      <c r="P17" s="81">
        <f>1-0.055</f>
        <v>0.94499999999999995</v>
      </c>
      <c r="Q17" s="84">
        <f t="shared" si="0"/>
        <v>9.293000000000001</v>
      </c>
    </row>
    <row r="18" spans="3:17" x14ac:dyDescent="0.25">
      <c r="C18" s="79">
        <v>550</v>
      </c>
      <c r="D18" s="81">
        <v>1</v>
      </c>
      <c r="E18" s="81">
        <v>0.9</v>
      </c>
      <c r="F18" s="81">
        <v>0.9</v>
      </c>
      <c r="G18" s="81">
        <v>0.9</v>
      </c>
      <c r="H18" s="81">
        <v>1</v>
      </c>
      <c r="I18" s="81">
        <v>1</v>
      </c>
      <c r="J18" s="81">
        <f t="shared" si="4"/>
        <v>0.82499999999999996</v>
      </c>
      <c r="K18" s="81">
        <f t="shared" si="4"/>
        <v>0.82499999999999996</v>
      </c>
      <c r="L18" s="81">
        <f t="shared" si="4"/>
        <v>0.82499999999999996</v>
      </c>
      <c r="M18" s="81">
        <v>1</v>
      </c>
      <c r="N18" s="81">
        <v>0</v>
      </c>
      <c r="O18" s="81">
        <v>0</v>
      </c>
      <c r="P18" s="81">
        <v>0</v>
      </c>
      <c r="Q18" s="84">
        <f t="shared" si="0"/>
        <v>9.1749999999999989</v>
      </c>
    </row>
    <row r="19" spans="3:17" x14ac:dyDescent="0.25">
      <c r="C19" s="79" t="s">
        <v>141</v>
      </c>
      <c r="D19" s="81">
        <v>1</v>
      </c>
      <c r="E19" s="83">
        <v>0.9</v>
      </c>
      <c r="F19" s="83">
        <v>0.9</v>
      </c>
      <c r="G19" s="83">
        <v>0.9</v>
      </c>
      <c r="H19" s="81">
        <v>0</v>
      </c>
      <c r="I19" s="81">
        <v>1</v>
      </c>
      <c r="J19" s="81">
        <f t="shared" si="4"/>
        <v>0.82499999999999996</v>
      </c>
      <c r="K19" s="81">
        <f t="shared" si="4"/>
        <v>0.82499999999999996</v>
      </c>
      <c r="L19" s="81">
        <f t="shared" si="4"/>
        <v>0.82499999999999996</v>
      </c>
      <c r="M19" s="81">
        <v>1</v>
      </c>
      <c r="N19" s="81">
        <v>0</v>
      </c>
      <c r="O19" s="81">
        <v>1</v>
      </c>
      <c r="P19" s="81">
        <v>0</v>
      </c>
      <c r="Q19" s="84">
        <f t="shared" si="0"/>
        <v>9.1750000000000007</v>
      </c>
    </row>
    <row r="20" spans="3:17" x14ac:dyDescent="0.25">
      <c r="C20" s="79" t="s">
        <v>134</v>
      </c>
      <c r="D20" s="81">
        <v>1</v>
      </c>
      <c r="E20" s="83">
        <v>0.9</v>
      </c>
      <c r="F20" s="83">
        <v>0.9</v>
      </c>
      <c r="G20" s="83">
        <v>0.9</v>
      </c>
      <c r="H20" s="81">
        <v>1</v>
      </c>
      <c r="I20" s="81">
        <v>1</v>
      </c>
      <c r="J20" s="81">
        <f t="shared" si="4"/>
        <v>0.82499999999999996</v>
      </c>
      <c r="K20" s="81">
        <f t="shared" si="4"/>
        <v>0.82499999999999996</v>
      </c>
      <c r="L20" s="81">
        <f t="shared" si="4"/>
        <v>0.82499999999999996</v>
      </c>
      <c r="M20" s="81">
        <v>0</v>
      </c>
      <c r="N20" s="81">
        <v>0</v>
      </c>
      <c r="O20" s="81">
        <v>1</v>
      </c>
      <c r="P20" s="81">
        <v>0</v>
      </c>
      <c r="Q20" s="84">
        <f t="shared" si="0"/>
        <v>9.1749999999999989</v>
      </c>
    </row>
    <row r="21" spans="3:17" x14ac:dyDescent="0.25">
      <c r="C21" s="79" t="s">
        <v>138</v>
      </c>
      <c r="D21" s="81">
        <v>1</v>
      </c>
      <c r="E21" s="83">
        <v>0.9</v>
      </c>
      <c r="F21" s="83">
        <v>0.9</v>
      </c>
      <c r="G21" s="83">
        <v>0.9</v>
      </c>
      <c r="H21" s="81">
        <v>1</v>
      </c>
      <c r="I21" s="81">
        <v>0</v>
      </c>
      <c r="J21" s="81">
        <f>1-0.065</f>
        <v>0.93500000000000005</v>
      </c>
      <c r="K21" s="81">
        <v>0</v>
      </c>
      <c r="L21" s="81">
        <f>1-0.065</f>
        <v>0.93500000000000005</v>
      </c>
      <c r="M21" s="81">
        <v>0</v>
      </c>
      <c r="N21" s="81">
        <f t="shared" ref="N21:P26" si="5">1-0.135</f>
        <v>0.86499999999999999</v>
      </c>
      <c r="O21" s="81">
        <f t="shared" si="5"/>
        <v>0.86499999999999999</v>
      </c>
      <c r="P21" s="81">
        <f t="shared" si="5"/>
        <v>0.86499999999999999</v>
      </c>
      <c r="Q21" s="84">
        <f t="shared" si="0"/>
        <v>9.1650000000000009</v>
      </c>
    </row>
    <row r="22" spans="3:17" x14ac:dyDescent="0.25">
      <c r="C22" s="79" t="s">
        <v>150</v>
      </c>
      <c r="D22" s="81">
        <v>1</v>
      </c>
      <c r="E22" s="83">
        <v>0.9</v>
      </c>
      <c r="F22" s="83">
        <v>0.9</v>
      </c>
      <c r="G22" s="83">
        <v>0.9</v>
      </c>
      <c r="H22" s="81">
        <v>0</v>
      </c>
      <c r="I22" s="81">
        <v>1</v>
      </c>
      <c r="J22" s="81">
        <f>1-0.065</f>
        <v>0.93500000000000005</v>
      </c>
      <c r="K22" s="81">
        <v>0</v>
      </c>
      <c r="L22" s="81">
        <f>1-0.065</f>
        <v>0.93500000000000005</v>
      </c>
      <c r="M22" s="81">
        <v>0</v>
      </c>
      <c r="N22" s="81">
        <f t="shared" si="5"/>
        <v>0.86499999999999999</v>
      </c>
      <c r="O22" s="81">
        <f t="shared" si="5"/>
        <v>0.86499999999999999</v>
      </c>
      <c r="P22" s="81">
        <f t="shared" si="5"/>
        <v>0.86499999999999999</v>
      </c>
      <c r="Q22" s="84">
        <f t="shared" si="0"/>
        <v>9.1650000000000009</v>
      </c>
    </row>
    <row r="23" spans="3:17" x14ac:dyDescent="0.25">
      <c r="C23" s="79" t="s">
        <v>159</v>
      </c>
      <c r="D23" s="81">
        <v>0</v>
      </c>
      <c r="E23" s="83">
        <v>0.9</v>
      </c>
      <c r="F23" s="83">
        <v>0.9</v>
      </c>
      <c r="G23" s="83">
        <v>0.9</v>
      </c>
      <c r="H23" s="81">
        <v>0</v>
      </c>
      <c r="I23" s="81">
        <v>1</v>
      </c>
      <c r="J23" s="81">
        <f>1-0.065</f>
        <v>0.93500000000000005</v>
      </c>
      <c r="K23" s="81">
        <v>0</v>
      </c>
      <c r="L23" s="81">
        <f>1-0.065</f>
        <v>0.93500000000000005</v>
      </c>
      <c r="M23" s="81">
        <v>1</v>
      </c>
      <c r="N23" s="81">
        <f t="shared" si="5"/>
        <v>0.86499999999999999</v>
      </c>
      <c r="O23" s="81">
        <f t="shared" si="5"/>
        <v>0.86499999999999999</v>
      </c>
      <c r="P23" s="81">
        <f t="shared" si="5"/>
        <v>0.86499999999999999</v>
      </c>
      <c r="Q23" s="84">
        <f t="shared" si="0"/>
        <v>9.1650000000000009</v>
      </c>
    </row>
    <row r="24" spans="3:17" x14ac:dyDescent="0.25">
      <c r="C24" s="79" t="s">
        <v>156</v>
      </c>
      <c r="D24" s="81">
        <v>1</v>
      </c>
      <c r="E24" s="81">
        <v>0</v>
      </c>
      <c r="F24" s="81">
        <v>1</v>
      </c>
      <c r="G24" s="81">
        <v>0</v>
      </c>
      <c r="H24" s="81">
        <v>1</v>
      </c>
      <c r="I24" s="81">
        <v>1</v>
      </c>
      <c r="J24" s="81">
        <f t="shared" ref="J24:L33" si="6">1-0.175</f>
        <v>0.82499999999999996</v>
      </c>
      <c r="K24" s="81">
        <f t="shared" si="6"/>
        <v>0.82499999999999996</v>
      </c>
      <c r="L24" s="81">
        <f t="shared" si="6"/>
        <v>0.82499999999999996</v>
      </c>
      <c r="M24" s="81">
        <v>0</v>
      </c>
      <c r="N24" s="81">
        <f t="shared" si="5"/>
        <v>0.86499999999999999</v>
      </c>
      <c r="O24" s="81">
        <f t="shared" si="5"/>
        <v>0.86499999999999999</v>
      </c>
      <c r="P24" s="81">
        <f t="shared" si="5"/>
        <v>0.86499999999999999</v>
      </c>
      <c r="Q24" s="84">
        <f t="shared" si="0"/>
        <v>9.07</v>
      </c>
    </row>
    <row r="25" spans="3:17" x14ac:dyDescent="0.25">
      <c r="C25" s="79" t="s">
        <v>161</v>
      </c>
      <c r="D25" s="81">
        <v>1</v>
      </c>
      <c r="E25" s="81">
        <v>0</v>
      </c>
      <c r="F25" s="81">
        <v>0</v>
      </c>
      <c r="G25" s="81">
        <v>0</v>
      </c>
      <c r="H25" s="81">
        <v>1</v>
      </c>
      <c r="I25" s="81">
        <v>1</v>
      </c>
      <c r="J25" s="81">
        <f t="shared" si="6"/>
        <v>0.82499999999999996</v>
      </c>
      <c r="K25" s="81">
        <f t="shared" si="6"/>
        <v>0.82499999999999996</v>
      </c>
      <c r="L25" s="81">
        <f t="shared" si="6"/>
        <v>0.82499999999999996</v>
      </c>
      <c r="M25" s="81">
        <v>1</v>
      </c>
      <c r="N25" s="81">
        <f t="shared" si="5"/>
        <v>0.86499999999999999</v>
      </c>
      <c r="O25" s="81">
        <f t="shared" si="5"/>
        <v>0.86499999999999999</v>
      </c>
      <c r="P25" s="81">
        <f t="shared" si="5"/>
        <v>0.86499999999999999</v>
      </c>
      <c r="Q25" s="84">
        <f t="shared" si="0"/>
        <v>9.07</v>
      </c>
    </row>
    <row r="26" spans="3:17" x14ac:dyDescent="0.25">
      <c r="C26" s="79" t="s">
        <v>162</v>
      </c>
      <c r="D26" s="81">
        <v>1</v>
      </c>
      <c r="E26" s="81">
        <v>0</v>
      </c>
      <c r="F26" s="81">
        <v>1</v>
      </c>
      <c r="G26" s="81">
        <v>0</v>
      </c>
      <c r="H26" s="81">
        <v>0</v>
      </c>
      <c r="I26" s="81">
        <v>1</v>
      </c>
      <c r="J26" s="81">
        <f t="shared" si="6"/>
        <v>0.82499999999999996</v>
      </c>
      <c r="K26" s="81">
        <f t="shared" si="6"/>
        <v>0.82499999999999996</v>
      </c>
      <c r="L26" s="81">
        <f t="shared" si="6"/>
        <v>0.82499999999999996</v>
      </c>
      <c r="M26" s="81">
        <v>1</v>
      </c>
      <c r="N26" s="81">
        <f t="shared" si="5"/>
        <v>0.86499999999999999</v>
      </c>
      <c r="O26" s="81">
        <f t="shared" si="5"/>
        <v>0.86499999999999999</v>
      </c>
      <c r="P26" s="81">
        <f t="shared" si="5"/>
        <v>0.86499999999999999</v>
      </c>
      <c r="Q26" s="84">
        <f t="shared" si="0"/>
        <v>9.07</v>
      </c>
    </row>
    <row r="27" spans="3:17" x14ac:dyDescent="0.25">
      <c r="C27" s="79" t="s">
        <v>154</v>
      </c>
      <c r="D27" s="81">
        <v>0</v>
      </c>
      <c r="E27" s="83">
        <v>0.9</v>
      </c>
      <c r="F27" s="83">
        <v>0.9</v>
      </c>
      <c r="G27" s="83">
        <v>0.9</v>
      </c>
      <c r="H27" s="81">
        <v>0</v>
      </c>
      <c r="I27" s="81">
        <v>1</v>
      </c>
      <c r="J27" s="81">
        <f t="shared" si="6"/>
        <v>0.82499999999999996</v>
      </c>
      <c r="K27" s="81">
        <f t="shared" si="6"/>
        <v>0.82499999999999996</v>
      </c>
      <c r="L27" s="81">
        <f t="shared" si="6"/>
        <v>0.82499999999999996</v>
      </c>
      <c r="M27" s="81">
        <v>1</v>
      </c>
      <c r="N27" s="81">
        <f>1-0.055</f>
        <v>0.94499999999999995</v>
      </c>
      <c r="O27" s="81">
        <v>0</v>
      </c>
      <c r="P27" s="81">
        <f>1-0.055</f>
        <v>0.94499999999999995</v>
      </c>
      <c r="Q27" s="84">
        <f t="shared" si="0"/>
        <v>9.0650000000000013</v>
      </c>
    </row>
    <row r="28" spans="3:17" x14ac:dyDescent="0.25">
      <c r="C28" s="79" t="s">
        <v>144</v>
      </c>
      <c r="D28" s="81">
        <v>1</v>
      </c>
      <c r="E28" s="83">
        <v>0.9</v>
      </c>
      <c r="F28" s="83">
        <v>0.9</v>
      </c>
      <c r="G28" s="83">
        <v>0.9</v>
      </c>
      <c r="H28" s="81">
        <v>0</v>
      </c>
      <c r="I28" s="81">
        <v>1</v>
      </c>
      <c r="J28" s="81">
        <f t="shared" si="6"/>
        <v>0.82499999999999996</v>
      </c>
      <c r="K28" s="81">
        <f t="shared" si="6"/>
        <v>0.82499999999999996</v>
      </c>
      <c r="L28" s="81">
        <f t="shared" si="6"/>
        <v>0.82499999999999996</v>
      </c>
      <c r="M28" s="81">
        <v>0</v>
      </c>
      <c r="N28" s="81">
        <f>1-0.055</f>
        <v>0.94499999999999995</v>
      </c>
      <c r="O28" s="81">
        <v>0</v>
      </c>
      <c r="P28" s="81">
        <f>1-0.055</f>
        <v>0.94499999999999995</v>
      </c>
      <c r="Q28" s="84">
        <f t="shared" si="0"/>
        <v>9.0649999999999995</v>
      </c>
    </row>
    <row r="29" spans="3:17" x14ac:dyDescent="0.25">
      <c r="C29" s="79" t="s">
        <v>148</v>
      </c>
      <c r="D29" s="81">
        <v>1</v>
      </c>
      <c r="E29" s="81">
        <f>1-0.036</f>
        <v>0.96399999999999997</v>
      </c>
      <c r="F29" s="81">
        <v>0</v>
      </c>
      <c r="G29" s="81">
        <f>1-0.036</f>
        <v>0.96399999999999997</v>
      </c>
      <c r="H29" s="81">
        <v>1</v>
      </c>
      <c r="I29" s="81">
        <v>0</v>
      </c>
      <c r="J29" s="81">
        <f t="shared" si="6"/>
        <v>0.82499999999999996</v>
      </c>
      <c r="K29" s="81">
        <f t="shared" si="6"/>
        <v>0.82499999999999996</v>
      </c>
      <c r="L29" s="81">
        <f t="shared" si="6"/>
        <v>0.82499999999999996</v>
      </c>
      <c r="M29" s="81">
        <v>0</v>
      </c>
      <c r="N29" s="81">
        <f t="shared" ref="N29:P33" si="7">1-0.135</f>
        <v>0.86499999999999999</v>
      </c>
      <c r="O29" s="81">
        <f t="shared" si="7"/>
        <v>0.86499999999999999</v>
      </c>
      <c r="P29" s="81">
        <f t="shared" si="7"/>
        <v>0.86499999999999999</v>
      </c>
      <c r="Q29" s="84">
        <f t="shared" si="0"/>
        <v>8.9980000000000011</v>
      </c>
    </row>
    <row r="30" spans="3:17" x14ac:dyDescent="0.25">
      <c r="C30" s="79" t="s">
        <v>157</v>
      </c>
      <c r="D30" s="81">
        <v>1</v>
      </c>
      <c r="E30" s="81">
        <f>1-0.036</f>
        <v>0.96399999999999997</v>
      </c>
      <c r="F30" s="81">
        <v>0</v>
      </c>
      <c r="G30" s="81">
        <f>1-0.036</f>
        <v>0.96399999999999997</v>
      </c>
      <c r="H30" s="81">
        <v>0</v>
      </c>
      <c r="I30" s="81">
        <v>1</v>
      </c>
      <c r="J30" s="81">
        <f t="shared" si="6"/>
        <v>0.82499999999999996</v>
      </c>
      <c r="K30" s="81">
        <f t="shared" si="6"/>
        <v>0.82499999999999996</v>
      </c>
      <c r="L30" s="81">
        <f t="shared" si="6"/>
        <v>0.82499999999999996</v>
      </c>
      <c r="M30" s="81">
        <v>0</v>
      </c>
      <c r="N30" s="81">
        <f t="shared" si="7"/>
        <v>0.86499999999999999</v>
      </c>
      <c r="O30" s="81">
        <f t="shared" si="7"/>
        <v>0.86499999999999999</v>
      </c>
      <c r="P30" s="81">
        <f t="shared" si="7"/>
        <v>0.86499999999999999</v>
      </c>
      <c r="Q30" s="84">
        <f t="shared" si="0"/>
        <v>8.9980000000000011</v>
      </c>
    </row>
    <row r="31" spans="3:17" x14ac:dyDescent="0.25">
      <c r="C31" s="79" t="s">
        <v>163</v>
      </c>
      <c r="D31" s="81">
        <v>0</v>
      </c>
      <c r="E31" s="81">
        <f>1-0.036</f>
        <v>0.96399999999999997</v>
      </c>
      <c r="F31" s="81">
        <v>0</v>
      </c>
      <c r="G31" s="81">
        <f>1-0.036</f>
        <v>0.96399999999999997</v>
      </c>
      <c r="H31" s="81">
        <v>0</v>
      </c>
      <c r="I31" s="81">
        <v>1</v>
      </c>
      <c r="J31" s="81">
        <f t="shared" si="6"/>
        <v>0.82499999999999996</v>
      </c>
      <c r="K31" s="81">
        <f t="shared" si="6"/>
        <v>0.82499999999999996</v>
      </c>
      <c r="L31" s="81">
        <f t="shared" si="6"/>
        <v>0.82499999999999996</v>
      </c>
      <c r="M31" s="81">
        <v>1</v>
      </c>
      <c r="N31" s="81">
        <f t="shared" si="7"/>
        <v>0.86499999999999999</v>
      </c>
      <c r="O31" s="81">
        <f t="shared" si="7"/>
        <v>0.86499999999999999</v>
      </c>
      <c r="P31" s="81">
        <f t="shared" si="7"/>
        <v>0.86499999999999999</v>
      </c>
      <c r="Q31" s="84">
        <f t="shared" si="0"/>
        <v>8.9980000000000011</v>
      </c>
    </row>
    <row r="32" spans="3:17" x14ac:dyDescent="0.25">
      <c r="C32" s="79" t="s">
        <v>160</v>
      </c>
      <c r="D32" s="81">
        <v>0</v>
      </c>
      <c r="E32" s="83">
        <v>0.9</v>
      </c>
      <c r="F32" s="83">
        <v>0.9</v>
      </c>
      <c r="G32" s="83">
        <v>0.9</v>
      </c>
      <c r="H32" s="81">
        <v>0</v>
      </c>
      <c r="I32" s="81">
        <v>1</v>
      </c>
      <c r="J32" s="81">
        <f t="shared" si="6"/>
        <v>0.82499999999999996</v>
      </c>
      <c r="K32" s="81">
        <f t="shared" si="6"/>
        <v>0.82499999999999996</v>
      </c>
      <c r="L32" s="81">
        <f t="shared" si="6"/>
        <v>0.82499999999999996</v>
      </c>
      <c r="M32" s="81">
        <v>0</v>
      </c>
      <c r="N32" s="81">
        <f t="shared" si="7"/>
        <v>0.86499999999999999</v>
      </c>
      <c r="O32" s="81">
        <f t="shared" si="7"/>
        <v>0.86499999999999999</v>
      </c>
      <c r="P32" s="81">
        <f t="shared" si="7"/>
        <v>0.86499999999999999</v>
      </c>
      <c r="Q32" s="84">
        <f t="shared" si="0"/>
        <v>8.7700000000000014</v>
      </c>
    </row>
    <row r="33" spans="3:17" x14ac:dyDescent="0.25">
      <c r="C33" s="79" t="s">
        <v>151</v>
      </c>
      <c r="D33" s="81">
        <v>1</v>
      </c>
      <c r="E33" s="83">
        <v>0.9</v>
      </c>
      <c r="F33" s="83">
        <v>0.9</v>
      </c>
      <c r="G33" s="83">
        <v>0.9</v>
      </c>
      <c r="H33" s="81">
        <v>0</v>
      </c>
      <c r="I33" s="81">
        <v>0</v>
      </c>
      <c r="J33" s="81">
        <f t="shared" si="6"/>
        <v>0.82499999999999996</v>
      </c>
      <c r="K33" s="81">
        <f t="shared" si="6"/>
        <v>0.82499999999999996</v>
      </c>
      <c r="L33" s="81">
        <f t="shared" si="6"/>
        <v>0.82499999999999996</v>
      </c>
      <c r="M33" s="81">
        <v>0</v>
      </c>
      <c r="N33" s="81">
        <f t="shared" si="7"/>
        <v>0.86499999999999999</v>
      </c>
      <c r="O33" s="81">
        <f t="shared" si="7"/>
        <v>0.86499999999999999</v>
      </c>
      <c r="P33" s="81">
        <f t="shared" si="7"/>
        <v>0.86499999999999999</v>
      </c>
      <c r="Q33" s="84">
        <f t="shared" si="0"/>
        <v>8.77</v>
      </c>
    </row>
  </sheetData>
  <sortState xmlns:xlrd2="http://schemas.microsoft.com/office/spreadsheetml/2017/richdata2" ref="C3:Q33">
    <sortCondition descending="1" ref="Q3:Q33"/>
  </sortState>
  <conditionalFormatting sqref="D2:P33">
    <cfRule type="cellIs" dxfId="134" priority="3" operator="lessThan">
      <formula>0.8</formula>
    </cfRule>
    <cfRule type="cellIs" dxfId="133" priority="4" operator="between">
      <formula>0.93</formula>
      <formula>0.99</formula>
    </cfRule>
    <cfRule type="cellIs" dxfId="132" priority="6" operator="equal">
      <formula>1</formula>
    </cfRule>
  </conditionalFormatting>
  <conditionalFormatting sqref="Q2:Q33">
    <cfRule type="cellIs" dxfId="131" priority="1" operator="lessThan">
      <formula>9.15</formula>
    </cfRule>
    <cfRule type="cellIs" dxfId="130" priority="2" operator="greaterThan">
      <formula>9.5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J39"/>
  <sheetViews>
    <sheetView topLeftCell="L1" workbookViewId="0">
      <selection activeCell="R5" sqref="R5"/>
    </sheetView>
  </sheetViews>
  <sheetFormatPr baseColWidth="10" defaultRowHeight="15" x14ac:dyDescent="0.25"/>
  <cols>
    <col min="1" max="1" width="24.28515625" style="77" bestFit="1" customWidth="1"/>
    <col min="2" max="2" width="8.42578125" bestFit="1" customWidth="1"/>
    <col min="3" max="3" width="7.85546875" bestFit="1" customWidth="1"/>
    <col min="4" max="4" width="8.42578125" bestFit="1" customWidth="1"/>
    <col min="5" max="5" width="8.7109375" bestFit="1" customWidth="1"/>
    <col min="6" max="6" width="7.140625" bestFit="1" customWidth="1"/>
    <col min="7" max="7" width="7.42578125" bestFit="1" customWidth="1"/>
    <col min="8" max="8" width="6.85546875" bestFit="1" customWidth="1"/>
    <col min="9" max="10" width="7.42578125" bestFit="1" customWidth="1"/>
    <col min="12" max="12" width="24.28515625" bestFit="1" customWidth="1"/>
    <col min="13" max="13" width="6.5703125" bestFit="1" customWidth="1"/>
    <col min="14" max="14" width="7.42578125" style="43" bestFit="1" customWidth="1"/>
    <col min="15" max="15" width="7.85546875" style="43" bestFit="1" customWidth="1"/>
    <col min="16" max="16" width="7.42578125" style="43" bestFit="1" customWidth="1"/>
    <col min="17" max="17" width="5.5703125" style="43" bestFit="1" customWidth="1"/>
    <col min="18" max="18" width="7.140625" style="43" bestFit="1" customWidth="1"/>
    <col min="19" max="19" width="7.42578125" style="43" bestFit="1" customWidth="1"/>
    <col min="20" max="20" width="7.85546875" style="43" bestFit="1" customWidth="1"/>
    <col min="21" max="21" width="7.42578125" style="43" bestFit="1" customWidth="1"/>
    <col min="22" max="22" width="5.5703125" style="43" bestFit="1" customWidth="1"/>
    <col min="24" max="24" width="24.28515625" bestFit="1" customWidth="1"/>
    <col min="25" max="25" width="6.5703125" bestFit="1" customWidth="1"/>
    <col min="26" max="26" width="7.42578125" bestFit="1" customWidth="1"/>
    <col min="27" max="27" width="7.85546875" bestFit="1" customWidth="1"/>
    <col min="28" max="28" width="7.42578125" bestFit="1" customWidth="1"/>
    <col min="29" max="30" width="7.140625" bestFit="1" customWidth="1"/>
    <col min="31" max="31" width="7.42578125" bestFit="1" customWidth="1"/>
    <col min="32" max="32" width="7.85546875" bestFit="1" customWidth="1"/>
    <col min="33" max="33" width="7.42578125" bestFit="1" customWidth="1"/>
    <col min="34" max="34" width="7.140625" bestFit="1" customWidth="1"/>
  </cols>
  <sheetData>
    <row r="1" spans="1:36" x14ac:dyDescent="0.25">
      <c r="N1" s="87">
        <f>MAX(N3:N34)</f>
        <v>1.202359</v>
      </c>
      <c r="O1" s="87">
        <f t="shared" ref="O1:V1" si="0">MAX(O3:O34)</f>
        <v>1.5216950000000002</v>
      </c>
      <c r="P1" s="87">
        <f t="shared" si="0"/>
        <v>1.202359</v>
      </c>
      <c r="Q1" s="90">
        <f t="shared" si="0"/>
        <v>3.9264130000000002</v>
      </c>
      <c r="R1" s="87">
        <f t="shared" si="0"/>
        <v>0.63447125000000004</v>
      </c>
      <c r="S1" s="87">
        <f t="shared" si="0"/>
        <v>0.87956124999999996</v>
      </c>
      <c r="T1" s="87">
        <f t="shared" si="0"/>
        <v>0.86026205</v>
      </c>
      <c r="U1" s="87">
        <f t="shared" si="0"/>
        <v>0.87956124999999996</v>
      </c>
      <c r="V1" s="90">
        <f t="shared" si="0"/>
        <v>2.6193845499999999</v>
      </c>
    </row>
    <row r="2" spans="1:36" s="78" customFormat="1" x14ac:dyDescent="0.25">
      <c r="A2" s="76"/>
      <c r="B2" s="80" t="s">
        <v>179</v>
      </c>
      <c r="C2" s="80" t="s">
        <v>114</v>
      </c>
      <c r="D2" s="80" t="s">
        <v>180</v>
      </c>
      <c r="E2" s="80" t="s">
        <v>205</v>
      </c>
      <c r="F2" s="80" t="s">
        <v>181</v>
      </c>
      <c r="G2" s="80" t="s">
        <v>182</v>
      </c>
      <c r="H2" s="80" t="s">
        <v>94</v>
      </c>
      <c r="I2" s="80" t="s">
        <v>183</v>
      </c>
      <c r="J2" s="80" t="s">
        <v>206</v>
      </c>
      <c r="L2" s="76" t="s">
        <v>212</v>
      </c>
      <c r="M2" s="82" t="s">
        <v>165</v>
      </c>
      <c r="N2" s="88" t="s">
        <v>207</v>
      </c>
      <c r="O2" s="88" t="s">
        <v>208</v>
      </c>
      <c r="P2" s="88" t="s">
        <v>207</v>
      </c>
      <c r="Q2" s="89" t="s">
        <v>83</v>
      </c>
      <c r="R2" s="88" t="s">
        <v>181</v>
      </c>
      <c r="S2" s="88" t="s">
        <v>209</v>
      </c>
      <c r="T2" s="88" t="s">
        <v>210</v>
      </c>
      <c r="U2" s="88" t="s">
        <v>209</v>
      </c>
      <c r="V2" s="89" t="s">
        <v>211</v>
      </c>
      <c r="X2" s="76" t="s">
        <v>212</v>
      </c>
      <c r="Y2" s="82" t="s">
        <v>165</v>
      </c>
      <c r="Z2" s="88" t="s">
        <v>207</v>
      </c>
      <c r="AA2" s="88" t="s">
        <v>208</v>
      </c>
      <c r="AB2" s="88" t="s">
        <v>207</v>
      </c>
      <c r="AC2" s="89" t="s">
        <v>83</v>
      </c>
      <c r="AD2" s="88" t="s">
        <v>181</v>
      </c>
      <c r="AE2" s="88" t="s">
        <v>209</v>
      </c>
      <c r="AF2" s="88" t="s">
        <v>210</v>
      </c>
      <c r="AG2" s="88" t="s">
        <v>209</v>
      </c>
      <c r="AH2" s="89" t="s">
        <v>211</v>
      </c>
    </row>
    <row r="3" spans="1:36" x14ac:dyDescent="0.25">
      <c r="A3" s="79" t="s">
        <v>166</v>
      </c>
      <c r="B3" s="81">
        <f>(0.597+0.276)*0.34</f>
        <v>0.29682000000000003</v>
      </c>
      <c r="C3" s="81">
        <f>(0.866+0.425)*0.245</f>
        <v>0.31629499999999999</v>
      </c>
      <c r="D3" s="81">
        <f>(0.597+0.276)*0.34</f>
        <v>0.29682000000000003</v>
      </c>
      <c r="E3" s="85">
        <f>D3+C3+B3</f>
        <v>0.90993500000000016</v>
      </c>
      <c r="F3" s="84">
        <v>0</v>
      </c>
      <c r="G3" s="81">
        <v>0</v>
      </c>
      <c r="H3" s="81">
        <v>0</v>
      </c>
      <c r="I3" s="81">
        <v>0</v>
      </c>
      <c r="J3" s="85">
        <f>I3+H3+G3</f>
        <v>0</v>
      </c>
      <c r="L3" s="79" t="s">
        <v>142</v>
      </c>
      <c r="M3" s="84">
        <v>9.6880000000000006</v>
      </c>
      <c r="N3" s="87">
        <f>B3+B5+B11+B11+B17+B23+B23</f>
        <v>1.0720526400000001</v>
      </c>
      <c r="O3" s="87">
        <f>C3+C5+C5+C11+C11+C17+C17+C23+C23</f>
        <v>1.2742450000000001</v>
      </c>
      <c r="P3" s="87">
        <f>N3</f>
        <v>1.0720526400000001</v>
      </c>
      <c r="Q3" s="90">
        <f t="shared" ref="Q3:Q34" si="1">P3+O3+N3</f>
        <v>3.4183502800000003</v>
      </c>
      <c r="R3" s="91">
        <f>F3+F5+F5+F11+F11+F23+F23+F17+F17+F32+F32</f>
        <v>0.54329349999999998</v>
      </c>
      <c r="S3" s="87">
        <f>G5+G23+G23+G17+G32+G32</f>
        <v>0.75947249999999988</v>
      </c>
      <c r="T3" s="87">
        <f>H3+H5+H5+H11+H11+H23+H23+H17+H17+H32+H32</f>
        <v>0.64714379999999994</v>
      </c>
      <c r="U3" s="87">
        <f>S3</f>
        <v>0.75947249999999988</v>
      </c>
      <c r="V3" s="90">
        <f t="shared" ref="V3:V34" si="2">U3+T3+S3</f>
        <v>2.1660887999999998</v>
      </c>
      <c r="W3" s="45"/>
      <c r="X3" s="79" t="s">
        <v>163</v>
      </c>
      <c r="Y3" s="84">
        <v>8.9980000000000011</v>
      </c>
      <c r="Z3" s="92">
        <v>0.65564381353655599</v>
      </c>
      <c r="AA3" s="92">
        <v>0.7423925293833521</v>
      </c>
      <c r="AB3" s="92">
        <v>0.65564381353655599</v>
      </c>
      <c r="AC3" s="92">
        <v>0.68926357976096742</v>
      </c>
      <c r="AD3" s="93">
        <v>0.96410554457747288</v>
      </c>
      <c r="AE3" s="92">
        <v>0.83287121846261414</v>
      </c>
      <c r="AF3" s="92">
        <v>1</v>
      </c>
      <c r="AG3" s="92">
        <v>0.83287121846261414</v>
      </c>
      <c r="AH3" s="92">
        <v>0.88775989382696785</v>
      </c>
      <c r="AJ3" s="103">
        <f>AH3+AC3</f>
        <v>1.5770234735879352</v>
      </c>
    </row>
    <row r="4" spans="1:36" x14ac:dyDescent="0.25">
      <c r="A4" s="79" t="s">
        <v>167</v>
      </c>
      <c r="B4" s="81">
        <v>0.34</v>
      </c>
      <c r="C4" s="83">
        <f>0.479*0.245</f>
        <v>0.11735499999999999</v>
      </c>
      <c r="D4" s="83">
        <v>0</v>
      </c>
      <c r="E4" s="85">
        <f t="shared" ref="E4:E39" si="3">D4+C4+B4</f>
        <v>0.45735500000000001</v>
      </c>
      <c r="F4" s="86">
        <f>0.066*0.125</f>
        <v>8.2500000000000004E-3</v>
      </c>
      <c r="G4" s="81">
        <f>0.376*0.25</f>
        <v>9.4E-2</v>
      </c>
      <c r="H4" s="81">
        <v>0</v>
      </c>
      <c r="I4" s="81">
        <v>0</v>
      </c>
      <c r="J4" s="85">
        <f t="shared" ref="J4:J39" si="4">I4+H4+G4</f>
        <v>9.4E-2</v>
      </c>
      <c r="L4" s="79" t="s">
        <v>135</v>
      </c>
      <c r="M4" s="84">
        <v>9.59</v>
      </c>
      <c r="N4" s="87">
        <f>B3+B5+B12+B12+B12++B17+B22</f>
        <v>1.1311460000000002</v>
      </c>
      <c r="O4" s="87">
        <f>C3+C5+C5+C12+C12+C12++C17+C17+C22</f>
        <v>1.3771450000000001</v>
      </c>
      <c r="P4" s="87">
        <f>N4</f>
        <v>1.1311460000000002</v>
      </c>
      <c r="Q4" s="90">
        <f t="shared" si="1"/>
        <v>3.6394370000000005</v>
      </c>
      <c r="R4" s="91">
        <f>F3+F5+F5+F12+F12+F12+F22+F17+F17+F32+F32</f>
        <v>0.45606750000000001</v>
      </c>
      <c r="S4" s="87">
        <f>G5+G17+G22+G32+G32</f>
        <v>0.71767249999999994</v>
      </c>
      <c r="T4" s="87">
        <f>H17+H17+H22+H32+H32</f>
        <v>0.55501659999999997</v>
      </c>
      <c r="U4" s="87">
        <f>S4</f>
        <v>0.71767249999999994</v>
      </c>
      <c r="V4" s="90">
        <f t="shared" si="2"/>
        <v>1.9903616</v>
      </c>
      <c r="W4" s="45"/>
      <c r="X4" s="79" t="s">
        <v>162</v>
      </c>
      <c r="Y4" s="84">
        <v>9.07</v>
      </c>
      <c r="Z4" s="92">
        <v>0.81396072221358173</v>
      </c>
      <c r="AA4" s="92">
        <v>0.62727419095153747</v>
      </c>
      <c r="AB4" s="92">
        <v>0.5540882548390289</v>
      </c>
      <c r="AC4" s="92">
        <v>0.6620307135291168</v>
      </c>
      <c r="AD4" s="93">
        <v>0.95385921741922897</v>
      </c>
      <c r="AE4" s="92">
        <v>1</v>
      </c>
      <c r="AF4" s="92">
        <v>1</v>
      </c>
      <c r="AG4" s="92">
        <v>0.83287121846261414</v>
      </c>
      <c r="AH4" s="92">
        <v>0.94387994691348398</v>
      </c>
      <c r="AJ4" s="103">
        <f t="shared" ref="AJ4:AJ9" si="5">AH4+AC4</f>
        <v>1.6059106604426008</v>
      </c>
    </row>
    <row r="5" spans="1:36" x14ac:dyDescent="0.25">
      <c r="A5" s="79" t="s">
        <v>168</v>
      </c>
      <c r="B5" s="81">
        <f>0.34*0.919</f>
        <v>0.31246000000000002</v>
      </c>
      <c r="C5" s="83">
        <f>0.414*0.245</f>
        <v>0.10142999999999999</v>
      </c>
      <c r="D5" s="83">
        <v>0</v>
      </c>
      <c r="E5" s="85">
        <f t="shared" si="3"/>
        <v>0.41388999999999998</v>
      </c>
      <c r="F5" s="86">
        <f>0.167*0.125</f>
        <v>2.0875000000000001E-2</v>
      </c>
      <c r="G5" s="81">
        <f>0.588*0.25</f>
        <v>0.14699999999999999</v>
      </c>
      <c r="H5" s="81">
        <v>0</v>
      </c>
      <c r="I5" s="81">
        <v>0</v>
      </c>
      <c r="J5" s="85">
        <f t="shared" si="4"/>
        <v>0.14699999999999999</v>
      </c>
      <c r="L5" s="79" t="s">
        <v>133</v>
      </c>
      <c r="M5" s="84">
        <v>9.57</v>
      </c>
      <c r="N5" s="87">
        <f>B3+B5+B12+B12+B12++B17+B23+B23</f>
        <v>1.1736324000000002</v>
      </c>
      <c r="O5" s="87">
        <f>C3+C5+C5+C12+C12+C12++C17+C17+C23+C23</f>
        <v>1.4633849999999999</v>
      </c>
      <c r="P5" s="87">
        <f>N5</f>
        <v>1.1736324000000002</v>
      </c>
      <c r="Q5" s="90">
        <f t="shared" si="1"/>
        <v>3.8106498000000006</v>
      </c>
      <c r="R5" s="91">
        <f>F3+F5+F5+F12+F12+F12+F23+F23+F17+F17+F31</f>
        <v>0.52090000000000003</v>
      </c>
      <c r="S5" s="87">
        <f>G5+G17+G23+G23+G31</f>
        <v>0.64354999999999996</v>
      </c>
      <c r="T5" s="87">
        <f>H17+H17+H23+H23+H31</f>
        <v>0.45673719999999995</v>
      </c>
      <c r="U5" s="87">
        <f>S5</f>
        <v>0.64354999999999996</v>
      </c>
      <c r="V5" s="90">
        <f t="shared" si="2"/>
        <v>1.7438371999999998</v>
      </c>
      <c r="W5" s="45"/>
      <c r="X5" s="79" t="s">
        <v>161</v>
      </c>
      <c r="Y5" s="84">
        <v>9.07</v>
      </c>
      <c r="Z5" s="92">
        <v>0.7045258529274534</v>
      </c>
      <c r="AA5" s="92">
        <v>0.46626952181613257</v>
      </c>
      <c r="AB5" s="92">
        <v>0.7045258529274534</v>
      </c>
      <c r="AC5" s="92">
        <v>0.61218878401227772</v>
      </c>
      <c r="AD5" s="93">
        <v>0.94026522084333997</v>
      </c>
      <c r="AE5" s="92">
        <v>1</v>
      </c>
      <c r="AF5" s="92">
        <v>1</v>
      </c>
      <c r="AG5" s="92">
        <v>1</v>
      </c>
      <c r="AH5" s="92">
        <v>1</v>
      </c>
      <c r="AJ5" s="103">
        <f t="shared" si="5"/>
        <v>1.6121887840122777</v>
      </c>
    </row>
    <row r="6" spans="1:36" x14ac:dyDescent="0.25">
      <c r="A6" s="79" t="s">
        <v>169</v>
      </c>
      <c r="B6" s="81">
        <f>0.34*0.698</f>
        <v>0.23732</v>
      </c>
      <c r="C6" s="83">
        <f>0.382*0.245</f>
        <v>9.3590000000000007E-2</v>
      </c>
      <c r="D6" s="83">
        <v>0</v>
      </c>
      <c r="E6" s="85">
        <f t="shared" si="3"/>
        <v>0.33091000000000004</v>
      </c>
      <c r="F6" s="86">
        <f>0.23*0.125</f>
        <v>2.8750000000000001E-2</v>
      </c>
      <c r="G6" s="81">
        <f>0.719*0.25</f>
        <v>0.17974999999999999</v>
      </c>
      <c r="H6" s="81">
        <v>0</v>
      </c>
      <c r="I6" s="81">
        <v>0</v>
      </c>
      <c r="J6" s="85">
        <f t="shared" si="4"/>
        <v>0.17974999999999999</v>
      </c>
      <c r="L6" s="79" t="s">
        <v>146</v>
      </c>
      <c r="M6" s="84">
        <v>9.5229999999999997</v>
      </c>
      <c r="N6" s="87">
        <f>B3+B5+B11+B11+B17+B22</f>
        <v>1.0295662400000001</v>
      </c>
      <c r="O6" s="87">
        <f>C3+C5+C5+C11+C11+C17+C17+C22</f>
        <v>1.1880050000000002</v>
      </c>
      <c r="P6" s="87">
        <f>N6</f>
        <v>1.0295662400000001</v>
      </c>
      <c r="Q6" s="90">
        <f t="shared" si="1"/>
        <v>3.2471374800000001</v>
      </c>
      <c r="R6" s="91">
        <f>F3+F5+F5+F11+F11+F22+F17+F17+F33+F33+F33</f>
        <v>0.46907224999999997</v>
      </c>
      <c r="S6" s="87">
        <f>G5+G17+G22+G33+G33+G33</f>
        <v>0.80949874999999993</v>
      </c>
      <c r="T6" s="87">
        <f>H17+H17+H22+H33+H33+H33</f>
        <v>0.70584429999999998</v>
      </c>
      <c r="U6" s="87">
        <f>S6</f>
        <v>0.80949874999999993</v>
      </c>
      <c r="V6" s="90">
        <f t="shared" si="2"/>
        <v>2.3248417999999997</v>
      </c>
      <c r="W6" s="45"/>
      <c r="X6" s="79" t="s">
        <v>159</v>
      </c>
      <c r="Y6" s="84">
        <v>9.1650000000000009</v>
      </c>
      <c r="Z6" s="92">
        <v>0.71623566671850913</v>
      </c>
      <c r="AA6" s="92">
        <v>0.82836902270165824</v>
      </c>
      <c r="AB6" s="92">
        <v>0.71623566671850913</v>
      </c>
      <c r="AC6" s="92">
        <v>0.75969333842364517</v>
      </c>
      <c r="AD6" s="93">
        <v>0.93081049771758773</v>
      </c>
      <c r="AE6" s="92">
        <v>0.83287121846261414</v>
      </c>
      <c r="AF6" s="92">
        <v>1</v>
      </c>
      <c r="AG6" s="92">
        <v>0.83287121846261414</v>
      </c>
      <c r="AH6" s="92">
        <v>0.88775989382696785</v>
      </c>
      <c r="AJ6" s="103">
        <f t="shared" si="5"/>
        <v>1.647453232250613</v>
      </c>
    </row>
    <row r="7" spans="1:36" x14ac:dyDescent="0.25">
      <c r="A7" s="79" t="s">
        <v>170</v>
      </c>
      <c r="B7" s="81">
        <f>0.754*0.34</f>
        <v>0.25636000000000003</v>
      </c>
      <c r="C7" s="83">
        <f>0.708*0.245</f>
        <v>0.17345999999999998</v>
      </c>
      <c r="D7" s="83">
        <v>0</v>
      </c>
      <c r="E7" s="85">
        <f t="shared" si="3"/>
        <v>0.42981999999999998</v>
      </c>
      <c r="F7" s="86">
        <f>0.165*0.125</f>
        <v>2.0625000000000001E-2</v>
      </c>
      <c r="G7" s="81">
        <f>0.286*0.25</f>
        <v>7.1499999999999994E-2</v>
      </c>
      <c r="H7" s="81">
        <v>0</v>
      </c>
      <c r="I7" s="81">
        <v>0</v>
      </c>
      <c r="J7" s="85">
        <f t="shared" si="4"/>
        <v>7.1499999999999994E-2</v>
      </c>
      <c r="L7" s="79" t="s">
        <v>155</v>
      </c>
      <c r="M7" s="84">
        <v>9.4650000000000016</v>
      </c>
      <c r="N7" s="87">
        <f>B3+B5+B10+B17+B23+B23</f>
        <v>0.94994639999999997</v>
      </c>
      <c r="O7" s="87">
        <f>C3+C5+C5+C10+C17+C17+C23+C23</f>
        <v>1.0468850000000001</v>
      </c>
      <c r="P7" s="87">
        <f>N7</f>
        <v>0.94994639999999997</v>
      </c>
      <c r="Q7" s="90">
        <f t="shared" si="1"/>
        <v>2.9467778</v>
      </c>
      <c r="R7" s="91">
        <f>F3+F5+F5+F10+F23+F23+F17+F17+F33+F33+F33</f>
        <v>0.55169625</v>
      </c>
      <c r="S7" s="87">
        <f>G5+G17+G23+G23+G33+G33+G33</f>
        <v>0.85129874999999988</v>
      </c>
      <c r="T7" s="87">
        <f>H17+H17++H23+H23+H33+H33+H33</f>
        <v>0.79797150000000006</v>
      </c>
      <c r="U7" s="87">
        <f>S7</f>
        <v>0.85129874999999988</v>
      </c>
      <c r="V7" s="90">
        <f t="shared" si="2"/>
        <v>2.5005689999999996</v>
      </c>
      <c r="W7" s="45"/>
      <c r="X7" s="79" t="s">
        <v>160</v>
      </c>
      <c r="Y7" s="84">
        <v>8.7700000000000014</v>
      </c>
      <c r="Z7" s="92">
        <v>0.74012753262544717</v>
      </c>
      <c r="AA7" s="92">
        <v>0.83432619545966846</v>
      </c>
      <c r="AB7" s="92">
        <v>0.74012753262544717</v>
      </c>
      <c r="AC7" s="92">
        <v>0.77663455168878071</v>
      </c>
      <c r="AD7" s="93">
        <v>0.91035842837638414</v>
      </c>
      <c r="AE7" s="92">
        <v>0.83287121846261414</v>
      </c>
      <c r="AF7" s="92">
        <v>0.97327558503830303</v>
      </c>
      <c r="AG7" s="92">
        <v>0.51794147366087362</v>
      </c>
      <c r="AH7" s="92">
        <v>0.7732329909329273</v>
      </c>
      <c r="AJ7" s="103">
        <f t="shared" si="5"/>
        <v>1.5498675426217079</v>
      </c>
    </row>
    <row r="8" spans="1:36" x14ac:dyDescent="0.25">
      <c r="A8" s="79" t="s">
        <v>171</v>
      </c>
      <c r="B8" s="81">
        <f>B7*(1-0.036)</f>
        <v>0.24713104000000002</v>
      </c>
      <c r="C8" s="81">
        <f t="shared" ref="C8:I8" si="6">C7*(1-0.036)</f>
        <v>0.16721543999999997</v>
      </c>
      <c r="D8" s="81">
        <f t="shared" si="6"/>
        <v>0</v>
      </c>
      <c r="E8" s="85">
        <f t="shared" si="3"/>
        <v>0.41434647999999996</v>
      </c>
      <c r="F8" s="84">
        <f t="shared" si="6"/>
        <v>1.9882500000000001E-2</v>
      </c>
      <c r="G8" s="81">
        <f t="shared" si="6"/>
        <v>6.8925999999999987E-2</v>
      </c>
      <c r="H8" s="81">
        <f t="shared" si="6"/>
        <v>0</v>
      </c>
      <c r="I8" s="81">
        <f t="shared" si="6"/>
        <v>0</v>
      </c>
      <c r="J8" s="85">
        <f t="shared" si="4"/>
        <v>6.8925999999999987E-2</v>
      </c>
      <c r="L8" s="79" t="s">
        <v>136</v>
      </c>
      <c r="M8" s="84">
        <v>9.4600000000000009</v>
      </c>
      <c r="N8" s="87">
        <f>B3+B5+B12+B12+B12++B17+B23+B23</f>
        <v>1.1736324000000002</v>
      </c>
      <c r="O8" s="87">
        <f>C3+C5+C5+C12+C12+C12++C17+C23+C23</f>
        <v>1.41414</v>
      </c>
      <c r="P8" s="87">
        <f>B3+B5+B12+B12+B12+B23+B23</f>
        <v>1.0553124000000003</v>
      </c>
      <c r="Q8" s="90">
        <f t="shared" si="1"/>
        <v>3.6430848000000005</v>
      </c>
      <c r="R8" s="91">
        <f>F3+F5+F5+F12+F12+F12+F23+F23+F17+F32+F32</f>
        <v>0.50919250000000005</v>
      </c>
      <c r="S8" s="87">
        <f>G5+G17+G23+G23+G32+G32</f>
        <v>0.75947249999999988</v>
      </c>
      <c r="T8" s="87">
        <f>H17+H23+H23+H32+H32</f>
        <v>0.62415379999999998</v>
      </c>
      <c r="U8" s="87">
        <f>G5+G23+G23+G32+G32</f>
        <v>0.48247249999999997</v>
      </c>
      <c r="V8" s="90">
        <f t="shared" si="2"/>
        <v>1.8660987999999996</v>
      </c>
      <c r="W8" s="45"/>
      <c r="X8" s="79" t="s">
        <v>157</v>
      </c>
      <c r="Y8" s="84">
        <v>8.9980000000000011</v>
      </c>
      <c r="Z8" s="92">
        <v>0.91551628091110882</v>
      </c>
      <c r="AA8" s="92">
        <v>0.77668652390919346</v>
      </c>
      <c r="AB8" s="92">
        <v>0.55723726441104526</v>
      </c>
      <c r="AC8" s="92">
        <v>0.7519989568086699</v>
      </c>
      <c r="AD8" s="93">
        <v>0.90736538495637098</v>
      </c>
      <c r="AE8" s="92">
        <v>1</v>
      </c>
      <c r="AF8" s="92">
        <v>0.97327558503830303</v>
      </c>
      <c r="AG8" s="92">
        <v>0.51794147366087362</v>
      </c>
      <c r="AH8" s="92">
        <v>0.82935304401944343</v>
      </c>
      <c r="AJ8" s="103">
        <f t="shared" si="5"/>
        <v>1.5813520008281134</v>
      </c>
    </row>
    <row r="9" spans="1:36" x14ac:dyDescent="0.25">
      <c r="A9" s="79" t="s">
        <v>172</v>
      </c>
      <c r="B9" s="81">
        <f>B7*(1-0.1)</f>
        <v>0.23072400000000004</v>
      </c>
      <c r="C9" s="81">
        <f t="shared" ref="C9:I9" si="7">C7*(1-0.1)</f>
        <v>0.15611399999999998</v>
      </c>
      <c r="D9" s="81">
        <f t="shared" si="7"/>
        <v>0</v>
      </c>
      <c r="E9" s="85">
        <f t="shared" si="3"/>
        <v>0.38683800000000002</v>
      </c>
      <c r="F9" s="84">
        <f t="shared" si="7"/>
        <v>1.8562500000000003E-2</v>
      </c>
      <c r="G9" s="81">
        <f t="shared" si="7"/>
        <v>6.4349999999999991E-2</v>
      </c>
      <c r="H9" s="81">
        <f t="shared" si="7"/>
        <v>0</v>
      </c>
      <c r="I9" s="81">
        <f t="shared" si="7"/>
        <v>0</v>
      </c>
      <c r="J9" s="85">
        <f t="shared" si="4"/>
        <v>6.4349999999999991E-2</v>
      </c>
      <c r="L9" s="79" t="s">
        <v>143</v>
      </c>
      <c r="M9" s="84">
        <v>9.4600000000000009</v>
      </c>
      <c r="N9" s="87">
        <f>B3+B5+B12+B12+B12+B17+B23+B23</f>
        <v>1.1736324000000002</v>
      </c>
      <c r="O9" s="87">
        <f>C3+C5+C12+C12+C12+C17+C17+C23+C23</f>
        <v>1.361955</v>
      </c>
      <c r="P9" s="87">
        <f>B3+B12+B12+B12+B17+B23+B23</f>
        <v>0.86117239999999995</v>
      </c>
      <c r="Q9" s="90">
        <f t="shared" si="1"/>
        <v>3.3967598000000003</v>
      </c>
      <c r="R9" s="91">
        <f>F3+F5+F12+F12+F12+F23+F23+F17+F17+F32+F32</f>
        <v>0.54519249999999997</v>
      </c>
      <c r="S9" s="87">
        <f>G5+G17+G23+G23+G32+G32</f>
        <v>0.75947249999999988</v>
      </c>
      <c r="T9" s="87">
        <f>H17+H17+H23+H23+H32+H32</f>
        <v>0.64714379999999994</v>
      </c>
      <c r="U9" s="87">
        <f>G17+G23+G23+G32+G32</f>
        <v>0.61247249999999998</v>
      </c>
      <c r="V9" s="90">
        <f t="shared" si="2"/>
        <v>2.0190887999999996</v>
      </c>
      <c r="W9" s="45"/>
      <c r="X9" s="79" t="s">
        <v>156</v>
      </c>
      <c r="Y9" s="84">
        <v>9.07</v>
      </c>
      <c r="Z9" s="92">
        <v>0.81396072221358173</v>
      </c>
      <c r="AA9" s="92">
        <v>0.6939301239735951</v>
      </c>
      <c r="AB9" s="92">
        <v>0.71555417308807101</v>
      </c>
      <c r="AC9" s="92">
        <v>0.73730807227869299</v>
      </c>
      <c r="AD9" s="93">
        <v>0.85062364921972422</v>
      </c>
      <c r="AE9" s="92">
        <v>1</v>
      </c>
      <c r="AF9" s="92">
        <v>0.97327558503830303</v>
      </c>
      <c r="AG9" s="92">
        <v>0.68507025519825948</v>
      </c>
      <c r="AH9" s="92">
        <v>0.88547309710595956</v>
      </c>
      <c r="AJ9" s="103">
        <f t="shared" si="5"/>
        <v>1.6227811693846526</v>
      </c>
    </row>
    <row r="10" spans="1:36" x14ac:dyDescent="0.25">
      <c r="A10" s="79" t="s">
        <v>173</v>
      </c>
      <c r="B10" s="81">
        <f>(0.516+0.258)/2*0.34</f>
        <v>0.13158</v>
      </c>
      <c r="C10" s="83">
        <f>1*0.245</f>
        <v>0.245</v>
      </c>
      <c r="D10" s="83">
        <f>(0.516+0.258)/2*0.34</f>
        <v>0.13158</v>
      </c>
      <c r="E10" s="85">
        <f t="shared" si="3"/>
        <v>0.50816000000000006</v>
      </c>
      <c r="F10" s="86">
        <f>0.236*0.125</f>
        <v>2.9499999999999998E-2</v>
      </c>
      <c r="G10" s="81">
        <v>0</v>
      </c>
      <c r="H10" s="81">
        <v>0</v>
      </c>
      <c r="I10" s="81">
        <v>0</v>
      </c>
      <c r="J10" s="85">
        <f t="shared" si="4"/>
        <v>0</v>
      </c>
      <c r="L10" s="79" t="s">
        <v>140</v>
      </c>
      <c r="M10" s="84">
        <v>9.4030000000000005</v>
      </c>
      <c r="N10" s="87">
        <f>B3+B5+B11+B11+B17+B24+B24+B24</f>
        <v>1.1007792399999998</v>
      </c>
      <c r="O10" s="87">
        <f>C3+C5+C5+C11+C11+C17+C17+C24+C24+C24</f>
        <v>1.3325550000000004</v>
      </c>
      <c r="P10" s="87">
        <f>N10</f>
        <v>1.1007792399999998</v>
      </c>
      <c r="Q10" s="90">
        <f t="shared" si="1"/>
        <v>3.5341134800000003</v>
      </c>
      <c r="R10" s="91">
        <f>F3+F5+F5+F11+F11+F24+F24+F24+F17+F17+F31</f>
        <v>0.57250099999999993</v>
      </c>
      <c r="S10" s="87">
        <f>G5+G17+G24+G24+G24+G31</f>
        <v>0.67181250000000003</v>
      </c>
      <c r="T10" s="87">
        <f>H17+H17+H24+H24+H24+H31</f>
        <v>0.51902775000000001</v>
      </c>
      <c r="U10" s="87">
        <f>S10</f>
        <v>0.67181250000000003</v>
      </c>
      <c r="V10" s="90">
        <f t="shared" si="2"/>
        <v>1.8626527500000001</v>
      </c>
      <c r="W10" s="45"/>
      <c r="X10" s="79" t="s">
        <v>151</v>
      </c>
      <c r="Y10" s="84">
        <v>8.77</v>
      </c>
      <c r="Z10" s="92">
        <v>0.90159345087448928</v>
      </c>
      <c r="AA10" s="92">
        <v>0.86862018998550972</v>
      </c>
      <c r="AB10" s="92">
        <v>0.64172098349993645</v>
      </c>
      <c r="AC10" s="92">
        <v>0.80923555418138648</v>
      </c>
      <c r="AD10" s="93">
        <v>0.85361826875528235</v>
      </c>
      <c r="AE10" s="92">
        <v>0.68507025519825948</v>
      </c>
      <c r="AF10" s="92">
        <v>0.94655117007660627</v>
      </c>
      <c r="AG10" s="92">
        <v>0.51794147366087362</v>
      </c>
      <c r="AH10" s="92">
        <v>0.71482614112540299</v>
      </c>
      <c r="AJ10" s="103"/>
    </row>
    <row r="11" spans="1:36" x14ac:dyDescent="0.25">
      <c r="A11" s="79" t="s">
        <v>174</v>
      </c>
      <c r="B11" s="81">
        <f>B10*(1-0.036)</f>
        <v>0.12684312</v>
      </c>
      <c r="C11" s="81">
        <f t="shared" ref="C11" si="8">C10*(1-0.036)</f>
        <v>0.23618</v>
      </c>
      <c r="D11" s="81">
        <f t="shared" ref="D11" si="9">D10*(1-0.036)</f>
        <v>0.12684312</v>
      </c>
      <c r="E11" s="85">
        <f t="shared" si="3"/>
        <v>0.48986624000000001</v>
      </c>
      <c r="F11" s="84">
        <f t="shared" ref="F11" si="10">F10*(1-0.036)</f>
        <v>2.8437999999999998E-2</v>
      </c>
      <c r="G11" s="81">
        <f t="shared" ref="G11" si="11">G10*(1-0.036)</f>
        <v>0</v>
      </c>
      <c r="H11" s="81">
        <f t="shared" ref="H11" si="12">H10*(1-0.036)</f>
        <v>0</v>
      </c>
      <c r="I11" s="81">
        <f t="shared" ref="I11" si="13">I10*(1-0.036)</f>
        <v>0</v>
      </c>
      <c r="J11" s="85">
        <f t="shared" si="4"/>
        <v>0</v>
      </c>
      <c r="L11" s="79" t="s">
        <v>147</v>
      </c>
      <c r="M11" s="84">
        <v>9.3930000000000007</v>
      </c>
      <c r="N11" s="87">
        <f>B3+B5+B11+B11+B17+B23+B23</f>
        <v>1.0720526400000001</v>
      </c>
      <c r="O11" s="87">
        <f>C3+C5+C5+C11+C11+C17+C23+C23</f>
        <v>1.2250000000000001</v>
      </c>
      <c r="P11" s="87">
        <f>B3+B5+B11+B11+B23+B23</f>
        <v>0.95373263999999991</v>
      </c>
      <c r="Q11" s="90">
        <f t="shared" si="1"/>
        <v>3.2507852799999997</v>
      </c>
      <c r="R11" s="91">
        <f>F3+F5+F5+F11+F11+F22+F22+F17+F33+F33+F33</f>
        <v>0.53719724999999996</v>
      </c>
      <c r="S11" s="87">
        <f>G5+G17+G23+G23+G33+G33+G33</f>
        <v>0.85129874999999988</v>
      </c>
      <c r="T11" s="87">
        <f>H17+H23+H23+H33+H33+H33</f>
        <v>0.77498149999999999</v>
      </c>
      <c r="U11" s="87">
        <f>G5+G23+G23+G33+G33+G33</f>
        <v>0.57429874999999997</v>
      </c>
      <c r="V11" s="90">
        <f t="shared" si="2"/>
        <v>2.2005789999999998</v>
      </c>
      <c r="W11" s="45"/>
      <c r="X11" s="79" t="s">
        <v>148</v>
      </c>
      <c r="Y11" s="84">
        <v>8.9980000000000011</v>
      </c>
      <c r="Z11" s="92">
        <v>0.81710973178559809</v>
      </c>
      <c r="AA11" s="92">
        <v>0.81098051843503471</v>
      </c>
      <c r="AB11" s="92">
        <v>0.81710973178559809</v>
      </c>
      <c r="AC11" s="92">
        <v>0.81473433385637217</v>
      </c>
      <c r="AD11" s="93">
        <v>0.85062522533526908</v>
      </c>
      <c r="AE11" s="92">
        <v>0.68507025519825948</v>
      </c>
      <c r="AF11" s="92">
        <v>0.94655117007660627</v>
      </c>
      <c r="AG11" s="92">
        <v>0.68507025519825948</v>
      </c>
      <c r="AH11" s="92">
        <v>0.77094619421191901</v>
      </c>
      <c r="AJ11" s="103"/>
    </row>
    <row r="12" spans="1:36" x14ac:dyDescent="0.25">
      <c r="A12" s="79" t="s">
        <v>175</v>
      </c>
      <c r="B12" s="81">
        <f>B10*(1-0.1)</f>
        <v>0.118422</v>
      </c>
      <c r="C12" s="81">
        <f t="shared" ref="C12:I12" si="14">C10*(1-0.1)</f>
        <v>0.2205</v>
      </c>
      <c r="D12" s="81">
        <f t="shared" si="14"/>
        <v>0.118422</v>
      </c>
      <c r="E12" s="85">
        <f t="shared" si="3"/>
        <v>0.45734399999999997</v>
      </c>
      <c r="F12" s="84">
        <f t="shared" si="14"/>
        <v>2.6550000000000001E-2</v>
      </c>
      <c r="G12" s="81">
        <f t="shared" si="14"/>
        <v>0</v>
      </c>
      <c r="H12" s="81">
        <f t="shared" si="14"/>
        <v>0</v>
      </c>
      <c r="I12" s="81">
        <f t="shared" si="14"/>
        <v>0</v>
      </c>
      <c r="J12" s="85">
        <f t="shared" si="4"/>
        <v>0</v>
      </c>
      <c r="L12" s="79" t="s">
        <v>158</v>
      </c>
      <c r="M12" s="84">
        <v>9.3930000000000007</v>
      </c>
      <c r="N12" s="87">
        <f>B3+B5+B11+B11+B17+B23+B23</f>
        <v>1.0720526400000001</v>
      </c>
      <c r="O12" s="87">
        <f>C3+C5+C11+C11+C17+C17+C23+C23</f>
        <v>1.1728149999999999</v>
      </c>
      <c r="P12" s="87">
        <f>B3+B11+B11+B17+B23+B23</f>
        <v>0.75959263999999993</v>
      </c>
      <c r="Q12" s="90">
        <f t="shared" si="1"/>
        <v>3.00446028</v>
      </c>
      <c r="R12" s="91">
        <f>F3+F5+F11+F11+F23+F23+F17+F17+F33+F33+F33</f>
        <v>0.55819724999999998</v>
      </c>
      <c r="S12" s="87">
        <f>G5+G17+G23+G23+G33+G33+G33</f>
        <v>0.85129874999999988</v>
      </c>
      <c r="T12" s="87">
        <f>H5+H17+H23+H23+H33+H33+H33</f>
        <v>0.77498149999999999</v>
      </c>
      <c r="U12" s="87">
        <f>G17+G23+G23+G33+G33+G33</f>
        <v>0.70429874999999997</v>
      </c>
      <c r="V12" s="90">
        <f t="shared" si="2"/>
        <v>2.3305789999999997</v>
      </c>
      <c r="W12" s="45"/>
      <c r="X12" s="79" t="s">
        <v>155</v>
      </c>
      <c r="Y12" s="84">
        <v>9.4650000000000016</v>
      </c>
      <c r="Z12" s="92">
        <v>0.79006885630664381</v>
      </c>
      <c r="AA12" s="92">
        <v>0.68797295121558522</v>
      </c>
      <c r="AB12" s="92">
        <v>0.79006885630664381</v>
      </c>
      <c r="AC12" s="92">
        <v>0.75050123356865406</v>
      </c>
      <c r="AD12" s="93">
        <v>0.86953703576009156</v>
      </c>
      <c r="AE12" s="92">
        <v>0.96786750212108585</v>
      </c>
      <c r="AF12" s="92">
        <v>0.92759119154448355</v>
      </c>
      <c r="AG12" s="92">
        <v>0.96786750212108585</v>
      </c>
      <c r="AH12" s="92">
        <v>0.95463989813943118</v>
      </c>
      <c r="AJ12" s="103"/>
    </row>
    <row r="13" spans="1:36" x14ac:dyDescent="0.25">
      <c r="A13" s="79" t="s">
        <v>176</v>
      </c>
      <c r="B13" s="81">
        <f>(0.378+0.189)/2*0.34</f>
        <v>9.6390000000000003E-2</v>
      </c>
      <c r="C13" s="83">
        <f>0.725*0.245</f>
        <v>0.17762500000000001</v>
      </c>
      <c r="D13" s="83">
        <f>(0.378+0.189)/2*0.34</f>
        <v>9.6390000000000003E-2</v>
      </c>
      <c r="E13" s="85">
        <f t="shared" si="3"/>
        <v>0.37040499999999998</v>
      </c>
      <c r="F13" s="86">
        <f>0.385*0.125</f>
        <v>4.8125000000000001E-2</v>
      </c>
      <c r="G13" s="81">
        <v>0</v>
      </c>
      <c r="H13" s="81">
        <v>0</v>
      </c>
      <c r="I13" s="81">
        <v>0</v>
      </c>
      <c r="J13" s="85">
        <f t="shared" si="4"/>
        <v>0</v>
      </c>
      <c r="L13" s="79" t="s">
        <v>152</v>
      </c>
      <c r="M13" s="84">
        <v>9.3650000000000002</v>
      </c>
      <c r="N13" s="87">
        <f>B3+B5+B11+B17+B24+B24+B24</f>
        <v>0.97393611999999985</v>
      </c>
      <c r="O13" s="87">
        <f>C3+C5+C5+C11+C17+C17+C24+C24+C24</f>
        <v>1.0963750000000001</v>
      </c>
      <c r="P13" s="87">
        <f>N13</f>
        <v>0.97393611999999985</v>
      </c>
      <c r="Q13" s="90">
        <f t="shared" si="1"/>
        <v>3.0442472399999998</v>
      </c>
      <c r="R13" s="91">
        <f>F3+F5+F5+F10+F24+F24+F24+F17+F17+F32+F32</f>
        <v>0.59029250000000011</v>
      </c>
      <c r="S13" s="87">
        <f>G5+G17+G24+G24+G24+G32+G32</f>
        <v>0.78773499999999996</v>
      </c>
      <c r="T13" s="87">
        <f>H17+H17+H24+H24+H24+H32+H32</f>
        <v>0.70943434999999999</v>
      </c>
      <c r="U13" s="87">
        <f>S13</f>
        <v>0.78773499999999996</v>
      </c>
      <c r="V13" s="90">
        <f t="shared" si="2"/>
        <v>2.2849043500000001</v>
      </c>
      <c r="W13" s="45"/>
      <c r="X13" s="79" t="s">
        <v>158</v>
      </c>
      <c r="Y13" s="84">
        <v>9.3930000000000007</v>
      </c>
      <c r="Z13" s="92">
        <v>0.89162441500417111</v>
      </c>
      <c r="AA13" s="92">
        <v>0.77072935115118324</v>
      </c>
      <c r="AB13" s="92">
        <v>0.63175194762961806</v>
      </c>
      <c r="AC13" s="92">
        <v>0.76519211809863097</v>
      </c>
      <c r="AD13" s="93">
        <v>0.87978336291833548</v>
      </c>
      <c r="AE13" s="92">
        <v>0.96786750212108585</v>
      </c>
      <c r="AF13" s="92">
        <v>0.90086677658278658</v>
      </c>
      <c r="AG13" s="92">
        <v>0.8007387205837001</v>
      </c>
      <c r="AH13" s="92">
        <v>0.8897429741654389</v>
      </c>
      <c r="AJ13" s="103"/>
    </row>
    <row r="14" spans="1:36" x14ac:dyDescent="0.25">
      <c r="A14" s="79" t="s">
        <v>177</v>
      </c>
      <c r="B14" s="81">
        <f>B13*(1-0.036)</f>
        <v>9.2919959999999996E-2</v>
      </c>
      <c r="C14" s="81">
        <f t="shared" ref="C14" si="15">C13*(1-0.036)</f>
        <v>0.17123050000000001</v>
      </c>
      <c r="D14" s="81">
        <f t="shared" ref="D14" si="16">D13*(1-0.036)</f>
        <v>9.2919959999999996E-2</v>
      </c>
      <c r="E14" s="85">
        <f t="shared" si="3"/>
        <v>0.35707042</v>
      </c>
      <c r="F14" s="84">
        <f t="shared" ref="F14" si="17">F13*(1-0.036)</f>
        <v>4.6392499999999996E-2</v>
      </c>
      <c r="G14" s="81">
        <f t="shared" ref="G14" si="18">G13*(1-0.036)</f>
        <v>0</v>
      </c>
      <c r="H14" s="81">
        <f t="shared" ref="H14" si="19">H13*(1-0.036)</f>
        <v>0</v>
      </c>
      <c r="I14" s="81">
        <f t="shared" ref="I14" si="20">I13*(1-0.036)</f>
        <v>0</v>
      </c>
      <c r="J14" s="85">
        <f t="shared" si="4"/>
        <v>0</v>
      </c>
      <c r="L14" s="79" t="s">
        <v>137</v>
      </c>
      <c r="M14" s="84">
        <v>9.2949999999999999</v>
      </c>
      <c r="N14" s="87">
        <f>B3+B5+B12+B12+B12++B17</f>
        <v>1.0828660000000001</v>
      </c>
      <c r="O14" s="87">
        <f>C3+C5+C5+C12+C12+C12+C17+C17</f>
        <v>1.279145</v>
      </c>
      <c r="P14" s="87">
        <f>N14</f>
        <v>1.0828660000000001</v>
      </c>
      <c r="Q14" s="90">
        <f t="shared" si="1"/>
        <v>3.444877</v>
      </c>
      <c r="R14" s="91">
        <f>F3+F5+F5+F12+F12+F12+F17+F17+F33+F33+F33</f>
        <v>0.36684624999999998</v>
      </c>
      <c r="S14" s="87">
        <f>G5+G17+G33+G33+G33</f>
        <v>0.76199874999999995</v>
      </c>
      <c r="T14" s="87">
        <f>H17+H17+H33+H33+H33</f>
        <v>0.60115430000000003</v>
      </c>
      <c r="U14" s="87">
        <f>S14</f>
        <v>0.76199874999999995</v>
      </c>
      <c r="V14" s="90">
        <f t="shared" si="2"/>
        <v>2.1251517999999998</v>
      </c>
      <c r="W14" s="45"/>
      <c r="X14" s="79" t="s">
        <v>147</v>
      </c>
      <c r="Y14" s="84">
        <v>9.3930000000000007</v>
      </c>
      <c r="Z14" s="92">
        <v>0.89162441500417111</v>
      </c>
      <c r="AA14" s="92">
        <v>0.8050233456770246</v>
      </c>
      <c r="AB14" s="92">
        <v>0.79321786587866017</v>
      </c>
      <c r="AC14" s="92">
        <v>0.82792749514633324</v>
      </c>
      <c r="AD14" s="93">
        <v>0.84668493647269272</v>
      </c>
      <c r="AE14" s="92">
        <v>0.96786750212108585</v>
      </c>
      <c r="AF14" s="92">
        <v>0.90086677658278658</v>
      </c>
      <c r="AG14" s="92">
        <v>0.65293775731934534</v>
      </c>
      <c r="AH14" s="92">
        <v>0.84011299524539074</v>
      </c>
      <c r="AJ14" s="103"/>
    </row>
    <row r="15" spans="1:36" x14ac:dyDescent="0.25">
      <c r="A15" s="79" t="s">
        <v>178</v>
      </c>
      <c r="B15" s="81">
        <f>B13*(1-0.1)</f>
        <v>8.6751000000000009E-2</v>
      </c>
      <c r="C15" s="81">
        <f t="shared" ref="C15:I15" si="21">C13*(1-0.1)</f>
        <v>0.15986250000000002</v>
      </c>
      <c r="D15" s="81">
        <f t="shared" si="21"/>
        <v>8.6751000000000009E-2</v>
      </c>
      <c r="E15" s="85">
        <f t="shared" si="3"/>
        <v>0.33336450000000006</v>
      </c>
      <c r="F15" s="84">
        <f t="shared" si="21"/>
        <v>4.3312500000000004E-2</v>
      </c>
      <c r="G15" s="81">
        <f t="shared" si="21"/>
        <v>0</v>
      </c>
      <c r="H15" s="81">
        <f t="shared" si="21"/>
        <v>0</v>
      </c>
      <c r="I15" s="81">
        <f t="shared" si="21"/>
        <v>0</v>
      </c>
      <c r="J15" s="85">
        <f t="shared" si="4"/>
        <v>0</v>
      </c>
      <c r="L15" s="79" t="s">
        <v>139</v>
      </c>
      <c r="M15" s="84">
        <v>9.2949999999999999</v>
      </c>
      <c r="N15" s="87">
        <f>B3+B5+B12+B12+B12++B17+B22</f>
        <v>1.1311460000000002</v>
      </c>
      <c r="O15" s="87">
        <f>C3+C5+C5+C12+C12+C12++C17+C22</f>
        <v>1.3279000000000001</v>
      </c>
      <c r="P15" s="87">
        <f>B3+B5+B12+B12+B12+B22</f>
        <v>1.0128260000000002</v>
      </c>
      <c r="Q15" s="90">
        <f t="shared" si="1"/>
        <v>3.4718720000000003</v>
      </c>
      <c r="R15" s="91">
        <f>F3+F5+F5+F12+F12+F12+F22+F17+F33+F33+F33</f>
        <v>0.43497124999999998</v>
      </c>
      <c r="S15" s="87">
        <f>G5+G17+G22+G33+G33+G33</f>
        <v>0.80949874999999993</v>
      </c>
      <c r="T15" s="87">
        <f>H17+H22+H33+H33+H33</f>
        <v>0.68285430000000003</v>
      </c>
      <c r="U15" s="87">
        <f>G5+G22+G33+G33+G33</f>
        <v>0.53249875000000002</v>
      </c>
      <c r="V15" s="90">
        <f t="shared" si="2"/>
        <v>2.0248518</v>
      </c>
      <c r="W15" s="45"/>
      <c r="X15" s="79" t="s">
        <v>150</v>
      </c>
      <c r="Y15" s="84">
        <v>9.1650000000000009</v>
      </c>
      <c r="Z15" s="92">
        <v>0.9761081340930623</v>
      </c>
      <c r="AA15" s="92">
        <v>0.8626630172274995</v>
      </c>
      <c r="AB15" s="92">
        <v>0.61782911759299841</v>
      </c>
      <c r="AC15" s="92">
        <v>0.82242871547134755</v>
      </c>
      <c r="AD15" s="93">
        <v>0.82603624671724685</v>
      </c>
      <c r="AE15" s="92">
        <v>0.96786750212108585</v>
      </c>
      <c r="AF15" s="92">
        <v>0.90086677658278658</v>
      </c>
      <c r="AG15" s="92">
        <v>0.48580897578195958</v>
      </c>
      <c r="AH15" s="92">
        <v>0.78399294215887472</v>
      </c>
      <c r="AJ15" s="103"/>
    </row>
    <row r="16" spans="1:36" x14ac:dyDescent="0.25">
      <c r="A16" s="79" t="s">
        <v>184</v>
      </c>
      <c r="B16" s="81">
        <f>0.485*0.34</f>
        <v>0.16490000000000002</v>
      </c>
      <c r="C16" s="83">
        <f>0.264*0.245</f>
        <v>6.4680000000000001E-2</v>
      </c>
      <c r="D16" s="83">
        <v>0</v>
      </c>
      <c r="E16" s="85">
        <f t="shared" si="3"/>
        <v>0.22958000000000001</v>
      </c>
      <c r="F16" s="86">
        <f>0.381*0.125</f>
        <v>4.7625000000000001E-2</v>
      </c>
      <c r="G16" s="81">
        <f>(0.673+0.201)*0.25</f>
        <v>0.21850000000000003</v>
      </c>
      <c r="H16" s="81">
        <f>0.052*0.19</f>
        <v>9.8799999999999999E-3</v>
      </c>
      <c r="I16" s="81">
        <v>0</v>
      </c>
      <c r="J16" s="85">
        <f t="shared" si="4"/>
        <v>0.22838000000000003</v>
      </c>
      <c r="L16" s="79" t="s">
        <v>149</v>
      </c>
      <c r="M16" s="84">
        <v>9.2949999999999999</v>
      </c>
      <c r="N16" s="87">
        <f>B3+B5+B12+B12+B12+B17+B22</f>
        <v>1.1311460000000002</v>
      </c>
      <c r="O16" s="87">
        <f>C3+C5+C12+C12+C12+C17+C17+C22</f>
        <v>1.2757150000000002</v>
      </c>
      <c r="P16" s="87">
        <f>B3+B12+B12+B12+B17+B22</f>
        <v>0.81868600000000002</v>
      </c>
      <c r="Q16" s="90">
        <f t="shared" si="1"/>
        <v>3.2255470000000006</v>
      </c>
      <c r="R16" s="91">
        <f>F3+F5+F12+F12+F12+F22+F17+F17+F33+F33+F33</f>
        <v>0.47097124999999995</v>
      </c>
      <c r="S16" s="87">
        <f>G5+G17+G22+G33+G33+G33</f>
        <v>0.80949874999999993</v>
      </c>
      <c r="T16" s="87">
        <f>H17+H17+H22+H33+H33+H33</f>
        <v>0.70584429999999998</v>
      </c>
      <c r="U16" s="87">
        <f>G17+G22+G33+G33+G33</f>
        <v>0.66249875000000003</v>
      </c>
      <c r="V16" s="90">
        <f t="shared" si="2"/>
        <v>2.1778417999999999</v>
      </c>
      <c r="W16" s="45"/>
      <c r="X16" s="79" t="s">
        <v>138</v>
      </c>
      <c r="Y16" s="84">
        <v>9.1650000000000009</v>
      </c>
      <c r="Z16" s="92">
        <v>0.87770158496755157</v>
      </c>
      <c r="AA16" s="92">
        <v>0.83030107873128312</v>
      </c>
      <c r="AB16" s="92">
        <v>0.87770158496755157</v>
      </c>
      <c r="AC16" s="92">
        <v>0.8593313540883244</v>
      </c>
      <c r="AD16" s="93">
        <v>0.73152841834834903</v>
      </c>
      <c r="AE16" s="92">
        <v>0.65293775731934534</v>
      </c>
      <c r="AF16" s="92">
        <v>0.87414236162108983</v>
      </c>
      <c r="AG16" s="92">
        <v>0.65293775731934534</v>
      </c>
      <c r="AH16" s="92">
        <v>0.7255860923513503</v>
      </c>
      <c r="AJ16" s="103"/>
    </row>
    <row r="17" spans="1:36" x14ac:dyDescent="0.25">
      <c r="A17" s="79" t="s">
        <v>185</v>
      </c>
      <c r="B17" s="81">
        <f>0.348*0.34</f>
        <v>0.11831999999999999</v>
      </c>
      <c r="C17" s="83">
        <f>0.201*0.245</f>
        <v>4.9245000000000004E-2</v>
      </c>
      <c r="D17" s="83">
        <v>0</v>
      </c>
      <c r="E17" s="85">
        <f t="shared" si="3"/>
        <v>0.16756499999999999</v>
      </c>
      <c r="F17" s="86">
        <f>0.455*0.125</f>
        <v>5.6875000000000002E-2</v>
      </c>
      <c r="G17" s="81">
        <f>(0.864+0.244)*0.25</f>
        <v>0.27700000000000002</v>
      </c>
      <c r="H17" s="81">
        <f>0.121*0.19</f>
        <v>2.299E-2</v>
      </c>
      <c r="I17" s="81">
        <v>0</v>
      </c>
      <c r="J17" s="85">
        <f t="shared" si="4"/>
        <v>0.29999000000000003</v>
      </c>
      <c r="L17" s="79" t="s">
        <v>145</v>
      </c>
      <c r="M17" s="84">
        <v>9.293000000000001</v>
      </c>
      <c r="N17" s="87">
        <f>B3+B5+B11+B11+B17+B24+B24+B24</f>
        <v>1.1007792399999998</v>
      </c>
      <c r="O17" s="87">
        <f>C3+C5+C5+C11+C11+C17+C24+C24+C24</f>
        <v>1.2833100000000004</v>
      </c>
      <c r="P17" s="87">
        <f>B3+B5+B11+B11+B24+B24+B24</f>
        <v>0.98245923999999984</v>
      </c>
      <c r="Q17" s="90">
        <f t="shared" si="1"/>
        <v>3.3665484799999996</v>
      </c>
      <c r="R17" s="91">
        <f>F3+F5+F5+F11+F11+F24+F24+F24+F17+F32+F32</f>
        <v>0.56079350000000006</v>
      </c>
      <c r="S17" s="87">
        <f>G5+G24+G24+G24+G17+G32+G32</f>
        <v>0.78773499999999985</v>
      </c>
      <c r="T17" s="87">
        <f>H24+H24+H24+H17+H32+H32</f>
        <v>0.68644434999999993</v>
      </c>
      <c r="U17" s="87">
        <f>G5+G24+G24+G24+G32+G32</f>
        <v>0.51073499999999994</v>
      </c>
      <c r="V17" s="90">
        <f t="shared" si="2"/>
        <v>1.9849143499999997</v>
      </c>
      <c r="W17" s="45"/>
      <c r="X17" s="79" t="s">
        <v>154</v>
      </c>
      <c r="Y17" s="84">
        <v>9.0650000000000013</v>
      </c>
      <c r="Z17" s="92">
        <v>0.74012753262544717</v>
      </c>
      <c r="AA17" s="92">
        <v>0.83432619545966846</v>
      </c>
      <c r="AB17" s="92">
        <v>0.74012753262544717</v>
      </c>
      <c r="AC17" s="92">
        <v>0.77663455168878071</v>
      </c>
      <c r="AD17" s="93">
        <v>1</v>
      </c>
      <c r="AE17" s="92">
        <v>0.72847115536297213</v>
      </c>
      <c r="AF17" s="92">
        <v>0.82467237744591892</v>
      </c>
      <c r="AG17" s="92">
        <v>0.72847115536297213</v>
      </c>
      <c r="AH17" s="92">
        <v>0.76006569940255608</v>
      </c>
      <c r="AJ17" s="103"/>
    </row>
    <row r="18" spans="1:36" x14ac:dyDescent="0.25">
      <c r="A18" s="79" t="s">
        <v>186</v>
      </c>
      <c r="B18" s="81">
        <f>0.18*0.34</f>
        <v>6.1200000000000004E-2</v>
      </c>
      <c r="C18" s="83">
        <f>0.068*0.245</f>
        <v>1.6660000000000001E-2</v>
      </c>
      <c r="D18" s="83">
        <v>0</v>
      </c>
      <c r="E18" s="85">
        <f t="shared" si="3"/>
        <v>7.7860000000000013E-2</v>
      </c>
      <c r="F18" s="86">
        <f>0.305*0.125</f>
        <v>3.8124999999999999E-2</v>
      </c>
      <c r="G18" s="81">
        <f>(1+0.286)*0.25</f>
        <v>0.32150000000000001</v>
      </c>
      <c r="H18" s="81">
        <f>0.135*0.19</f>
        <v>2.5650000000000003E-2</v>
      </c>
      <c r="I18" s="81">
        <v>0</v>
      </c>
      <c r="J18" s="85">
        <f t="shared" si="4"/>
        <v>0.34715000000000001</v>
      </c>
      <c r="L18" s="79" t="s">
        <v>153</v>
      </c>
      <c r="M18" s="84">
        <v>9.293000000000001</v>
      </c>
      <c r="N18" s="87">
        <f>B3+B5+B11+B11+B17+B24+B24+B24</f>
        <v>1.1007792399999998</v>
      </c>
      <c r="O18" s="87">
        <f>C3+C5+C11+C11+C17+C17+C24+C24+C24</f>
        <v>1.2311250000000002</v>
      </c>
      <c r="P18" s="87">
        <f>D3+D11+D11+D17+D24+D24+D24</f>
        <v>0.66999923999999988</v>
      </c>
      <c r="Q18" s="90">
        <f t="shared" si="1"/>
        <v>3.0019034800000002</v>
      </c>
      <c r="R18" s="91">
        <f>F3+F5+F11+F11+F24+F24+F24+F17+F17+F32+F32</f>
        <v>0.59679350000000009</v>
      </c>
      <c r="S18" s="87">
        <f>G5+G17+G24+G24+G24+G32+G32</f>
        <v>0.78773499999999996</v>
      </c>
      <c r="T18" s="87">
        <f>H17+H17+H24+H24+H24+H32+H32</f>
        <v>0.70943434999999999</v>
      </c>
      <c r="U18" s="87">
        <f>G17+G24+G24+G24+G32+G32</f>
        <v>0.64073499999999994</v>
      </c>
      <c r="V18" s="90">
        <f t="shared" si="2"/>
        <v>2.1379043499999999</v>
      </c>
      <c r="W18" s="45"/>
      <c r="X18" s="79" t="s">
        <v>153</v>
      </c>
      <c r="Y18" s="84">
        <v>9.293000000000001</v>
      </c>
      <c r="Z18" s="92">
        <v>0.91551628091110882</v>
      </c>
      <c r="AA18" s="92">
        <v>0.80904846240540984</v>
      </c>
      <c r="AB18" s="92">
        <v>0.55723726441104526</v>
      </c>
      <c r="AC18" s="92">
        <v>0.76454093851054383</v>
      </c>
      <c r="AD18" s="93">
        <v>0.94061551252322317</v>
      </c>
      <c r="AE18" s="92">
        <v>0.895599936900358</v>
      </c>
      <c r="AF18" s="92">
        <v>0.82467237744591892</v>
      </c>
      <c r="AG18" s="92">
        <v>0.72847115536297213</v>
      </c>
      <c r="AH18" s="92">
        <v>0.81618575248907232</v>
      </c>
      <c r="AJ18" s="103"/>
    </row>
    <row r="19" spans="1:36" x14ac:dyDescent="0.25">
      <c r="A19" s="79" t="s">
        <v>187</v>
      </c>
      <c r="B19" s="81">
        <f>(0.27+0.135)/2*0.34</f>
        <v>6.8850000000000008E-2</v>
      </c>
      <c r="C19" s="81">
        <f>0.594*0.245</f>
        <v>0.14552999999999999</v>
      </c>
      <c r="D19" s="81">
        <f>B19</f>
        <v>6.8850000000000008E-2</v>
      </c>
      <c r="E19" s="85">
        <f t="shared" si="3"/>
        <v>0.28323000000000004</v>
      </c>
      <c r="F19" s="86">
        <f>0.944*0.125</f>
        <v>0.11799999999999999</v>
      </c>
      <c r="G19" s="81">
        <f>(0.13+0.065)/2*0.25</f>
        <v>2.4375000000000001E-2</v>
      </c>
      <c r="H19" s="81">
        <f>(0.175+0.12)*0.19</f>
        <v>5.6049999999999996E-2</v>
      </c>
      <c r="I19" s="81">
        <f>G19</f>
        <v>2.4375000000000001E-2</v>
      </c>
      <c r="J19" s="85">
        <f t="shared" si="4"/>
        <v>0.1048</v>
      </c>
      <c r="L19" s="79">
        <v>550</v>
      </c>
      <c r="M19" s="84">
        <v>9.1749999999999989</v>
      </c>
      <c r="N19" s="87">
        <f>B3+B5+B12+B12+B12+B17+B24+B24+B24</f>
        <v>1.202359</v>
      </c>
      <c r="O19" s="87">
        <f>C3+C5+C5+C12+C12+C12+C17+C17+C24+C24+C24</f>
        <v>1.5216950000000002</v>
      </c>
      <c r="P19" s="87">
        <f>N19</f>
        <v>1.202359</v>
      </c>
      <c r="Q19" s="90">
        <f t="shared" si="1"/>
        <v>3.9264130000000002</v>
      </c>
      <c r="R19" s="91">
        <f>F3+F5+F5+F12+F12+F12+F24+F24+F24+F17+F17</f>
        <v>0.54452500000000004</v>
      </c>
      <c r="S19" s="87">
        <f>G5+G17+G24+G24+G24</f>
        <v>0.54156250000000006</v>
      </c>
      <c r="T19" s="87">
        <f>H17+H17+H24+H24+H24</f>
        <v>0.30508774999999999</v>
      </c>
      <c r="U19" s="87">
        <f>S19</f>
        <v>0.54156250000000006</v>
      </c>
      <c r="V19" s="90">
        <f t="shared" si="2"/>
        <v>1.3882127500000001</v>
      </c>
      <c r="W19" s="45"/>
      <c r="X19" s="79" t="s">
        <v>152</v>
      </c>
      <c r="Y19" s="84">
        <v>9.3650000000000002</v>
      </c>
      <c r="Z19" s="92">
        <v>0.81002106691928111</v>
      </c>
      <c r="AA19" s="92">
        <v>0.72049589438093697</v>
      </c>
      <c r="AB19" s="92">
        <v>0.81002106691928111</v>
      </c>
      <c r="AC19" s="92">
        <v>0.77532527525759509</v>
      </c>
      <c r="AD19" s="93">
        <v>0.93036918536497926</v>
      </c>
      <c r="AE19" s="92">
        <v>0.895599936900358</v>
      </c>
      <c r="AF19" s="92">
        <v>0.82467237744591892</v>
      </c>
      <c r="AG19" s="92">
        <v>0.895599936900358</v>
      </c>
      <c r="AH19" s="92">
        <v>0.87230580557558846</v>
      </c>
      <c r="AJ19" s="103"/>
    </row>
    <row r="20" spans="1:36" x14ac:dyDescent="0.25">
      <c r="A20" s="79" t="s">
        <v>188</v>
      </c>
      <c r="B20" s="81">
        <f>B19*(1-0.06)</f>
        <v>6.4718999999999999E-2</v>
      </c>
      <c r="C20" s="81">
        <f t="shared" ref="C20:I20" si="22">C19*(1-0.06)</f>
        <v>0.13679819999999998</v>
      </c>
      <c r="D20" s="81">
        <f t="shared" si="22"/>
        <v>6.4718999999999999E-2</v>
      </c>
      <c r="E20" s="85">
        <f t="shared" si="3"/>
        <v>0.26623619999999998</v>
      </c>
      <c r="F20" s="84">
        <f t="shared" si="22"/>
        <v>0.11091999999999999</v>
      </c>
      <c r="G20" s="81">
        <f t="shared" si="22"/>
        <v>2.2912499999999999E-2</v>
      </c>
      <c r="H20" s="81">
        <f t="shared" si="22"/>
        <v>5.2686999999999991E-2</v>
      </c>
      <c r="I20" s="81">
        <f t="shared" si="22"/>
        <v>2.2912499999999999E-2</v>
      </c>
      <c r="J20" s="85">
        <f t="shared" si="4"/>
        <v>9.8511999999999988E-2</v>
      </c>
      <c r="L20" s="79" t="s">
        <v>141</v>
      </c>
      <c r="M20" s="84">
        <v>9.1750000000000007</v>
      </c>
      <c r="N20" s="87">
        <f>B3+B5+B12+B12+B12+B17+B24+B24+B24</f>
        <v>1.202359</v>
      </c>
      <c r="O20" s="87">
        <f>C3+C5+C12+C12+C12+C17+C17+C24+C24+C24</f>
        <v>1.4202650000000003</v>
      </c>
      <c r="P20" s="87">
        <f>B3+B12+B12+B12+B17+B24+B24+B24</f>
        <v>0.889899</v>
      </c>
      <c r="Q20" s="90">
        <f t="shared" si="1"/>
        <v>3.5125230000000003</v>
      </c>
      <c r="R20" s="91">
        <f>F3+F5+F12+F12+F12+F24+F24+F24+F17+F17+F31</f>
        <v>0.57440000000000002</v>
      </c>
      <c r="S20" s="87">
        <f>G5+G17+G24+G24+G24+G31</f>
        <v>0.67181250000000003</v>
      </c>
      <c r="T20" s="87">
        <f>H17+H17+H24+H24+H24+H31</f>
        <v>0.51902775000000001</v>
      </c>
      <c r="U20" s="87">
        <f>G17+G24+G24+G24+G31</f>
        <v>0.52481250000000002</v>
      </c>
      <c r="V20" s="90">
        <f t="shared" si="2"/>
        <v>1.7156527500000003</v>
      </c>
      <c r="W20" s="45"/>
      <c r="X20" s="79" t="s">
        <v>149</v>
      </c>
      <c r="Y20" s="84">
        <v>9.2949999999999999</v>
      </c>
      <c r="Z20" s="92">
        <v>0.9407722651886834</v>
      </c>
      <c r="AA20" s="92">
        <v>0.83835131218805348</v>
      </c>
      <c r="AB20" s="92">
        <v>0.68089979781413046</v>
      </c>
      <c r="AC20" s="92">
        <v>0.8214996741300522</v>
      </c>
      <c r="AD20" s="93">
        <v>0.74230510838749575</v>
      </c>
      <c r="AE20" s="92">
        <v>0.92034380777916258</v>
      </c>
      <c r="AF20" s="92">
        <v>0.82049917231615643</v>
      </c>
      <c r="AG20" s="92">
        <v>0.75321502624177683</v>
      </c>
      <c r="AH20" s="92">
        <v>0.83143263557846059</v>
      </c>
      <c r="AJ20" s="103"/>
    </row>
    <row r="21" spans="1:36" x14ac:dyDescent="0.25">
      <c r="A21" s="79" t="s">
        <v>189</v>
      </c>
      <c r="B21" s="81">
        <f>B19*(1-0.175)</f>
        <v>5.6801250000000005E-2</v>
      </c>
      <c r="C21" s="81">
        <f t="shared" ref="C21:I21" si="23">C19*(1-0.175)</f>
        <v>0.12006224999999998</v>
      </c>
      <c r="D21" s="81">
        <f t="shared" si="23"/>
        <v>5.6801250000000005E-2</v>
      </c>
      <c r="E21" s="85">
        <f t="shared" si="3"/>
        <v>0.23366474999999998</v>
      </c>
      <c r="F21" s="84">
        <f t="shared" si="23"/>
        <v>9.7349999999999992E-2</v>
      </c>
      <c r="G21" s="81">
        <f t="shared" si="23"/>
        <v>2.0109374999999999E-2</v>
      </c>
      <c r="H21" s="81">
        <f t="shared" si="23"/>
        <v>4.6241249999999991E-2</v>
      </c>
      <c r="I21" s="81">
        <f t="shared" si="23"/>
        <v>2.0109374999999999E-2</v>
      </c>
      <c r="J21" s="85">
        <f t="shared" si="4"/>
        <v>8.6459999999999995E-2</v>
      </c>
      <c r="L21" s="79" t="s">
        <v>134</v>
      </c>
      <c r="M21" s="84">
        <v>9.1749999999999989</v>
      </c>
      <c r="N21" s="87">
        <f>B3+B5+B12+B12+B12++B17+B24+B24+B24</f>
        <v>1.202359</v>
      </c>
      <c r="O21" s="87">
        <f>C3+C5+C5+C12+C12+C12++C17+C24+C24+C24</f>
        <v>1.4724500000000003</v>
      </c>
      <c r="P21" s="87">
        <f>B3+B5+B12+B12+B12+B24+B24+B24</f>
        <v>1.084039</v>
      </c>
      <c r="Q21" s="90">
        <f t="shared" si="1"/>
        <v>3.758848</v>
      </c>
      <c r="R21" s="91">
        <f>F3+F5+F5+F12+F12+F12+F24+F24+F24+F17+F32</f>
        <v>0.53560875000000008</v>
      </c>
      <c r="S21" s="87">
        <f>G5+G17+G24+G24+G24+G31</f>
        <v>0.67181250000000003</v>
      </c>
      <c r="T21" s="87">
        <f>H17+H24+H24+H24+H31</f>
        <v>0.49603774999999994</v>
      </c>
      <c r="U21" s="87">
        <f>G5+G24+G24+G24+G31</f>
        <v>0.39481250000000001</v>
      </c>
      <c r="V21" s="90">
        <f t="shared" si="2"/>
        <v>1.5626627499999999</v>
      </c>
      <c r="W21" s="45"/>
      <c r="X21" s="79" t="s">
        <v>146</v>
      </c>
      <c r="Y21" s="84">
        <v>9.5229999999999997</v>
      </c>
      <c r="Z21" s="92">
        <v>0.85628854609979221</v>
      </c>
      <c r="AA21" s="92">
        <v>0.78071164063757847</v>
      </c>
      <c r="AB21" s="92">
        <v>0.85628854609979221</v>
      </c>
      <c r="AC21" s="92">
        <v>0.82699845380503778</v>
      </c>
      <c r="AD21" s="93">
        <v>0.7393120649674827</v>
      </c>
      <c r="AE21" s="92">
        <v>0.92034380777916258</v>
      </c>
      <c r="AF21" s="92">
        <v>0.82049917231615643</v>
      </c>
      <c r="AG21" s="92">
        <v>0.92034380777916258</v>
      </c>
      <c r="AH21" s="92">
        <v>0.88755268866497661</v>
      </c>
      <c r="AJ21" s="103"/>
    </row>
    <row r="22" spans="1:36" x14ac:dyDescent="0.25">
      <c r="A22" s="79" t="s">
        <v>190</v>
      </c>
      <c r="B22" s="81">
        <f>(0.189+0.095)/2*0.34</f>
        <v>4.828000000000001E-2</v>
      </c>
      <c r="C22" s="81">
        <f>0.4*0.245</f>
        <v>9.8000000000000004E-2</v>
      </c>
      <c r="D22" s="81">
        <f>B22</f>
        <v>4.828000000000001E-2</v>
      </c>
      <c r="E22" s="85">
        <f t="shared" si="3"/>
        <v>0.19456000000000004</v>
      </c>
      <c r="F22" s="86">
        <f>1*0.125</f>
        <v>0.125</v>
      </c>
      <c r="G22" s="81">
        <f>(0.253+0.127)/2*0.25</f>
        <v>4.7500000000000001E-2</v>
      </c>
      <c r="H22" s="81">
        <f>(0.341+0.21)*0.19</f>
        <v>0.10469000000000001</v>
      </c>
      <c r="I22" s="81">
        <f>G22</f>
        <v>4.7500000000000001E-2</v>
      </c>
      <c r="J22" s="85">
        <f t="shared" si="4"/>
        <v>0.19968999999999998</v>
      </c>
      <c r="L22" s="79" t="s">
        <v>138</v>
      </c>
      <c r="M22" s="84">
        <v>9.1650000000000009</v>
      </c>
      <c r="N22" s="87">
        <f>B3+B5+B12+B12+B12+B23+B23</f>
        <v>1.0553124000000003</v>
      </c>
      <c r="O22" s="87">
        <f>C3+C5+C12+C12+C12+C23+C23</f>
        <v>1.2634650000000001</v>
      </c>
      <c r="P22" s="87">
        <f>N22</f>
        <v>1.0553124000000003</v>
      </c>
      <c r="Q22" s="90">
        <f t="shared" si="1"/>
        <v>3.3740898000000001</v>
      </c>
      <c r="R22" s="91">
        <f>F5+F5+F9+F9+F9+F23+F23+F33+F33+F33</f>
        <v>0.46413374999999996</v>
      </c>
      <c r="S22" s="87">
        <f>G5+G23+G23+G33+G33+G33</f>
        <v>0.57429874999999997</v>
      </c>
      <c r="T22" s="87">
        <f>H23+H23+H33+H33+H33</f>
        <v>0.75199150000000003</v>
      </c>
      <c r="U22" s="87">
        <f>S22</f>
        <v>0.57429874999999997</v>
      </c>
      <c r="V22" s="90">
        <f t="shared" si="2"/>
        <v>1.9005890000000001</v>
      </c>
      <c r="X22" s="79" t="s">
        <v>145</v>
      </c>
      <c r="Y22" s="84">
        <v>9.293000000000001</v>
      </c>
      <c r="Z22" s="92">
        <v>0.91551628091110882</v>
      </c>
      <c r="AA22" s="92">
        <v>0.84334245693125109</v>
      </c>
      <c r="AB22" s="92">
        <v>0.81710973178559809</v>
      </c>
      <c r="AC22" s="92">
        <v>0.85741069011334248</v>
      </c>
      <c r="AD22" s="93">
        <v>0.88387535290212127</v>
      </c>
      <c r="AE22" s="92">
        <v>0.89559993690035788</v>
      </c>
      <c r="AF22" s="92">
        <v>0.79794796248422206</v>
      </c>
      <c r="AG22" s="92">
        <v>0.58067019209861725</v>
      </c>
      <c r="AH22" s="92">
        <v>0.75777890268154779</v>
      </c>
      <c r="AJ22" s="103"/>
    </row>
    <row r="23" spans="1:36" x14ac:dyDescent="0.25">
      <c r="A23" s="79" t="s">
        <v>191</v>
      </c>
      <c r="B23" s="81">
        <f>B22*(1-0.06)</f>
        <v>4.5383200000000005E-2</v>
      </c>
      <c r="C23" s="81">
        <f t="shared" ref="C23" si="24">C22*(1-0.06)</f>
        <v>9.2119999999999994E-2</v>
      </c>
      <c r="D23" s="81">
        <f t="shared" ref="D23" si="25">D22*(1-0.06)</f>
        <v>4.5383200000000005E-2</v>
      </c>
      <c r="E23" s="85">
        <f t="shared" si="3"/>
        <v>0.1828864</v>
      </c>
      <c r="F23" s="84">
        <f t="shared" ref="F23" si="26">F22*(1-0.06)</f>
        <v>0.11749999999999999</v>
      </c>
      <c r="G23" s="81">
        <f t="shared" ref="G23" si="27">G22*(1-0.06)</f>
        <v>4.4649999999999995E-2</v>
      </c>
      <c r="H23" s="81">
        <f t="shared" ref="H23" si="28">H22*(1-0.06)</f>
        <v>9.8408599999999999E-2</v>
      </c>
      <c r="I23" s="81">
        <f t="shared" ref="I23" si="29">I22*(1-0.06)</f>
        <v>4.4649999999999995E-2</v>
      </c>
      <c r="J23" s="85">
        <f t="shared" si="4"/>
        <v>0.18770859999999998</v>
      </c>
      <c r="L23" s="79" t="s">
        <v>150</v>
      </c>
      <c r="M23" s="84">
        <v>9.1650000000000009</v>
      </c>
      <c r="N23" s="87">
        <f>B3+B5+B12+B12+B12+B17+B23+B23</f>
        <v>1.1736324000000002</v>
      </c>
      <c r="O23" s="87">
        <f>C3+C5+C12+C12+C12+C17+C23+C23</f>
        <v>1.31271</v>
      </c>
      <c r="P23" s="87">
        <f>B3+B12+B12+B12+B23+B23</f>
        <v>0.74285239999999997</v>
      </c>
      <c r="Q23" s="90">
        <f t="shared" si="1"/>
        <v>3.2291948000000001</v>
      </c>
      <c r="R23" s="91">
        <f>F5+F12+F12+F12+F17+F23+F23+F33+F33+F33</f>
        <v>0.52409625000000004</v>
      </c>
      <c r="S23" s="87">
        <f>G5+G17+G23+G23+G33+G33+G33</f>
        <v>0.85129874999999988</v>
      </c>
      <c r="T23" s="87">
        <f>H17+H23+H23+H33+H33+H33</f>
        <v>0.77498149999999999</v>
      </c>
      <c r="U23" s="87">
        <f>G23+G23+G33+G33+G33</f>
        <v>0.42729875000000006</v>
      </c>
      <c r="V23" s="90">
        <f t="shared" si="2"/>
        <v>2.053579</v>
      </c>
      <c r="X23" s="79" t="s">
        <v>144</v>
      </c>
      <c r="Y23" s="84">
        <v>9.0649999999999995</v>
      </c>
      <c r="Z23" s="92">
        <v>1</v>
      </c>
      <c r="AA23" s="92">
        <v>0.9009821284817261</v>
      </c>
      <c r="AB23" s="92">
        <v>0.64172098349993645</v>
      </c>
      <c r="AC23" s="92">
        <v>0.8519119104383569</v>
      </c>
      <c r="AD23" s="93">
        <v>0.85956219450447913</v>
      </c>
      <c r="AE23" s="92">
        <v>0.895599936900358</v>
      </c>
      <c r="AF23" s="92">
        <v>0.79794796248422206</v>
      </c>
      <c r="AG23" s="92">
        <v>0.4135414105612315</v>
      </c>
      <c r="AH23" s="92">
        <v>0.70165884959503166</v>
      </c>
      <c r="AJ23" s="103"/>
    </row>
    <row r="24" spans="1:36" x14ac:dyDescent="0.25">
      <c r="A24" s="79" t="s">
        <v>192</v>
      </c>
      <c r="B24" s="81">
        <f>B22*(1-0.175)</f>
        <v>3.9831000000000005E-2</v>
      </c>
      <c r="C24" s="81">
        <f t="shared" ref="C24:I24" si="30">C22*(1-0.175)</f>
        <v>8.0850000000000005E-2</v>
      </c>
      <c r="D24" s="81">
        <f t="shared" si="30"/>
        <v>3.9831000000000005E-2</v>
      </c>
      <c r="E24" s="85">
        <f t="shared" si="3"/>
        <v>0.16051200000000002</v>
      </c>
      <c r="F24" s="84">
        <f t="shared" si="30"/>
        <v>0.10312499999999999</v>
      </c>
      <c r="G24" s="81">
        <f t="shared" si="30"/>
        <v>3.91875E-2</v>
      </c>
      <c r="H24" s="81">
        <f t="shared" si="30"/>
        <v>8.6369249999999995E-2</v>
      </c>
      <c r="I24" s="81">
        <f t="shared" si="30"/>
        <v>3.91875E-2</v>
      </c>
      <c r="J24" s="85">
        <f t="shared" si="4"/>
        <v>0.16474424999999998</v>
      </c>
      <c r="L24" s="79" t="s">
        <v>159</v>
      </c>
      <c r="M24" s="84">
        <v>9.1650000000000009</v>
      </c>
      <c r="N24" s="87">
        <f>B3+B12+B12+B12+B23+B23+B17</f>
        <v>0.86117239999999995</v>
      </c>
      <c r="O24" s="87">
        <f>C3+C12+C12+C12+C23+C23+C17+C17</f>
        <v>1.2605250000000001</v>
      </c>
      <c r="P24" s="87">
        <f>N24</f>
        <v>0.86117239999999995</v>
      </c>
      <c r="Q24" s="90">
        <f t="shared" si="1"/>
        <v>2.9828698</v>
      </c>
      <c r="R24" s="91">
        <f>F12+F12+F12+F17+F17+F24+F24+F24+F33++F33</f>
        <v>0.59057250000000006</v>
      </c>
      <c r="S24" s="87">
        <f>G17+G24+G24+G24+G33+G33+G33</f>
        <v>0.73256124999999994</v>
      </c>
      <c r="T24" s="87">
        <f>H17+H17+H24+H24+H24+H33+H33+H33</f>
        <v>0.86026205</v>
      </c>
      <c r="U24" s="87">
        <f>S24</f>
        <v>0.73256124999999994</v>
      </c>
      <c r="V24" s="90">
        <f t="shared" si="2"/>
        <v>2.3253845499999999</v>
      </c>
      <c r="X24" s="79" t="s">
        <v>139</v>
      </c>
      <c r="Y24" s="84">
        <v>9.2949999999999999</v>
      </c>
      <c r="Z24" s="92">
        <v>0.9407722651886834</v>
      </c>
      <c r="AA24" s="92">
        <v>0.87264530671389462</v>
      </c>
      <c r="AB24" s="92">
        <v>0.84236571606317268</v>
      </c>
      <c r="AC24" s="92">
        <v>0.88423505117775436</v>
      </c>
      <c r="AD24" s="93">
        <v>0.68556494876639396</v>
      </c>
      <c r="AE24" s="92">
        <v>0.92034380777916258</v>
      </c>
      <c r="AF24" s="92">
        <v>0.79377475735445968</v>
      </c>
      <c r="AG24" s="92">
        <v>0.60541406297742206</v>
      </c>
      <c r="AH24" s="92">
        <v>0.77302578577093617</v>
      </c>
      <c r="AJ24" s="103"/>
    </row>
    <row r="25" spans="1:36" x14ac:dyDescent="0.25">
      <c r="A25" s="79" t="s">
        <v>193</v>
      </c>
      <c r="B25" s="81">
        <f>(0.077+0.038)/2*0.34</f>
        <v>1.9550000000000001E-2</v>
      </c>
      <c r="C25" s="81">
        <f>0.162*0.245</f>
        <v>3.9690000000000003E-2</v>
      </c>
      <c r="D25" s="81">
        <f>B25</f>
        <v>1.9550000000000001E-2</v>
      </c>
      <c r="E25" s="85">
        <f t="shared" si="3"/>
        <v>7.8789999999999999E-2</v>
      </c>
      <c r="F25" s="86">
        <f>0.944*0.125</f>
        <v>0.11799999999999999</v>
      </c>
      <c r="G25" s="81">
        <f>(0.251+0.126)/2*0.25</f>
        <v>4.7125E-2</v>
      </c>
      <c r="H25" s="81">
        <f>(0.507+0.31)*0.19</f>
        <v>0.15522999999999998</v>
      </c>
      <c r="I25" s="81">
        <f>G25</f>
        <v>4.7125E-2</v>
      </c>
      <c r="J25" s="85">
        <f t="shared" si="4"/>
        <v>0.24947999999999998</v>
      </c>
      <c r="L25" s="79" t="s">
        <v>156</v>
      </c>
      <c r="M25" s="84">
        <v>9.07</v>
      </c>
      <c r="N25" s="87">
        <f>B3+B5+B10+B17+B24+B24+B24</f>
        <v>0.9786729999999999</v>
      </c>
      <c r="O25" s="87">
        <f>C3+C5++C5+C10+C17+C24+C24+C24</f>
        <v>1.0559499999999999</v>
      </c>
      <c r="P25" s="87">
        <f>B3+B10+B24+B24+B24+B5</f>
        <v>0.86035299999999992</v>
      </c>
      <c r="Q25" s="90">
        <f t="shared" si="1"/>
        <v>2.8949759999999998</v>
      </c>
      <c r="R25" s="91">
        <f>F5+F5+F17+F24+F24+F24+F33+F33+F33</f>
        <v>0.53969624999999999</v>
      </c>
      <c r="S25" s="87">
        <f>G5+G17+G24+G24+G24+G33+G33+G33</f>
        <v>0.87956124999999996</v>
      </c>
      <c r="T25" s="87">
        <f>H5+H17+H24+H24+H24+H33+H33+H33</f>
        <v>0.83727204999999993</v>
      </c>
      <c r="U25" s="87">
        <f>G5+G24+G24+G24+G33+G33+G33</f>
        <v>0.60256125000000005</v>
      </c>
      <c r="V25" s="90">
        <f t="shared" si="2"/>
        <v>2.3193945500000002</v>
      </c>
      <c r="X25" s="79" t="s">
        <v>143</v>
      </c>
      <c r="Y25" s="84">
        <v>9.4600000000000009</v>
      </c>
      <c r="Z25" s="92">
        <v>0.9761081340930623</v>
      </c>
      <c r="AA25" s="92">
        <v>0.89502495572371588</v>
      </c>
      <c r="AB25" s="92">
        <v>0.71623566671850913</v>
      </c>
      <c r="AC25" s="92">
        <v>0.86510507172831796</v>
      </c>
      <c r="AD25" s="93">
        <v>0.85928637428409871</v>
      </c>
      <c r="AE25" s="92">
        <v>0.86346743902144385</v>
      </c>
      <c r="AF25" s="92">
        <v>0.75226356899040236</v>
      </c>
      <c r="AG25" s="92">
        <v>0.6963386574840581</v>
      </c>
      <c r="AH25" s="92">
        <v>0.77082565062850339</v>
      </c>
      <c r="AJ25" s="103"/>
    </row>
    <row r="26" spans="1:36" x14ac:dyDescent="0.25">
      <c r="A26" s="79" t="s">
        <v>194</v>
      </c>
      <c r="B26" s="81">
        <f>B25*(1-0.06)</f>
        <v>1.8377000000000001E-2</v>
      </c>
      <c r="C26" s="81">
        <f t="shared" ref="C26" si="31">C25*(1-0.06)</f>
        <v>3.7308599999999997E-2</v>
      </c>
      <c r="D26" s="81">
        <f t="shared" ref="D26" si="32">D25*(1-0.06)</f>
        <v>1.8377000000000001E-2</v>
      </c>
      <c r="E26" s="85">
        <f t="shared" si="3"/>
        <v>7.4062600000000006E-2</v>
      </c>
      <c r="F26" s="84">
        <f t="shared" ref="F26" si="33">F25*(1-0.06)</f>
        <v>0.11091999999999999</v>
      </c>
      <c r="G26" s="81">
        <f t="shared" ref="G26" si="34">G25*(1-0.06)</f>
        <v>4.4297499999999997E-2</v>
      </c>
      <c r="H26" s="81">
        <f t="shared" ref="H26" si="35">H25*(1-0.06)</f>
        <v>0.14591619999999997</v>
      </c>
      <c r="I26" s="81">
        <f t="shared" ref="I26" si="36">I25*(1-0.06)</f>
        <v>4.4297499999999997E-2</v>
      </c>
      <c r="J26" s="85">
        <f t="shared" si="4"/>
        <v>0.23451119999999995</v>
      </c>
      <c r="L26" s="79" t="s">
        <v>161</v>
      </c>
      <c r="M26" s="84">
        <v>9.07</v>
      </c>
      <c r="N26" s="87">
        <f>B3+B5+B24+B24+B24+B17</f>
        <v>0.84709299999999987</v>
      </c>
      <c r="O26" s="87">
        <f>C3+C5+C24+C24+C24+C17</f>
        <v>0.70951999999999993</v>
      </c>
      <c r="P26" s="87">
        <f>N26</f>
        <v>0.84709299999999987</v>
      </c>
      <c r="Q26" s="90">
        <f t="shared" si="1"/>
        <v>2.4037059999999997</v>
      </c>
      <c r="R26" s="91">
        <f>F5+F5+F17+F17+F24+F24+F24+F33+F33+F33</f>
        <v>0.59657125</v>
      </c>
      <c r="S26" s="87">
        <f>G5+G17+G24+G24+G24+G33+G33+G33</f>
        <v>0.87956124999999996</v>
      </c>
      <c r="T26" s="87">
        <f>H17+H17+H24+H24+H24+H33+H33+H33</f>
        <v>0.86026205</v>
      </c>
      <c r="U26" s="87">
        <f>S26</f>
        <v>0.87956124999999996</v>
      </c>
      <c r="V26" s="90">
        <f t="shared" si="2"/>
        <v>2.6193845499999999</v>
      </c>
      <c r="X26" s="79" t="s">
        <v>142</v>
      </c>
      <c r="Y26" s="84">
        <v>9.6880000000000006</v>
      </c>
      <c r="Z26" s="92">
        <v>0.89162441500417111</v>
      </c>
      <c r="AA26" s="92">
        <v>0.83738528417324098</v>
      </c>
      <c r="AB26" s="92">
        <v>0.89162441500417111</v>
      </c>
      <c r="AC26" s="92">
        <v>0.87060385140330376</v>
      </c>
      <c r="AD26" s="93">
        <v>0.85629333086408554</v>
      </c>
      <c r="AE26" s="92">
        <v>0.86346743902144385</v>
      </c>
      <c r="AF26" s="92">
        <v>0.75226356899040236</v>
      </c>
      <c r="AG26" s="92">
        <v>0.86346743902144385</v>
      </c>
      <c r="AH26" s="92">
        <v>0.82694570371501952</v>
      </c>
      <c r="AJ26" s="103"/>
    </row>
    <row r="27" spans="1:36" x14ac:dyDescent="0.25">
      <c r="A27" s="79" t="s">
        <v>195</v>
      </c>
      <c r="B27" s="81">
        <f>B25*(1-0.175)</f>
        <v>1.6128750000000001E-2</v>
      </c>
      <c r="C27" s="81">
        <f t="shared" ref="C27:I27" si="37">C25*(1-0.175)</f>
        <v>3.2744250000000003E-2</v>
      </c>
      <c r="D27" s="81">
        <f t="shared" si="37"/>
        <v>1.6128750000000001E-2</v>
      </c>
      <c r="E27" s="85">
        <f t="shared" si="3"/>
        <v>6.5001749999999997E-2</v>
      </c>
      <c r="F27" s="84">
        <f t="shared" si="37"/>
        <v>9.7349999999999992E-2</v>
      </c>
      <c r="G27" s="81">
        <f t="shared" si="37"/>
        <v>3.8878124999999999E-2</v>
      </c>
      <c r="H27" s="81">
        <f t="shared" si="37"/>
        <v>0.12806474999999998</v>
      </c>
      <c r="I27" s="81">
        <f t="shared" si="37"/>
        <v>3.8878124999999999E-2</v>
      </c>
      <c r="J27" s="85">
        <f t="shared" si="4"/>
        <v>0.20582099999999998</v>
      </c>
      <c r="L27" s="79" t="s">
        <v>162</v>
      </c>
      <c r="M27" s="84">
        <v>9.07</v>
      </c>
      <c r="N27" s="87">
        <f>B3+B5+B10+B24+B24+B24+B17</f>
        <v>0.9786729999999999</v>
      </c>
      <c r="O27" s="87">
        <f>C3+C5+C10+C24+C24+C24+C17</f>
        <v>0.95451999999999992</v>
      </c>
      <c r="P27" s="87">
        <f>B3+B10+B24+B24+B24+B17</f>
        <v>0.66621299999999994</v>
      </c>
      <c r="Q27" s="90">
        <f t="shared" si="1"/>
        <v>2.5994060000000001</v>
      </c>
      <c r="R27" s="91">
        <f>F5+F10+F17+F17+F24+F24+F24+F33+F33+F33</f>
        <v>0.60519624999999999</v>
      </c>
      <c r="S27" s="87">
        <f>G5+G17+G24+G24+G24+G33+G33+G33</f>
        <v>0.87956124999999996</v>
      </c>
      <c r="T27" s="87">
        <f>H17+H17+H24+H24+H24+H33+H33+H33</f>
        <v>0.86026205</v>
      </c>
      <c r="U27" s="87">
        <f>G17+G24+G24+G24+G33+G33+G33</f>
        <v>0.73256124999999994</v>
      </c>
      <c r="V27" s="90">
        <f t="shared" si="2"/>
        <v>2.4723845500000001</v>
      </c>
      <c r="X27" s="79" t="s">
        <v>136</v>
      </c>
      <c r="Y27" s="84">
        <v>9.4600000000000009</v>
      </c>
      <c r="Z27" s="92">
        <v>0.9761081340930623</v>
      </c>
      <c r="AA27" s="92">
        <v>0.92931895024955702</v>
      </c>
      <c r="AB27" s="92">
        <v>0.87770158496755157</v>
      </c>
      <c r="AC27" s="92">
        <v>0.92784044877602034</v>
      </c>
      <c r="AD27" s="93">
        <v>0.80254621466299692</v>
      </c>
      <c r="AE27" s="92">
        <v>0.86346743902144385</v>
      </c>
      <c r="AF27" s="92">
        <v>0.7255391540287055</v>
      </c>
      <c r="AG27" s="92">
        <v>0.54853769421970333</v>
      </c>
      <c r="AH27" s="92">
        <v>0.71241880082097897</v>
      </c>
      <c r="AJ27" s="103"/>
    </row>
    <row r="28" spans="1:36" x14ac:dyDescent="0.25">
      <c r="A28" s="79" t="s">
        <v>102</v>
      </c>
      <c r="B28" s="81">
        <f>0.291*0.34</f>
        <v>9.894E-2</v>
      </c>
      <c r="C28" s="83">
        <f>0.348*0.245</f>
        <v>8.5259999999999989E-2</v>
      </c>
      <c r="D28" s="83">
        <v>0</v>
      </c>
      <c r="E28" s="85">
        <f t="shared" si="3"/>
        <v>0.18419999999999997</v>
      </c>
      <c r="F28" s="86">
        <f>0.881*0.125</f>
        <v>0.110125</v>
      </c>
      <c r="G28" s="81">
        <f>(0.574+0.315)*0.25</f>
        <v>0.22225</v>
      </c>
      <c r="H28" s="81">
        <f>0.241*0.19</f>
        <v>4.5789999999999997E-2</v>
      </c>
      <c r="I28" s="81">
        <v>0</v>
      </c>
      <c r="J28" s="85">
        <f t="shared" si="4"/>
        <v>0.26804</v>
      </c>
      <c r="L28" s="79" t="s">
        <v>154</v>
      </c>
      <c r="M28" s="84">
        <v>9.0650000000000013</v>
      </c>
      <c r="N28" s="87">
        <f>B3+B12+B12+B12+B17+B24+B24+B24</f>
        <v>0.889899</v>
      </c>
      <c r="O28" s="87">
        <f>C3+C12+C12+C12+C17+C24+C24+C24</f>
        <v>1.2695900000000004</v>
      </c>
      <c r="P28" s="87">
        <f>N28</f>
        <v>0.889899</v>
      </c>
      <c r="Q28" s="90">
        <f t="shared" si="1"/>
        <v>3.0493880000000004</v>
      </c>
      <c r="R28" s="91">
        <f>F12+F12+F12+F17+F17+F24+F24+F24+F33+F33+F33</f>
        <v>0.63447125000000004</v>
      </c>
      <c r="S28" s="87">
        <f>G17+G24+G24+G24+G32+G32</f>
        <v>0.64073499999999994</v>
      </c>
      <c r="T28" s="87">
        <f>H17+H17+H24+H24+H24+H32+H32</f>
        <v>0.70943434999999999</v>
      </c>
      <c r="U28" s="87">
        <f>S28</f>
        <v>0.64073499999999994</v>
      </c>
      <c r="V28" s="90">
        <f t="shared" si="2"/>
        <v>1.9909043499999997</v>
      </c>
      <c r="X28" s="79" t="s">
        <v>137</v>
      </c>
      <c r="Y28" s="84">
        <v>9.2949999999999999</v>
      </c>
      <c r="Z28" s="92">
        <v>0.90061786870643468</v>
      </c>
      <c r="AA28" s="92">
        <v>0.840605377555949</v>
      </c>
      <c r="AB28" s="92">
        <v>0.90061786870643468</v>
      </c>
      <c r="AC28" s="92">
        <v>0.87735981925487716</v>
      </c>
      <c r="AD28" s="93">
        <v>0.57819207726118393</v>
      </c>
      <c r="AE28" s="92">
        <v>0.86633960966334067</v>
      </c>
      <c r="AF28" s="92">
        <v>0.69880369592033031</v>
      </c>
      <c r="AG28" s="92">
        <v>0.86633960966334067</v>
      </c>
      <c r="AH28" s="92">
        <v>0.81131722335309642</v>
      </c>
      <c r="AJ28" s="103"/>
    </row>
    <row r="29" spans="1:36" x14ac:dyDescent="0.25">
      <c r="A29" s="79" t="s">
        <v>196</v>
      </c>
      <c r="B29" s="81">
        <f>B28*(1-0.06)</f>
        <v>9.3003599999999992E-2</v>
      </c>
      <c r="C29" s="81">
        <f t="shared" ref="C29:F29" si="38">C28*(1-0.06)</f>
        <v>8.0144399999999991E-2</v>
      </c>
      <c r="D29" s="81">
        <f t="shared" si="38"/>
        <v>0</v>
      </c>
      <c r="E29" s="85">
        <f t="shared" si="3"/>
        <v>0.17314799999999997</v>
      </c>
      <c r="F29" s="84">
        <f t="shared" si="38"/>
        <v>0.1035175</v>
      </c>
      <c r="G29" s="81">
        <f t="shared" ref="G29" si="39">G28*(1-0.06)</f>
        <v>0.20891499999999999</v>
      </c>
      <c r="H29" s="81">
        <f t="shared" ref="H29" si="40">H28*(1-0.06)</f>
        <v>4.3042599999999993E-2</v>
      </c>
      <c r="I29" s="81">
        <f t="shared" ref="I29" si="41">I28*(1-0.06)</f>
        <v>0</v>
      </c>
      <c r="J29" s="85">
        <f t="shared" si="4"/>
        <v>0.2519576</v>
      </c>
      <c r="L29" s="79" t="s">
        <v>144</v>
      </c>
      <c r="M29" s="84">
        <v>9.0649999999999995</v>
      </c>
      <c r="N29" s="87">
        <f>B3+B5+B12+B12+B12+B17+B24+B24+B24</f>
        <v>1.202359</v>
      </c>
      <c r="O29" s="87">
        <f>C3+C5+C12+C12+C12+C17+C24+C24+C24</f>
        <v>1.3710200000000003</v>
      </c>
      <c r="P29" s="87">
        <f>B3+B12+B12+B12+B24+B24+B24</f>
        <v>0.77157900000000001</v>
      </c>
      <c r="Q29" s="90">
        <f t="shared" si="1"/>
        <v>3.3449580000000005</v>
      </c>
      <c r="R29" s="91">
        <f>F5+F12+F12+F12+F17+F27+F27+F27+F32+F32</f>
        <v>0.54536750000000001</v>
      </c>
      <c r="S29" s="87">
        <f>G5+G17+G24+G24+G24+G32+G32</f>
        <v>0.78773499999999996</v>
      </c>
      <c r="T29" s="87">
        <f>H17+H24+H24+H24+H32+H32</f>
        <v>0.68644434999999993</v>
      </c>
      <c r="U29" s="87">
        <f>G24+G24+G24+G32+G32</f>
        <v>0.36373499999999998</v>
      </c>
      <c r="V29" s="90">
        <f t="shared" si="2"/>
        <v>1.8379143499999997</v>
      </c>
      <c r="X29" s="79" t="s">
        <v>135</v>
      </c>
      <c r="Y29" s="84">
        <v>9.59</v>
      </c>
      <c r="Z29" s="92">
        <v>0.9407722651886834</v>
      </c>
      <c r="AA29" s="92">
        <v>0.905007245210111</v>
      </c>
      <c r="AB29" s="92">
        <v>0.9407722651886834</v>
      </c>
      <c r="AC29" s="92">
        <v>0.92691140743472489</v>
      </c>
      <c r="AD29" s="93">
        <v>0.71881507633324593</v>
      </c>
      <c r="AE29" s="92">
        <v>0.81594374467952058</v>
      </c>
      <c r="AF29" s="92">
        <v>0.64517154976207536</v>
      </c>
      <c r="AG29" s="92">
        <v>0.81594374467952058</v>
      </c>
      <c r="AH29" s="92">
        <v>0.75985849424056506</v>
      </c>
      <c r="AJ29" s="103"/>
    </row>
    <row r="30" spans="1:36" x14ac:dyDescent="0.25">
      <c r="A30" s="79" t="s">
        <v>197</v>
      </c>
      <c r="B30" s="81">
        <f>B28*(1-0.175)</f>
        <v>8.162549999999999E-2</v>
      </c>
      <c r="C30" s="81">
        <f t="shared" ref="C30:D30" si="42">C28*(1-0.175)</f>
        <v>7.0339499999999985E-2</v>
      </c>
      <c r="D30" s="81">
        <f t="shared" si="42"/>
        <v>0</v>
      </c>
      <c r="E30" s="85">
        <f t="shared" si="3"/>
        <v>0.15196499999999996</v>
      </c>
      <c r="F30" s="84">
        <f t="shared" ref="F30:I30" si="43">F28*(1-0.175)</f>
        <v>9.0853124999999993E-2</v>
      </c>
      <c r="G30" s="81">
        <f t="shared" si="43"/>
        <v>0.18335625</v>
      </c>
      <c r="H30" s="81">
        <f t="shared" si="43"/>
        <v>3.7776749999999998E-2</v>
      </c>
      <c r="I30" s="81">
        <f t="shared" si="43"/>
        <v>0</v>
      </c>
      <c r="J30" s="85">
        <f t="shared" si="4"/>
        <v>0.221133</v>
      </c>
      <c r="L30" s="79" t="s">
        <v>148</v>
      </c>
      <c r="M30" s="84">
        <v>8.9980000000000011</v>
      </c>
      <c r="N30" s="87">
        <f>B3+B5+B11+B11+B24+B24+B24</f>
        <v>0.98245923999999984</v>
      </c>
      <c r="O30" s="87">
        <f>C3+C5+C5+C11+C11+C24+C24+C24</f>
        <v>1.2340650000000004</v>
      </c>
      <c r="P30" s="87">
        <f>N30</f>
        <v>0.98245923999999984</v>
      </c>
      <c r="Q30" s="90">
        <f t="shared" si="1"/>
        <v>3.1989834799999999</v>
      </c>
      <c r="R30" s="91">
        <f>F5+F5+F11+F11+F24+F24+F24+F33+F33+F33</f>
        <v>0.53969724999999991</v>
      </c>
      <c r="S30" s="87">
        <f>G5+G24+G24+G24+G33+G33+G33</f>
        <v>0.60256125000000005</v>
      </c>
      <c r="T30" s="87">
        <f>H24+H24+H24+H33+H33+H33</f>
        <v>0.81428204999999998</v>
      </c>
      <c r="U30" s="87">
        <f>S30</f>
        <v>0.60256125000000005</v>
      </c>
      <c r="V30" s="90">
        <f t="shared" si="2"/>
        <v>2.01940455</v>
      </c>
      <c r="X30" s="79" t="s">
        <v>141</v>
      </c>
      <c r="Y30" s="84">
        <v>9.1750000000000007</v>
      </c>
      <c r="Z30" s="92">
        <v>1</v>
      </c>
      <c r="AA30" s="92">
        <v>0.93334406697794248</v>
      </c>
      <c r="AB30" s="92">
        <v>0.74012753262544717</v>
      </c>
      <c r="AC30" s="92">
        <v>0.89458826669532732</v>
      </c>
      <c r="AD30" s="93">
        <v>0.90532076906558012</v>
      </c>
      <c r="AE30" s="92">
        <v>0.76380411256180292</v>
      </c>
      <c r="AF30" s="92">
        <v>0.6033367972003415</v>
      </c>
      <c r="AG30" s="92">
        <v>0.59667533102441705</v>
      </c>
      <c r="AH30" s="92">
        <v>0.65498315243555982</v>
      </c>
      <c r="AJ30" s="103"/>
    </row>
    <row r="31" spans="1:36" x14ac:dyDescent="0.25">
      <c r="A31" s="79" t="s">
        <v>104</v>
      </c>
      <c r="B31" s="81">
        <v>0</v>
      </c>
      <c r="C31" s="81">
        <v>0</v>
      </c>
      <c r="D31" s="81">
        <v>0</v>
      </c>
      <c r="E31" s="85">
        <f t="shared" si="3"/>
        <v>0</v>
      </c>
      <c r="F31" s="86">
        <f>0.406*0.125</f>
        <v>5.0750000000000003E-2</v>
      </c>
      <c r="G31" s="81">
        <f>(0.25+0.144+0.127)*0.25</f>
        <v>0.13025</v>
      </c>
      <c r="H31" s="81">
        <f>(0.543+0.583)*0.19</f>
        <v>0.21393999999999999</v>
      </c>
      <c r="I31" s="81">
        <f>G31</f>
        <v>0.13025</v>
      </c>
      <c r="J31" s="85">
        <f t="shared" si="4"/>
        <v>0.47443999999999997</v>
      </c>
      <c r="L31" s="79" t="s">
        <v>157</v>
      </c>
      <c r="M31" s="84">
        <v>8.9980000000000011</v>
      </c>
      <c r="N31" s="87">
        <f>B3+B5+B11+B11+B17+B24+B24+B24</f>
        <v>1.1007792399999998</v>
      </c>
      <c r="O31" s="87">
        <f>C3+C5+C11+C11+C17+C24+C24+C24</f>
        <v>1.1818800000000003</v>
      </c>
      <c r="P31" s="87">
        <f>D3+D11+D11+D24+D24+D24</f>
        <v>0.66999923999999988</v>
      </c>
      <c r="Q31" s="90">
        <f t="shared" si="1"/>
        <v>2.9526584800000002</v>
      </c>
      <c r="R31" s="91">
        <f>F5+F11+F11+F17+F24+F24+F24+F33+F33+F33</f>
        <v>0.57569724999999994</v>
      </c>
      <c r="S31" s="87">
        <f>G5+G17+G24+G24+G24+G33+G33+G33</f>
        <v>0.87956124999999996</v>
      </c>
      <c r="T31" s="87">
        <f>H17+H24+H24+H24+H33+H33+H33</f>
        <v>0.83727204999999993</v>
      </c>
      <c r="U31" s="87">
        <f>I24+I24+I24+I33+I33+I33</f>
        <v>0.45556125000000003</v>
      </c>
      <c r="V31" s="90">
        <f t="shared" si="2"/>
        <v>2.1723945499999999</v>
      </c>
      <c r="X31" s="79" t="s">
        <v>140</v>
      </c>
      <c r="Y31" s="84">
        <v>9.4030000000000005</v>
      </c>
      <c r="Z31" s="92">
        <v>0.91551628091110882</v>
      </c>
      <c r="AA31" s="92">
        <v>0.87570439542746747</v>
      </c>
      <c r="AB31" s="92">
        <v>0.91551628091110882</v>
      </c>
      <c r="AC31" s="92">
        <v>0.90008704637031312</v>
      </c>
      <c r="AD31" s="93">
        <v>0.90232772564556685</v>
      </c>
      <c r="AE31" s="92">
        <v>0.76380411256180292</v>
      </c>
      <c r="AF31" s="92">
        <v>0.6033367972003415</v>
      </c>
      <c r="AG31" s="92">
        <v>0.76380411256180292</v>
      </c>
      <c r="AH31" s="92">
        <v>0.71110320552207584</v>
      </c>
      <c r="AJ31" s="103"/>
    </row>
    <row r="32" spans="1:36" x14ac:dyDescent="0.25">
      <c r="A32" s="79" t="s">
        <v>198</v>
      </c>
      <c r="B32" s="81">
        <v>0</v>
      </c>
      <c r="C32" s="81">
        <v>0</v>
      </c>
      <c r="D32" s="81">
        <v>0</v>
      </c>
      <c r="E32" s="85">
        <f t="shared" si="3"/>
        <v>0</v>
      </c>
      <c r="F32" s="84">
        <f>F31*(1-0.055)</f>
        <v>4.7958750000000001E-2</v>
      </c>
      <c r="G32" s="81">
        <f>G31*(1-0.055)</f>
        <v>0.12308624999999999</v>
      </c>
      <c r="H32" s="81">
        <f t="shared" ref="H32:I32" si="44">H31*(1-0.055)</f>
        <v>0.20217329999999997</v>
      </c>
      <c r="I32" s="81">
        <f t="shared" si="44"/>
        <v>0.12308624999999999</v>
      </c>
      <c r="J32" s="85">
        <f t="shared" si="4"/>
        <v>0.44834579999999996</v>
      </c>
      <c r="L32" s="79" t="s">
        <v>163</v>
      </c>
      <c r="M32" s="84">
        <v>8.9980000000000011</v>
      </c>
      <c r="N32" s="87">
        <f>B3+B11+B11+B17+B24+B24+B24</f>
        <v>0.78831923999999987</v>
      </c>
      <c r="O32" s="87">
        <f>C3+C11+C11+C17+C17+C24+C24+C24</f>
        <v>1.1296950000000001</v>
      </c>
      <c r="P32" s="87">
        <f>N32</f>
        <v>0.78831923999999987</v>
      </c>
      <c r="Q32" s="90">
        <f t="shared" si="1"/>
        <v>2.7063334799999996</v>
      </c>
      <c r="R32" s="91">
        <f>F3+F11+F11+F17+F17+F24+F24+F24+F33+F33+F33</f>
        <v>0.61169724999999997</v>
      </c>
      <c r="S32" s="87">
        <f>G17+G24+G24+G24+G33+G33+G33</f>
        <v>0.73256124999999994</v>
      </c>
      <c r="T32" s="87">
        <f>H17+H17+H24+H24+H24+H33+H33+H33</f>
        <v>0.86026205</v>
      </c>
      <c r="U32" s="87">
        <f>S32</f>
        <v>0.73256124999999994</v>
      </c>
      <c r="V32" s="90">
        <f t="shared" si="2"/>
        <v>2.3253845499999999</v>
      </c>
      <c r="X32" s="79" t="s">
        <v>134</v>
      </c>
      <c r="Y32" s="84">
        <v>9.1749999999999989</v>
      </c>
      <c r="Z32" s="92">
        <v>1</v>
      </c>
      <c r="AA32" s="92">
        <v>0.96763806150378362</v>
      </c>
      <c r="AB32" s="92">
        <v>0.90159345087448928</v>
      </c>
      <c r="AC32" s="92">
        <v>0.95732364374302958</v>
      </c>
      <c r="AD32" s="93">
        <v>0.84418127692941181</v>
      </c>
      <c r="AE32" s="92">
        <v>0.76380411256180292</v>
      </c>
      <c r="AF32" s="92">
        <v>0.57661238223864453</v>
      </c>
      <c r="AG32" s="92">
        <v>0.44887436776006223</v>
      </c>
      <c r="AH32" s="92">
        <v>0.59657630262803529</v>
      </c>
      <c r="AJ32" s="103"/>
    </row>
    <row r="33" spans="1:36" x14ac:dyDescent="0.25">
      <c r="A33" s="79" t="s">
        <v>199</v>
      </c>
      <c r="B33" s="81">
        <v>0</v>
      </c>
      <c r="C33" s="81">
        <v>0</v>
      </c>
      <c r="D33" s="81">
        <v>0</v>
      </c>
      <c r="E33" s="85">
        <f t="shared" si="3"/>
        <v>0</v>
      </c>
      <c r="F33" s="86">
        <f>F31*(1-0.135)</f>
        <v>4.389875E-2</v>
      </c>
      <c r="G33" s="81">
        <f>G31*(1-0.135)</f>
        <v>0.11266625000000001</v>
      </c>
      <c r="H33" s="81">
        <f t="shared" ref="H33:I33" si="45">H31*(1-0.135)</f>
        <v>0.1850581</v>
      </c>
      <c r="I33" s="81">
        <f t="shared" si="45"/>
        <v>0.11266625000000001</v>
      </c>
      <c r="J33" s="85">
        <f t="shared" si="4"/>
        <v>0.41039060000000005</v>
      </c>
      <c r="L33" s="79" t="s">
        <v>160</v>
      </c>
      <c r="M33" s="84">
        <v>8.7700000000000014</v>
      </c>
      <c r="N33" s="87">
        <f>B3+B12+B12+B12+B17+B24+B24+B24</f>
        <v>0.889899</v>
      </c>
      <c r="O33" s="87">
        <f>C3+C12+C12+C12+C17+C24+C24+C24</f>
        <v>1.2695900000000004</v>
      </c>
      <c r="P33" s="87">
        <f>B3+B12+B12+B12+B17+B24+B24+B24</f>
        <v>0.889899</v>
      </c>
      <c r="Q33" s="90">
        <f t="shared" si="1"/>
        <v>3.0493880000000004</v>
      </c>
      <c r="R33" s="91">
        <f>F12+F12+F12+F17+F24+F24+F24+F33+F33+F33</f>
        <v>0.57759624999999992</v>
      </c>
      <c r="S33" s="87">
        <f>G17+G24+G24+G24+G33+G33+G33</f>
        <v>0.73256124999999994</v>
      </c>
      <c r="T33" s="87">
        <f>H17+H24+H24+H24+H33+H33+H33</f>
        <v>0.83727204999999993</v>
      </c>
      <c r="U33" s="87">
        <f>G24+G24+G24+G33+G33+G33</f>
        <v>0.45556125000000003</v>
      </c>
      <c r="V33" s="90">
        <f t="shared" si="2"/>
        <v>2.0253945499999997</v>
      </c>
      <c r="X33" s="79" t="s">
        <v>133</v>
      </c>
      <c r="Y33" s="84">
        <v>9.57</v>
      </c>
      <c r="Z33" s="92">
        <v>0.9761081340930623</v>
      </c>
      <c r="AA33" s="92">
        <v>0.9616808887457734</v>
      </c>
      <c r="AB33" s="92">
        <v>0.9761081340930623</v>
      </c>
      <c r="AC33" s="92">
        <v>0.97051680503299076</v>
      </c>
      <c r="AD33" s="93">
        <v>0.82099858740644271</v>
      </c>
      <c r="AE33" s="92">
        <v>0.73167161468288877</v>
      </c>
      <c r="AF33" s="92">
        <v>0.53092798874482483</v>
      </c>
      <c r="AG33" s="92">
        <v>0.73167161468288877</v>
      </c>
      <c r="AH33" s="92">
        <v>0.66574310366150702</v>
      </c>
      <c r="AJ33" s="103"/>
    </row>
    <row r="34" spans="1:36" x14ac:dyDescent="0.25">
      <c r="A34" s="79" t="s">
        <v>200</v>
      </c>
      <c r="B34" s="81">
        <v>0</v>
      </c>
      <c r="C34" s="81">
        <v>0</v>
      </c>
      <c r="D34" s="81">
        <v>0</v>
      </c>
      <c r="E34" s="85">
        <f t="shared" si="3"/>
        <v>0</v>
      </c>
      <c r="F34" s="86">
        <f>0.25*0.125</f>
        <v>3.125E-2</v>
      </c>
      <c r="G34" s="81">
        <f>(0.607+0.524+0.209)*0.25</f>
        <v>0.33500000000000002</v>
      </c>
      <c r="H34" s="81">
        <f>(0.607+0.261)*0.19</f>
        <v>0.16492000000000001</v>
      </c>
      <c r="I34" s="81">
        <v>0</v>
      </c>
      <c r="J34" s="85">
        <f t="shared" si="4"/>
        <v>0.49992000000000003</v>
      </c>
      <c r="L34" s="79" t="s">
        <v>151</v>
      </c>
      <c r="M34" s="84">
        <v>8.77</v>
      </c>
      <c r="N34" s="87">
        <f>B3+B5+B12+B12+B12+B24+B24+B24</f>
        <v>1.084039</v>
      </c>
      <c r="O34" s="87">
        <f>C3+C5+C12+C12+C12+C24+C24+C24</f>
        <v>1.3217750000000004</v>
      </c>
      <c r="P34" s="87">
        <f>B3+B12+B12+B12+B24+B24+B24</f>
        <v>0.77157900000000001</v>
      </c>
      <c r="Q34" s="90">
        <f t="shared" si="1"/>
        <v>3.1773930000000004</v>
      </c>
      <c r="R34" s="91">
        <f>F5+F12+F12+F12+F24+F24+F24+F33+F33+F33</f>
        <v>0.54159625</v>
      </c>
      <c r="S34" s="87">
        <f>G5+G24+G24+G24+G33+G33+G33</f>
        <v>0.60256125000000005</v>
      </c>
      <c r="T34" s="87">
        <f>H24+H24+H24+H33+H33+H33</f>
        <v>0.81428204999999998</v>
      </c>
      <c r="U34" s="87">
        <f>G24+G24+G24+G33+G33+G33</f>
        <v>0.45556125000000003</v>
      </c>
      <c r="V34" s="90">
        <f t="shared" si="2"/>
        <v>1.8724045500000002</v>
      </c>
      <c r="X34" s="79">
        <v>550</v>
      </c>
      <c r="Y34" s="84">
        <v>9.1749999999999989</v>
      </c>
      <c r="Z34" s="92">
        <v>1</v>
      </c>
      <c r="AA34" s="92">
        <v>1</v>
      </c>
      <c r="AB34" s="92">
        <v>1</v>
      </c>
      <c r="AC34" s="92">
        <v>1</v>
      </c>
      <c r="AD34" s="93">
        <v>0.85823431715779086</v>
      </c>
      <c r="AE34" s="92">
        <v>0.61571891667578593</v>
      </c>
      <c r="AF34" s="92">
        <v>0.35464513400306336</v>
      </c>
      <c r="AG34" s="92">
        <v>0.61571891667578593</v>
      </c>
      <c r="AH34" s="92">
        <v>0.52997668860801672</v>
      </c>
      <c r="AJ34" s="103"/>
    </row>
    <row r="35" spans="1:36" x14ac:dyDescent="0.25">
      <c r="A35" s="79" t="s">
        <v>201</v>
      </c>
      <c r="B35" s="81">
        <v>0</v>
      </c>
      <c r="C35" s="81">
        <v>0</v>
      </c>
      <c r="D35" s="81">
        <v>0</v>
      </c>
      <c r="E35" s="85">
        <f t="shared" si="3"/>
        <v>0</v>
      </c>
      <c r="F35" s="84">
        <f>F34*(1-0.055)</f>
        <v>2.9531249999999998E-2</v>
      </c>
      <c r="G35" s="81">
        <f>G34*(1-0.055)</f>
        <v>0.316575</v>
      </c>
      <c r="H35" s="81">
        <f t="shared" ref="H35" si="46">H34*(1-0.055)</f>
        <v>0.1558494</v>
      </c>
      <c r="I35" s="81">
        <f t="shared" ref="I35" si="47">I34*(1-0.055)</f>
        <v>0</v>
      </c>
      <c r="J35" s="85">
        <f t="shared" si="4"/>
        <v>0.47242439999999997</v>
      </c>
    </row>
    <row r="36" spans="1:36" x14ac:dyDescent="0.25">
      <c r="A36" s="79" t="s">
        <v>202</v>
      </c>
      <c r="B36" s="81">
        <v>0</v>
      </c>
      <c r="C36" s="81">
        <v>0</v>
      </c>
      <c r="D36" s="81">
        <v>0</v>
      </c>
      <c r="E36" s="85">
        <f t="shared" si="3"/>
        <v>0</v>
      </c>
      <c r="F36" s="86">
        <f>F34*(1-0.135)</f>
        <v>2.703125E-2</v>
      </c>
      <c r="G36" s="81">
        <f>G34*(1-0.135)</f>
        <v>0.289775</v>
      </c>
      <c r="H36" s="81">
        <f t="shared" ref="H36:I36" si="48">H34*(1-0.135)</f>
        <v>0.1426558</v>
      </c>
      <c r="I36" s="81">
        <f t="shared" si="48"/>
        <v>0</v>
      </c>
      <c r="J36" s="85">
        <f t="shared" si="4"/>
        <v>0.4324308</v>
      </c>
    </row>
    <row r="37" spans="1:36" x14ac:dyDescent="0.25">
      <c r="A37" s="79" t="s">
        <v>118</v>
      </c>
      <c r="B37" s="81">
        <v>0</v>
      </c>
      <c r="C37" s="81">
        <v>0</v>
      </c>
      <c r="D37" s="81">
        <v>0</v>
      </c>
      <c r="E37" s="85">
        <f t="shared" si="3"/>
        <v>0</v>
      </c>
      <c r="F37" s="86">
        <f>0.25*0.125</f>
        <v>3.125E-2</v>
      </c>
      <c r="G37" s="81">
        <f>(0.26+0.221+0.142)*0.25</f>
        <v>0.15575</v>
      </c>
      <c r="H37" s="81">
        <f>(1+0.369)*0.19</f>
        <v>0.26011000000000001</v>
      </c>
      <c r="I37" s="81">
        <f>G37</f>
        <v>0.15575</v>
      </c>
      <c r="J37" s="85">
        <f t="shared" si="4"/>
        <v>0.57160999999999995</v>
      </c>
    </row>
    <row r="38" spans="1:36" x14ac:dyDescent="0.25">
      <c r="A38" s="79" t="s">
        <v>203</v>
      </c>
      <c r="B38" s="81">
        <v>0</v>
      </c>
      <c r="C38" s="81">
        <v>0</v>
      </c>
      <c r="D38" s="81">
        <v>0</v>
      </c>
      <c r="E38" s="85">
        <f t="shared" si="3"/>
        <v>0</v>
      </c>
      <c r="F38" s="84">
        <f>F37*(1-0.055)</f>
        <v>2.9531249999999998E-2</v>
      </c>
      <c r="G38" s="81">
        <f>G37*(1-0.055)</f>
        <v>0.14718375</v>
      </c>
      <c r="H38" s="81">
        <f t="shared" ref="H38" si="49">H37*(1-0.055)</f>
        <v>0.24580394999999999</v>
      </c>
      <c r="I38" s="81">
        <f t="shared" ref="I38" si="50">I37*(1-0.055)</f>
        <v>0.14718375</v>
      </c>
      <c r="J38" s="85">
        <f t="shared" si="4"/>
        <v>0.54017145</v>
      </c>
    </row>
    <row r="39" spans="1:36" x14ac:dyDescent="0.25">
      <c r="A39" s="79" t="s">
        <v>204</v>
      </c>
      <c r="B39" s="81">
        <v>0</v>
      </c>
      <c r="C39" s="81">
        <v>0</v>
      </c>
      <c r="D39" s="81">
        <v>0</v>
      </c>
      <c r="E39" s="85">
        <f t="shared" si="3"/>
        <v>0</v>
      </c>
      <c r="F39" s="86">
        <f>F37*(1-0.135)</f>
        <v>2.703125E-2</v>
      </c>
      <c r="G39" s="81">
        <f>G37*(1-0.135)</f>
        <v>0.13472375</v>
      </c>
      <c r="H39" s="81">
        <f t="shared" ref="H39:I39" si="51">H37*(1-0.135)</f>
        <v>0.22499515</v>
      </c>
      <c r="I39" s="81">
        <f t="shared" si="51"/>
        <v>0.13472375</v>
      </c>
      <c r="J39" s="85">
        <f t="shared" si="4"/>
        <v>0.49444264999999998</v>
      </c>
    </row>
  </sheetData>
  <sortState xmlns:xlrd2="http://schemas.microsoft.com/office/spreadsheetml/2017/richdata2" ref="X3:AH34">
    <sortCondition descending="1" ref="AF3:AF34"/>
  </sortState>
  <conditionalFormatting sqref="M3:M34">
    <cfRule type="cellIs" dxfId="129" priority="7" operator="lessThan">
      <formula>9.15</formula>
    </cfRule>
    <cfRule type="cellIs" dxfId="128" priority="8" operator="greaterThan">
      <formula>9.5</formula>
    </cfRule>
  </conditionalFormatting>
  <conditionalFormatting sqref="Y3:Y34">
    <cfRule type="cellIs" dxfId="127" priority="5" operator="lessThan">
      <formula>9.15</formula>
    </cfRule>
    <cfRule type="cellIs" dxfId="126" priority="6" operator="greaterThan">
      <formula>9.5</formula>
    </cfRule>
  </conditionalFormatting>
  <conditionalFormatting sqref="Z3:AC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3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3:AH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BP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L19" sqref="L19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8.140625" bestFit="1" customWidth="1"/>
    <col min="18" max="18" width="8.42578125" bestFit="1" customWidth="1"/>
    <col min="19" max="19" width="8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14.037535000511525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12.367068335450654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4.2814481751560152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5.6992392102076792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3.5093837501278813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2</v>
      </c>
      <c r="G8" s="45">
        <v>14</v>
      </c>
      <c r="H8" s="45">
        <v>15</v>
      </c>
      <c r="I8" s="45">
        <v>7</v>
      </c>
      <c r="J8" s="45">
        <v>7</v>
      </c>
      <c r="K8" s="45">
        <v>10</v>
      </c>
      <c r="L8" s="45">
        <f t="shared" si="54"/>
        <v>2.375</v>
      </c>
      <c r="M8" s="45">
        <f t="shared" si="55"/>
        <v>0.65</v>
      </c>
      <c r="N8" s="45">
        <f t="shared" si="56"/>
        <v>0.38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2.3307680554465611</v>
      </c>
      <c r="R8" s="58">
        <f t="shared" ca="1" si="5"/>
        <v>3.4804576856603786</v>
      </c>
      <c r="S8" s="58">
        <f t="shared" ca="1" si="6"/>
        <v>2.3307680554465611</v>
      </c>
      <c r="T8" s="58">
        <f t="shared" ca="1" si="7"/>
        <v>2.0833680602639468</v>
      </c>
      <c r="U8" s="58">
        <f t="shared" ca="1" si="2"/>
        <v>4.0375350005115251</v>
      </c>
      <c r="V8" s="58">
        <f t="shared" ca="1" si="8"/>
        <v>1.0416840301319734</v>
      </c>
      <c r="W8" s="58">
        <f t="shared" ca="1" si="9"/>
        <v>3.816933330121743</v>
      </c>
      <c r="X8" s="58">
        <f t="shared" ca="1" si="3"/>
        <v>3.7145322004706034</v>
      </c>
      <c r="Y8" s="58">
        <f t="shared" ca="1" si="10"/>
        <v>1.6715394902117713</v>
      </c>
      <c r="Z8" s="58">
        <f t="shared" ca="1" si="11"/>
        <v>2.6782683450854248</v>
      </c>
      <c r="AA8" s="58">
        <f t="shared" ca="1" si="12"/>
        <v>10.018070580300776</v>
      </c>
      <c r="AB8" s="58">
        <f t="shared" ca="1" si="13"/>
        <v>3.0443013903856899</v>
      </c>
      <c r="AC8" s="58">
        <f t="shared" ca="1" si="14"/>
        <v>2.8585747803621597</v>
      </c>
      <c r="AD8" s="58">
        <f t="shared" ca="1" si="15"/>
        <v>2.0988763203497318</v>
      </c>
      <c r="AE8" s="58">
        <f t="shared" ca="1" si="16"/>
        <v>1.4236190434773814</v>
      </c>
      <c r="AF8" s="58">
        <f t="shared" ca="1" si="17"/>
        <v>1.9582044752480896</v>
      </c>
      <c r="AG8" s="58">
        <f t="shared" ca="1" si="18"/>
        <v>1.0659092401350427</v>
      </c>
      <c r="AH8" s="58">
        <f t="shared" ca="1" si="19"/>
        <v>6.1103008351948915</v>
      </c>
      <c r="AI8" s="58">
        <f t="shared" ca="1" si="20"/>
        <v>13.282805590447072</v>
      </c>
      <c r="AJ8" s="58">
        <f t="shared" ca="1" si="21"/>
        <v>0.4699518200265993</v>
      </c>
      <c r="AK8" s="58">
        <f t="shared" ca="1" si="22"/>
        <v>1.0901344501381118</v>
      </c>
      <c r="AL8" s="58">
        <f t="shared" ca="1" si="23"/>
        <v>2.398295790303846</v>
      </c>
      <c r="AM8" s="58">
        <f t="shared" ca="1" si="24"/>
        <v>0.54506722506905592</v>
      </c>
      <c r="AN8" s="58">
        <f t="shared" ca="1" si="25"/>
        <v>15.13943304048288</v>
      </c>
      <c r="AO8" s="58">
        <f t="shared" ca="1" si="26"/>
        <v>1.1748795500664984</v>
      </c>
      <c r="AP8" s="58">
        <f t="shared" ca="1" si="27"/>
        <v>2.6479977551498766</v>
      </c>
      <c r="AQ8" s="58">
        <f t="shared" ca="1" si="28"/>
        <v>0.58743977503324918</v>
      </c>
      <c r="AR8" s="58">
        <f t="shared" ca="1" si="29"/>
        <v>0.76309411509667824</v>
      </c>
      <c r="AS8" s="58">
        <f t="shared" ca="1" si="30"/>
        <v>0.76309411509667824</v>
      </c>
      <c r="AT8" s="58">
        <f t="shared" ca="1" si="31"/>
        <v>0.38154705754833912</v>
      </c>
      <c r="AU8" s="58">
        <f t="shared" ca="1" si="32"/>
        <v>16.037535000511525</v>
      </c>
      <c r="AV8" s="58">
        <f t="shared" ca="1" si="33"/>
        <v>2.2864963551294157</v>
      </c>
      <c r="AW8" s="58">
        <f t="shared" ca="1" si="34"/>
        <v>4.9796817852818505</v>
      </c>
      <c r="AX8" s="58">
        <f t="shared" ca="1" si="35"/>
        <v>1.1432481775647079</v>
      </c>
      <c r="AY8" s="58">
        <f t="shared" ca="1" si="36"/>
        <v>1.1749226851488537</v>
      </c>
      <c r="AZ8" s="58">
        <f t="shared" ca="1" si="37"/>
        <v>1.4050621801780105</v>
      </c>
      <c r="BA8" s="58">
        <f t="shared" ca="1" si="38"/>
        <v>14.129068335450654</v>
      </c>
      <c r="BB8" s="58">
        <f t="shared" ca="1" si="39"/>
        <v>12.626368615454744</v>
      </c>
      <c r="BC8" s="58">
        <f t="shared" ca="1" si="40"/>
        <v>2.1780459351232775</v>
      </c>
      <c r="BD8" s="58">
        <f t="shared" ca="1" si="41"/>
        <v>0.72675630009207448</v>
      </c>
      <c r="BE8" s="58">
        <f t="shared" ca="1" si="42"/>
        <v>0.27455238003478372</v>
      </c>
      <c r="BF8" s="58">
        <f t="shared" ca="1" si="43"/>
        <v>4.8914481751560155</v>
      </c>
      <c r="BG8" s="58">
        <f t="shared" ca="1" si="44"/>
        <v>19.622270010657822</v>
      </c>
      <c r="BH8" s="58">
        <f t="shared" ca="1" si="45"/>
        <v>1.2200672250690561</v>
      </c>
      <c r="BI8" s="58">
        <f t="shared" ca="1" si="46"/>
        <v>6.5112392102076795</v>
      </c>
      <c r="BJ8" s="58">
        <f t="shared" ca="1" si="47"/>
        <v>5.8605557352665052</v>
      </c>
      <c r="BK8" s="58">
        <f t="shared" ca="1" si="48"/>
        <v>10.176264410575978</v>
      </c>
      <c r="BL8" s="58">
        <f t="shared" ca="1" si="49"/>
        <v>5.8605557352665052</v>
      </c>
      <c r="BM8" s="58">
        <f t="shared" ca="1" si="50"/>
        <v>7.3983843053186806</v>
      </c>
      <c r="BN8" s="58">
        <f t="shared" ca="1" si="51"/>
        <v>12.372385415700277</v>
      </c>
      <c r="BO8" s="58">
        <f t="shared" ca="1" si="52"/>
        <v>7.3983843053186806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14.037535000511525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12.367068335450654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4.2814481751560152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5.6992392102076792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3.5093837501278813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2</v>
      </c>
      <c r="I11" s="45">
        <v>14</v>
      </c>
      <c r="J11" s="45">
        <v>12</v>
      </c>
      <c r="K11" s="45">
        <v>10</v>
      </c>
      <c r="L11" s="45">
        <f t="shared" si="54"/>
        <v>4.125</v>
      </c>
      <c r="M11" s="45">
        <f t="shared" si="55"/>
        <v>0.9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2.3740705803007764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1.9040293457011799</v>
      </c>
      <c r="AE11" s="58">
        <f t="shared" ca="1" si="16"/>
        <v>1.5915955183349688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5.9408055904470736</v>
      </c>
      <c r="AJ11" s="58">
        <f t="shared" ca="1" si="21"/>
        <v>0.83395182002659929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2.0848795500664985</v>
      </c>
      <c r="AP11" s="58">
        <f t="shared" ca="1" si="27"/>
        <v>4.3529977551498771</v>
      </c>
      <c r="AQ11" s="58">
        <f t="shared" ca="1" si="28"/>
        <v>1.0424397750332492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4.0574963551294161</v>
      </c>
      <c r="AW11" s="58">
        <f t="shared" ca="1" si="34"/>
        <v>8.4166817852818507</v>
      </c>
      <c r="AX11" s="58">
        <f t="shared" ca="1" si="35"/>
        <v>2.028748177564708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7.3693686154547455</v>
      </c>
      <c r="BC11" s="58">
        <f t="shared" ca="1" si="40"/>
        <v>3.8650459351232773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8.6242700106578205</v>
      </c>
      <c r="BH11" s="58">
        <f t="shared" ca="1" si="45"/>
        <v>2.1650672250690559</v>
      </c>
      <c r="BI11" s="58">
        <f t="shared" ca="1" si="46"/>
        <v>6.5112392102076795</v>
      </c>
      <c r="BJ11" s="58">
        <f t="shared" ca="1" si="47"/>
        <v>6.3735557352665042</v>
      </c>
      <c r="BK11" s="58">
        <f t="shared" ca="1" si="48"/>
        <v>16.892264410575976</v>
      </c>
      <c r="BL11" s="58">
        <f t="shared" ca="1" si="49"/>
        <v>6.3735557352665042</v>
      </c>
      <c r="BM11" s="58">
        <f t="shared" ca="1" si="50"/>
        <v>6.81938430531868</v>
      </c>
      <c r="BN11" s="58">
        <f t="shared" ca="1" si="51"/>
        <v>19.955385415700277</v>
      </c>
      <c r="BO11" s="58">
        <f t="shared" ca="1" si="52"/>
        <v>6.81938430531868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14</v>
      </c>
      <c r="G12" s="45">
        <v>12</v>
      </c>
      <c r="H12" s="45">
        <v>2</v>
      </c>
      <c r="I12" s="45">
        <v>12</v>
      </c>
      <c r="J12" s="45">
        <v>2</v>
      </c>
      <c r="K12" s="45">
        <v>10</v>
      </c>
      <c r="L12" s="45">
        <f t="shared" si="54"/>
        <v>5.125</v>
      </c>
      <c r="M12" s="45">
        <f t="shared" si="55"/>
        <v>0.4</v>
      </c>
      <c r="N12" s="45">
        <f t="shared" si="56"/>
        <v>0.8600000000000001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5.6427680554465613</v>
      </c>
      <c r="R12" s="58">
        <f t="shared" ca="1" si="5"/>
        <v>8.5804576856603791</v>
      </c>
      <c r="S12" s="58">
        <f t="shared" ca="1" si="6"/>
        <v>5.6427680554465613</v>
      </c>
      <c r="T12" s="58">
        <f t="shared" ca="1" si="7"/>
        <v>8.275368060263947</v>
      </c>
      <c r="U12" s="58">
        <f t="shared" ca="1" si="2"/>
        <v>16.037535000511525</v>
      </c>
      <c r="V12" s="58">
        <f t="shared" ca="1" si="8"/>
        <v>4.1376840301319735</v>
      </c>
      <c r="W12" s="58">
        <f t="shared" ca="1" si="9"/>
        <v>3.340933330121743</v>
      </c>
      <c r="X12" s="58">
        <f t="shared" ca="1" si="3"/>
        <v>14.754532200470603</v>
      </c>
      <c r="Y12" s="58">
        <f t="shared" ca="1" si="10"/>
        <v>6.6395394902117708</v>
      </c>
      <c r="Z12" s="58">
        <f t="shared" ca="1" si="11"/>
        <v>2.3442683450854247</v>
      </c>
      <c r="AA12" s="58">
        <f t="shared" ca="1" si="12"/>
        <v>2.3740705803007764</v>
      </c>
      <c r="AB12" s="58">
        <f t="shared" ca="1" si="13"/>
        <v>12.092301390385691</v>
      </c>
      <c r="AC12" s="58">
        <f t="shared" ca="1" si="14"/>
        <v>11.354574780362158</v>
      </c>
      <c r="AD12" s="58">
        <f t="shared" ca="1" si="15"/>
        <v>1.9040293457011799</v>
      </c>
      <c r="AE12" s="58">
        <f t="shared" ca="1" si="16"/>
        <v>1.8795955183349689</v>
      </c>
      <c r="AF12" s="58">
        <f t="shared" ca="1" si="17"/>
        <v>7.7782044752480894</v>
      </c>
      <c r="AG12" s="58">
        <f t="shared" ca="1" si="18"/>
        <v>4.2339092401350431</v>
      </c>
      <c r="AH12" s="58">
        <f t="shared" ca="1" si="19"/>
        <v>5.3483008351948911</v>
      </c>
      <c r="AI12" s="58">
        <f t="shared" ca="1" si="20"/>
        <v>5.5388055904470725</v>
      </c>
      <c r="AJ12" s="58">
        <f t="shared" ca="1" si="21"/>
        <v>0.72995182002659931</v>
      </c>
      <c r="AK12" s="58">
        <f t="shared" ca="1" si="22"/>
        <v>4.3301344501381118</v>
      </c>
      <c r="AL12" s="58">
        <f t="shared" ca="1" si="23"/>
        <v>9.5262957903038448</v>
      </c>
      <c r="AM12" s="58">
        <f t="shared" ca="1" si="24"/>
        <v>2.1650672250690559</v>
      </c>
      <c r="AN12" s="58">
        <f t="shared" ca="1" si="25"/>
        <v>13.25143304048288</v>
      </c>
      <c r="AO12" s="58">
        <f t="shared" ca="1" si="26"/>
        <v>1.8248795500664983</v>
      </c>
      <c r="AP12" s="58">
        <f t="shared" ca="1" si="27"/>
        <v>2.3829977551498769</v>
      </c>
      <c r="AQ12" s="58">
        <f t="shared" ca="1" si="28"/>
        <v>0.91243977503324913</v>
      </c>
      <c r="AR12" s="58">
        <f t="shared" ca="1" si="29"/>
        <v>3.0310941150966784</v>
      </c>
      <c r="AS12" s="58">
        <f t="shared" ca="1" si="30"/>
        <v>3.0310941150966784</v>
      </c>
      <c r="AT12" s="58">
        <f t="shared" ca="1" si="31"/>
        <v>1.5155470575483392</v>
      </c>
      <c r="AU12" s="58">
        <f t="shared" ca="1" si="32"/>
        <v>14.037535000511525</v>
      </c>
      <c r="AV12" s="58">
        <f t="shared" ca="1" si="33"/>
        <v>3.5514963551294159</v>
      </c>
      <c r="AW12" s="58">
        <f t="shared" ca="1" si="34"/>
        <v>5.6346817852818507</v>
      </c>
      <c r="AX12" s="58">
        <f t="shared" ca="1" si="35"/>
        <v>1.7757481775647079</v>
      </c>
      <c r="AY12" s="58">
        <f t="shared" ca="1" si="36"/>
        <v>4.6669226851488537</v>
      </c>
      <c r="AZ12" s="58">
        <f t="shared" ca="1" si="37"/>
        <v>5.5810621801780105</v>
      </c>
      <c r="BA12" s="58">
        <f t="shared" ca="1" si="38"/>
        <v>12.367068335450654</v>
      </c>
      <c r="BB12" s="58">
        <f t="shared" ca="1" si="39"/>
        <v>6.7393686154547456</v>
      </c>
      <c r="BC12" s="58">
        <f t="shared" ca="1" si="40"/>
        <v>3.3830459351232776</v>
      </c>
      <c r="BD12" s="58">
        <f t="shared" ca="1" si="41"/>
        <v>2.8867563000920744</v>
      </c>
      <c r="BE12" s="58">
        <f t="shared" ca="1" si="42"/>
        <v>1.0905523800347838</v>
      </c>
      <c r="BF12" s="58">
        <f t="shared" ca="1" si="43"/>
        <v>4.2814481751560152</v>
      </c>
      <c r="BG12" s="58">
        <f t="shared" ca="1" si="44"/>
        <v>8.0522700106578213</v>
      </c>
      <c r="BH12" s="58">
        <f t="shared" ca="1" si="45"/>
        <v>1.8950672250690561</v>
      </c>
      <c r="BI12" s="58">
        <f t="shared" ca="1" si="46"/>
        <v>5.6992392102076792</v>
      </c>
      <c r="BJ12" s="58">
        <f t="shared" ca="1" si="47"/>
        <v>4.6035557352665037</v>
      </c>
      <c r="BK12" s="58">
        <f t="shared" ca="1" si="48"/>
        <v>9.976264410575979</v>
      </c>
      <c r="BL12" s="58">
        <f t="shared" ca="1" si="49"/>
        <v>4.6035557352665037</v>
      </c>
      <c r="BM12" s="58">
        <f t="shared" ca="1" si="50"/>
        <v>3.9353843053186801</v>
      </c>
      <c r="BN12" s="58">
        <f t="shared" ca="1" si="51"/>
        <v>9.2173854157002779</v>
      </c>
      <c r="BO12" s="58">
        <f t="shared" ca="1" si="52"/>
        <v>3.9353843053186801</v>
      </c>
      <c r="BP12" s="58">
        <f t="shared" ca="1" si="53"/>
        <v>3.5093837501278813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100</v>
      </c>
      <c r="B18" s="54">
        <f>1-0.1</f>
        <v>0.9</v>
      </c>
      <c r="C18" s="49">
        <f ca="1">T5*B18</f>
        <v>7.4478312542375527</v>
      </c>
      <c r="D18" s="49">
        <f ca="1">U5*B18</f>
        <v>14.433781500460373</v>
      </c>
      <c r="E18" s="49">
        <f ca="1">C18/2</f>
        <v>3.7239156271187763</v>
      </c>
      <c r="F18" s="49">
        <f ca="1">W5*B18</f>
        <v>3.006839997109569</v>
      </c>
      <c r="G18" s="49">
        <v>0</v>
      </c>
      <c r="H18" s="49">
        <v>0</v>
      </c>
      <c r="I18" s="49">
        <v>0</v>
      </c>
      <c r="J18" s="49">
        <f>L5*B18</f>
        <v>4.6124999999999998</v>
      </c>
      <c r="K18" s="49">
        <f>M5*B18</f>
        <v>0.36000000000000004</v>
      </c>
      <c r="L18" s="49">
        <f>N5*B18</f>
        <v>0.77400000000000013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102</v>
      </c>
      <c r="B21" s="54">
        <f>1-0.065</f>
        <v>0.93500000000000005</v>
      </c>
      <c r="C21" s="49">
        <f ca="1">AY3*B21</f>
        <v>3.5473177106141782</v>
      </c>
      <c r="D21" s="49">
        <f ca="1">AZ8*B21</f>
        <v>1.3137331384664399</v>
      </c>
      <c r="E21" s="49">
        <v>0</v>
      </c>
      <c r="F21" s="49">
        <f ca="1">BA8*B21</f>
        <v>13.210678893646362</v>
      </c>
      <c r="G21" s="49">
        <f ca="1">BB8*B21</f>
        <v>11.805654655450187</v>
      </c>
      <c r="H21" s="49">
        <f ca="1">BC8*B21</f>
        <v>2.0364729493402645</v>
      </c>
      <c r="I21" s="49">
        <v>0</v>
      </c>
      <c r="J21" s="49">
        <v>0</v>
      </c>
      <c r="K21" s="49">
        <f>M8*B21</f>
        <v>0.60775000000000001</v>
      </c>
      <c r="L21" s="49">
        <f>N8*B21</f>
        <v>0.3553</v>
      </c>
      <c r="T21" s="62"/>
    </row>
    <row r="22" spans="1:20" x14ac:dyDescent="0.25">
      <c r="A22" s="48" t="s">
        <v>100</v>
      </c>
      <c r="B22" s="54">
        <f>1-0.1</f>
        <v>0.9</v>
      </c>
      <c r="C22" s="49">
        <f ca="1">E22/2</f>
        <v>3.7239156271187763</v>
      </c>
      <c r="D22" s="49">
        <f ca="1">U9*B22</f>
        <v>14.433781500460373</v>
      </c>
      <c r="E22" s="49">
        <f ca="1">T9*B22</f>
        <v>7.4478312542375527</v>
      </c>
      <c r="F22" s="49">
        <f ca="1">W9*B22</f>
        <v>3.006839997109569</v>
      </c>
      <c r="G22" s="49">
        <v>0</v>
      </c>
      <c r="H22" s="49">
        <v>0</v>
      </c>
      <c r="I22" s="49">
        <v>0</v>
      </c>
      <c r="J22" s="49">
        <f>L9*B22</f>
        <v>4.6124999999999998</v>
      </c>
      <c r="K22" s="49">
        <f>M9*B22</f>
        <v>0.36000000000000004</v>
      </c>
      <c r="L22" s="49">
        <f>N9*B22</f>
        <v>0.77400000000000013</v>
      </c>
    </row>
    <row r="23" spans="1:20" x14ac:dyDescent="0.25">
      <c r="A23" s="48" t="s">
        <v>132</v>
      </c>
      <c r="B23" s="54">
        <f>1-0.065</f>
        <v>0.93500000000000005</v>
      </c>
      <c r="C23" s="49">
        <f ca="1">AR10*B23</f>
        <v>0.7134929976153942</v>
      </c>
      <c r="D23" s="49">
        <f ca="1">AS10*B23</f>
        <v>0.7134929976153942</v>
      </c>
      <c r="E23" s="49">
        <f ca="1">AT10*B23</f>
        <v>0.3567464988076971</v>
      </c>
      <c r="F23" s="49">
        <f ca="1">AU10*B23</f>
        <v>14.995095225478277</v>
      </c>
      <c r="G23" s="49">
        <f ca="1">AV10*B23</f>
        <v>3.7937590920460043</v>
      </c>
      <c r="H23" s="49">
        <f ca="1">AW10*B23</f>
        <v>7.8695974692385313</v>
      </c>
      <c r="I23" s="49">
        <f ca="1">AX10*B23</f>
        <v>1.8968795460230021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118</v>
      </c>
      <c r="B24" s="54">
        <f>1-0.055</f>
        <v>0.94499999999999995</v>
      </c>
      <c r="C24" s="49">
        <v>0</v>
      </c>
      <c r="D24" s="49">
        <v>0</v>
      </c>
      <c r="E24" s="49">
        <v>0</v>
      </c>
      <c r="F24" s="49">
        <f ca="1">BP11*B24</f>
        <v>3.7888676438708475</v>
      </c>
      <c r="G24" s="49">
        <f ca="1">BM11*B24</f>
        <v>6.4443181685261521</v>
      </c>
      <c r="H24" s="49">
        <f ca="1">BN11*B24</f>
        <v>18.857839217836762</v>
      </c>
      <c r="I24" s="49">
        <f ca="1">BO11*B24</f>
        <v>6.4443181685261521</v>
      </c>
      <c r="J24" s="49">
        <v>0</v>
      </c>
      <c r="K24" s="49">
        <f t="shared" si="57"/>
        <v>0.9</v>
      </c>
      <c r="L24" s="49">
        <f t="shared" si="57"/>
        <v>0.38</v>
      </c>
    </row>
    <row r="25" spans="1:20" x14ac:dyDescent="0.25">
      <c r="A25" s="48" t="s">
        <v>100</v>
      </c>
      <c r="B25" s="54">
        <f>1-0.1</f>
        <v>0.9</v>
      </c>
      <c r="C25" s="49">
        <f ca="1">(V12+T12)/2*B25</f>
        <v>5.5858734406781645</v>
      </c>
      <c r="D25" s="49">
        <f ca="1">U12*B25</f>
        <v>14.433781500460373</v>
      </c>
      <c r="E25" s="49">
        <f ca="1">C25</f>
        <v>5.5858734406781645</v>
      </c>
      <c r="F25" s="49">
        <f ca="1">BP12*B25</f>
        <v>3.1584453751150932</v>
      </c>
      <c r="G25" s="49">
        <f ca="1">BM12*B25</f>
        <v>3.5418458747868122</v>
      </c>
      <c r="H25" s="49">
        <f ca="1">BN12*B25</f>
        <v>8.2956468741302505</v>
      </c>
      <c r="I25" s="49">
        <f ca="1">BO12*B25</f>
        <v>3.5418458747868122</v>
      </c>
      <c r="J25" s="49">
        <f>L12*B25</f>
        <v>4.6124999999999998</v>
      </c>
      <c r="K25" s="49">
        <f>M12*B25</f>
        <v>0.36000000000000004</v>
      </c>
      <c r="L25" s="49">
        <f>N12*B25</f>
        <v>0.77400000000000013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0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50.269487586273314</v>
      </c>
      <c r="D27" s="51">
        <f t="shared" ref="D27:L27" ca="1" si="59">SUM(D16:D26)</f>
        <v>79.177659683581652</v>
      </c>
      <c r="E27" s="51">
        <f t="shared" ca="1" si="59"/>
        <v>45.638667076759354</v>
      </c>
      <c r="F27" s="51">
        <f t="shared" ca="1" si="59"/>
        <v>51.195619641527422</v>
      </c>
      <c r="G27" s="51">
        <f t="shared" ca="1" si="59"/>
        <v>59.906236550293912</v>
      </c>
      <c r="H27" s="51">
        <f t="shared" ca="1" si="59"/>
        <v>57.137462953451625</v>
      </c>
      <c r="I27" s="51">
        <f t="shared" ca="1" si="59"/>
        <v>26.581432338162895</v>
      </c>
      <c r="J27" s="52">
        <f t="shared" si="59"/>
        <v>24.087500000000002</v>
      </c>
      <c r="K27" s="52">
        <f t="shared" si="59"/>
        <v>6.2497500000000015</v>
      </c>
      <c r="L27" s="52">
        <f t="shared" si="59"/>
        <v>6.7316999999999991</v>
      </c>
    </row>
    <row r="28" spans="1:20" ht="15.75" x14ac:dyDescent="0.25">
      <c r="A28" s="50"/>
      <c r="B28" s="50" t="s">
        <v>105</v>
      </c>
      <c r="C28" s="53">
        <f ca="1">C27*0.34</f>
        <v>17.091625779332929</v>
      </c>
      <c r="D28" s="53">
        <f ca="1">D27*0.245</f>
        <v>19.398526622477505</v>
      </c>
      <c r="E28" s="53">
        <f ca="1">E27*0.34</f>
        <v>15.517146806098182</v>
      </c>
      <c r="F28" s="53">
        <f ca="1">F27*0.125</f>
        <v>6.3994524551909278</v>
      </c>
      <c r="G28" s="53">
        <f ca="1">G27*0.25</f>
        <v>14.976559137573478</v>
      </c>
      <c r="H28" s="53">
        <f ca="1">H27*0.19</f>
        <v>10.856117961155809</v>
      </c>
      <c r="I28" s="53">
        <f ca="1">I27*0.25</f>
        <v>6.6453580845407236</v>
      </c>
    </row>
    <row r="29" spans="1:20" ht="15.75" x14ac:dyDescent="0.25">
      <c r="A29" s="50"/>
      <c r="B29" s="50" t="s">
        <v>106</v>
      </c>
      <c r="C29" s="53">
        <f ca="1">C28*1.2/1.05</f>
        <v>19.533286604951918</v>
      </c>
      <c r="D29" s="53">
        <f t="shared" ref="D29:E29" ca="1" si="60">D28*1.2/1.05</f>
        <v>22.16974471140286</v>
      </c>
      <c r="E29" s="53">
        <f t="shared" ca="1" si="60"/>
        <v>17.733882064112208</v>
      </c>
      <c r="F29" s="53">
        <f ca="1">F28</f>
        <v>6.3994524551909278</v>
      </c>
      <c r="G29" s="53">
        <f ca="1">G28*0.925/1.05</f>
        <v>13.193635430719493</v>
      </c>
      <c r="H29" s="53">
        <f t="shared" ref="H29:I29" ca="1" si="61">H28*0.925/1.05</f>
        <v>9.5637229657801157</v>
      </c>
      <c r="I29" s="53">
        <f t="shared" ca="1" si="61"/>
        <v>5.8542440268573035</v>
      </c>
    </row>
    <row r="30" spans="1:20" ht="15.75" x14ac:dyDescent="0.25">
      <c r="A30" s="50"/>
      <c r="B30" s="50" t="s">
        <v>107</v>
      </c>
      <c r="C30" s="53">
        <f ca="1">C28*0.925/1.05</f>
        <v>15.056908424650437</v>
      </c>
      <c r="D30" s="53">
        <f t="shared" ref="D30:E30" ca="1" si="62">D28*0.925/1.05</f>
        <v>17.089178215039706</v>
      </c>
      <c r="E30" s="53">
        <f t="shared" ca="1" si="62"/>
        <v>13.669867424419827</v>
      </c>
      <c r="F30" s="53">
        <f ca="1">F29</f>
        <v>6.3994524551909278</v>
      </c>
      <c r="G30" s="53">
        <f ca="1">G28*1.135/1.05</f>
        <v>16.188947258234187</v>
      </c>
      <c r="H30" s="53">
        <f t="shared" ref="H30:I30" ca="1" si="63">H28*1.135/1.05</f>
        <v>11.734946558011279</v>
      </c>
      <c r="I30" s="53">
        <f t="shared" ca="1" si="63"/>
        <v>7.1833156437654493</v>
      </c>
    </row>
  </sheetData>
  <conditionalFormatting sqref="O3:P13">
    <cfRule type="cellIs" dxfId="125" priority="15" operator="greaterThan">
      <formula>15</formula>
    </cfRule>
  </conditionalFormatting>
  <conditionalFormatting sqref="L3:L13">
    <cfRule type="cellIs" dxfId="124" priority="14" operator="greaterThan">
      <formula>3.2</formula>
    </cfRule>
  </conditionalFormatting>
  <conditionalFormatting sqref="M3:N13">
    <cfRule type="cellIs" dxfId="123" priority="13" operator="greaterThan">
      <formula>0.6</formula>
    </cfRule>
  </conditionalFormatting>
  <conditionalFormatting sqref="Q3:V13 X3:Y13 AF3:AG13 AK3:AM13 AY3:AY13 BD3:BE13">
    <cfRule type="cellIs" dxfId="122" priority="12" operator="greaterThan">
      <formula>12.5</formula>
    </cfRule>
  </conditionalFormatting>
  <conditionalFormatting sqref="W3:W13 AH3:AH13 AN3:AN13 BA3:BA13 BF3:BF13 BI3:BI13">
    <cfRule type="cellIs" dxfId="121" priority="11" operator="greaterThan">
      <formula>12.5</formula>
    </cfRule>
  </conditionalFormatting>
  <conditionalFormatting sqref="AA3:AA13 AI3:AJ13 AO3:AQ13 BB3:BC13 BG3:BH13 BJ3:BO13">
    <cfRule type="cellIs" dxfId="120" priority="10" operator="greaterThan">
      <formula>12.5</formula>
    </cfRule>
  </conditionalFormatting>
  <conditionalFormatting sqref="D3:D13">
    <cfRule type="cellIs" dxfId="119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118" priority="8" operator="greaterThan">
      <formula>12.5</formula>
    </cfRule>
  </conditionalFormatting>
  <conditionalFormatting sqref="AE3:AE13">
    <cfRule type="cellIs" dxfId="117" priority="7" operator="greaterThan">
      <formula>12.5</formula>
    </cfRule>
  </conditionalFormatting>
  <conditionalFormatting sqref="BP3:BP13">
    <cfRule type="cellIs" dxfId="116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115" priority="3" operator="greaterThan">
      <formula>12.5</formula>
    </cfRule>
  </conditionalFormatting>
  <conditionalFormatting sqref="AU3:AU13">
    <cfRule type="cellIs" dxfId="114" priority="2" operator="greaterThan">
      <formula>12.5</formula>
    </cfRule>
  </conditionalFormatting>
  <conditionalFormatting sqref="AV3:AX13">
    <cfRule type="cellIs" dxfId="113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BP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AB15" sqref="AB15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18</v>
      </c>
      <c r="L3" s="45">
        <f>((2*(I3+1))+(F3+1))/8</f>
        <v>2.5</v>
      </c>
      <c r="M3" s="45">
        <f>(0.5*J3+ 0.3*K3)/10</f>
        <v>0.6399999999999999</v>
      </c>
      <c r="N3" s="45">
        <f>(0.4*F3+0.3*K3)/10</f>
        <v>0.98000000000000009</v>
      </c>
      <c r="O3" s="45">
        <f t="shared" ref="O3:O13" ca="1" si="0">IF(TODAY()-B3&gt;335,(K3+1+(LOG(D3)*4/3))*(C3/7)^0.5,(K3+((TODAY()-B3)^0.5)/(336^0.5)+(LOG(D3)*4/3))*(C3/7)^0.5)</f>
        <v>18.55115265336957</v>
      </c>
      <c r="P3" s="45">
        <f t="shared" ref="P3:P13" ca="1" si="1">IF(C3=7,O3,IF(TODAY()-B3&gt;335,(K3+1+(LOG(D3)*4/3))*((C3+0.99)/7)^0.5,(K3+((TODAY()-B3)^0.5)/(336^0.5)+(LOG(D3)*4/3))*((C3+0.99)/7)^0.5))</f>
        <v>20.023217360240672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3.279238999384245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2</v>
      </c>
      <c r="H5" s="45">
        <v>12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0.96093333012174298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0.67426834508542477</v>
      </c>
      <c r="AA5" s="58">
        <f t="shared" ca="1" si="12"/>
        <v>8.2540705803007768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2.0772976907866045</v>
      </c>
      <c r="AE5" s="58">
        <f t="shared" ca="1" si="16"/>
        <v>2.1784055984822879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1.538300835194891</v>
      </c>
      <c r="AI5" s="58">
        <f t="shared" ca="1" si="20"/>
        <v>12.268805590447073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3.8114330404828793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4.0375350005115251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3.5570683354506536</v>
      </c>
      <c r="BB5" s="58">
        <f t="shared" ca="1" si="39"/>
        <v>12.479368615454746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1.2314481751560151</v>
      </c>
      <c r="BG5" s="58">
        <f t="shared" ca="1" si="44"/>
        <v>18.052270010657821</v>
      </c>
      <c r="BH5" s="58">
        <f t="shared" ca="1" si="45"/>
        <v>1.8950672250690561</v>
      </c>
      <c r="BI5" s="58">
        <f t="shared" ca="1" si="46"/>
        <v>1.6392392102076794</v>
      </c>
      <c r="BJ5" s="58">
        <f t="shared" ca="1" si="47"/>
        <v>6.043555735266505</v>
      </c>
      <c r="BK5" s="58">
        <f t="shared" ca="1" si="48"/>
        <v>9.976264410575979</v>
      </c>
      <c r="BL5" s="58">
        <f t="shared" ca="1" si="49"/>
        <v>6.043555735266505</v>
      </c>
      <c r="BM5" s="58">
        <f t="shared" ca="1" si="50"/>
        <v>6.1453843053186805</v>
      </c>
      <c r="BN5" s="58">
        <f t="shared" ca="1" si="51"/>
        <v>9.2173854157002779</v>
      </c>
      <c r="BO5" s="58">
        <f t="shared" ca="1" si="52"/>
        <v>6.1453843053186805</v>
      </c>
      <c r="BP5" s="58">
        <f t="shared" ca="1" si="53"/>
        <v>1.0093837501278813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10</v>
      </c>
      <c r="G7" s="45">
        <v>10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3.375</v>
      </c>
      <c r="M7" s="45">
        <f t="shared" si="55"/>
        <v>0.65</v>
      </c>
      <c r="N7" s="45">
        <f t="shared" si="56"/>
        <v>0.7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4.5387680554465621</v>
      </c>
      <c r="R7" s="58">
        <f t="shared" ca="1" si="5"/>
        <v>6.8804576856603781</v>
      </c>
      <c r="S7" s="58">
        <f t="shared" ca="1" si="6"/>
        <v>4.5387680554465621</v>
      </c>
      <c r="T7" s="58">
        <f t="shared" ca="1" si="7"/>
        <v>6.2113680602639469</v>
      </c>
      <c r="U7" s="58">
        <f t="shared" ca="1" si="2"/>
        <v>12.037535000511525</v>
      </c>
      <c r="V7" s="58">
        <f t="shared" ca="1" si="8"/>
        <v>3.1056840301319735</v>
      </c>
      <c r="W7" s="58">
        <f t="shared" ca="1" si="9"/>
        <v>2.864933330121743</v>
      </c>
      <c r="X7" s="58">
        <f t="shared" ca="1" si="3"/>
        <v>11.074532200470603</v>
      </c>
      <c r="Y7" s="58">
        <f t="shared" ca="1" si="10"/>
        <v>4.9835394902117711</v>
      </c>
      <c r="Z7" s="58">
        <f t="shared" ca="1" si="11"/>
        <v>2.0102683450854246</v>
      </c>
      <c r="AA7" s="58">
        <f t="shared" ca="1" si="12"/>
        <v>10.018070580300776</v>
      </c>
      <c r="AB7" s="58">
        <f t="shared" ca="1" si="13"/>
        <v>9.0763013903856908</v>
      </c>
      <c r="AC7" s="58">
        <f t="shared" ca="1" si="14"/>
        <v>8.5225747803621594</v>
      </c>
      <c r="AD7" s="58">
        <f t="shared" ca="1" si="15"/>
        <v>2.0988763203497318</v>
      </c>
      <c r="AE7" s="58">
        <f t="shared" ca="1" si="16"/>
        <v>1.7116190434773815</v>
      </c>
      <c r="AF7" s="58">
        <f t="shared" ca="1" si="17"/>
        <v>5.8382044752480899</v>
      </c>
      <c r="AG7" s="58">
        <f t="shared" ca="1" si="18"/>
        <v>3.1779092401350426</v>
      </c>
      <c r="AH7" s="58">
        <f t="shared" ca="1" si="19"/>
        <v>4.5863008351948915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3.2501344501381122</v>
      </c>
      <c r="AL7" s="58">
        <f t="shared" ca="1" si="23"/>
        <v>7.1502957903038453</v>
      </c>
      <c r="AM7" s="58">
        <f t="shared" ca="1" si="24"/>
        <v>1.6250672250690561</v>
      </c>
      <c r="AN7" s="58">
        <f t="shared" ca="1" si="25"/>
        <v>11.36343304048288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2.2750941150966781</v>
      </c>
      <c r="AS7" s="58">
        <f t="shared" ca="1" si="30"/>
        <v>2.2750941150966781</v>
      </c>
      <c r="AT7" s="58">
        <f t="shared" ca="1" si="31"/>
        <v>1.1375470575483391</v>
      </c>
      <c r="AU7" s="58">
        <f t="shared" ca="1" si="32"/>
        <v>12.037535000511525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3.5029226851488535</v>
      </c>
      <c r="AZ7" s="58">
        <f t="shared" ca="1" si="37"/>
        <v>4.1890621801780101</v>
      </c>
      <c r="BA7" s="58">
        <f t="shared" ca="1" si="38"/>
        <v>10.605068335450653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2.1667563000920746</v>
      </c>
      <c r="BE7" s="58">
        <f t="shared" ca="1" si="42"/>
        <v>0.81855238003478381</v>
      </c>
      <c r="BF7" s="58">
        <f t="shared" ca="1" si="43"/>
        <v>3.6714481751560153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4.8872392102076798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3.0093837501278813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10</v>
      </c>
      <c r="G8" s="45">
        <v>10</v>
      </c>
      <c r="H8" s="45">
        <v>15</v>
      </c>
      <c r="I8" s="45">
        <v>7</v>
      </c>
      <c r="J8" s="45">
        <v>7</v>
      </c>
      <c r="K8" s="45">
        <v>10</v>
      </c>
      <c r="L8" s="45">
        <f t="shared" si="54"/>
        <v>3.375</v>
      </c>
      <c r="M8" s="45">
        <f t="shared" si="55"/>
        <v>0.65</v>
      </c>
      <c r="N8" s="45">
        <f t="shared" si="56"/>
        <v>0.7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4.5387680554465621</v>
      </c>
      <c r="R8" s="58">
        <f t="shared" ca="1" si="5"/>
        <v>6.8804576856603781</v>
      </c>
      <c r="S8" s="58">
        <f t="shared" ca="1" si="6"/>
        <v>4.5387680554465621</v>
      </c>
      <c r="T8" s="58">
        <f t="shared" ca="1" si="7"/>
        <v>6.2113680602639469</v>
      </c>
      <c r="U8" s="58">
        <f t="shared" ca="1" si="2"/>
        <v>12.037535000511525</v>
      </c>
      <c r="V8" s="58">
        <f t="shared" ca="1" si="8"/>
        <v>3.1056840301319735</v>
      </c>
      <c r="W8" s="58">
        <f t="shared" ca="1" si="9"/>
        <v>2.864933330121743</v>
      </c>
      <c r="X8" s="58">
        <f t="shared" ca="1" si="3"/>
        <v>11.074532200470603</v>
      </c>
      <c r="Y8" s="58">
        <f t="shared" ca="1" si="10"/>
        <v>4.9835394902117711</v>
      </c>
      <c r="Z8" s="58">
        <f t="shared" ca="1" si="11"/>
        <v>2.0102683450854246</v>
      </c>
      <c r="AA8" s="58">
        <f t="shared" ca="1" si="12"/>
        <v>10.018070580300776</v>
      </c>
      <c r="AB8" s="58">
        <f t="shared" ca="1" si="13"/>
        <v>9.0763013903856908</v>
      </c>
      <c r="AC8" s="58">
        <f t="shared" ca="1" si="14"/>
        <v>8.5225747803621594</v>
      </c>
      <c r="AD8" s="58">
        <f t="shared" ca="1" si="15"/>
        <v>2.0988763203497318</v>
      </c>
      <c r="AE8" s="58">
        <f t="shared" ca="1" si="16"/>
        <v>1.7116190434773815</v>
      </c>
      <c r="AF8" s="58">
        <f t="shared" ca="1" si="17"/>
        <v>5.8382044752480899</v>
      </c>
      <c r="AG8" s="58">
        <f t="shared" ca="1" si="18"/>
        <v>3.1779092401350426</v>
      </c>
      <c r="AH8" s="58">
        <f t="shared" ca="1" si="19"/>
        <v>4.5863008351948915</v>
      </c>
      <c r="AI8" s="58">
        <f t="shared" ca="1" si="20"/>
        <v>13.282805590447072</v>
      </c>
      <c r="AJ8" s="58">
        <f t="shared" ca="1" si="21"/>
        <v>0.4699518200265993</v>
      </c>
      <c r="AK8" s="58">
        <f t="shared" ca="1" si="22"/>
        <v>3.2501344501381122</v>
      </c>
      <c r="AL8" s="58">
        <f t="shared" ca="1" si="23"/>
        <v>7.1502957903038453</v>
      </c>
      <c r="AM8" s="58">
        <f t="shared" ca="1" si="24"/>
        <v>1.6250672250690561</v>
      </c>
      <c r="AN8" s="58">
        <f t="shared" ca="1" si="25"/>
        <v>11.36343304048288</v>
      </c>
      <c r="AO8" s="58">
        <f t="shared" ca="1" si="26"/>
        <v>1.1748795500664984</v>
      </c>
      <c r="AP8" s="58">
        <f t="shared" ca="1" si="27"/>
        <v>2.6479977551498766</v>
      </c>
      <c r="AQ8" s="58">
        <f t="shared" ca="1" si="28"/>
        <v>0.58743977503324918</v>
      </c>
      <c r="AR8" s="58">
        <f t="shared" ca="1" si="29"/>
        <v>2.2750941150966781</v>
      </c>
      <c r="AS8" s="58">
        <f t="shared" ca="1" si="30"/>
        <v>2.2750941150966781</v>
      </c>
      <c r="AT8" s="58">
        <f t="shared" ca="1" si="31"/>
        <v>1.1375470575483391</v>
      </c>
      <c r="AU8" s="58">
        <f t="shared" ca="1" si="32"/>
        <v>12.037535000511525</v>
      </c>
      <c r="AV8" s="58">
        <f t="shared" ca="1" si="33"/>
        <v>2.2864963551294157</v>
      </c>
      <c r="AW8" s="58">
        <f t="shared" ca="1" si="34"/>
        <v>4.9796817852818505</v>
      </c>
      <c r="AX8" s="58">
        <f t="shared" ca="1" si="35"/>
        <v>1.1432481775647079</v>
      </c>
      <c r="AY8" s="58">
        <f t="shared" ca="1" si="36"/>
        <v>3.5029226851488535</v>
      </c>
      <c r="AZ8" s="58">
        <f t="shared" ca="1" si="37"/>
        <v>4.1890621801780101</v>
      </c>
      <c r="BA8" s="58">
        <f t="shared" ca="1" si="38"/>
        <v>10.605068335450653</v>
      </c>
      <c r="BB8" s="58">
        <f t="shared" ca="1" si="39"/>
        <v>12.626368615454744</v>
      </c>
      <c r="BC8" s="58">
        <f t="shared" ca="1" si="40"/>
        <v>2.1780459351232775</v>
      </c>
      <c r="BD8" s="58">
        <f t="shared" ca="1" si="41"/>
        <v>2.1667563000920746</v>
      </c>
      <c r="BE8" s="58">
        <f t="shared" ca="1" si="42"/>
        <v>0.81855238003478381</v>
      </c>
      <c r="BF8" s="58">
        <f t="shared" ca="1" si="43"/>
        <v>3.6714481751560153</v>
      </c>
      <c r="BG8" s="58">
        <f t="shared" ca="1" si="44"/>
        <v>19.622270010657822</v>
      </c>
      <c r="BH8" s="58">
        <f t="shared" ca="1" si="45"/>
        <v>1.2200672250690561</v>
      </c>
      <c r="BI8" s="58">
        <f t="shared" ca="1" si="46"/>
        <v>4.8872392102076798</v>
      </c>
      <c r="BJ8" s="58">
        <f t="shared" ca="1" si="47"/>
        <v>5.8605557352665052</v>
      </c>
      <c r="BK8" s="58">
        <f t="shared" ca="1" si="48"/>
        <v>10.176264410575978</v>
      </c>
      <c r="BL8" s="58">
        <f t="shared" ca="1" si="49"/>
        <v>5.8605557352665052</v>
      </c>
      <c r="BM8" s="58">
        <f t="shared" ca="1" si="50"/>
        <v>7.3983843053186806</v>
      </c>
      <c r="BN8" s="58">
        <f t="shared" ca="1" si="51"/>
        <v>12.372385415700277</v>
      </c>
      <c r="BO8" s="58">
        <f t="shared" ca="1" si="52"/>
        <v>7.3983843053186806</v>
      </c>
      <c r="BP8" s="58">
        <f t="shared" ca="1" si="53"/>
        <v>3.0093837501278813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2</v>
      </c>
      <c r="H9" s="45">
        <v>12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0.96093333012174298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0.67426834508542477</v>
      </c>
      <c r="AA9" s="58">
        <f t="shared" ca="1" si="12"/>
        <v>8.2540705803007768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2.0772976907866045</v>
      </c>
      <c r="AE9" s="58">
        <f t="shared" ca="1" si="16"/>
        <v>2.1784055984822879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1.538300835194891</v>
      </c>
      <c r="AI9" s="58">
        <f t="shared" ca="1" si="20"/>
        <v>12.268805590447073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3.8114330404828793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4.0375350005115251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3.5570683354506536</v>
      </c>
      <c r="BB9" s="58">
        <f t="shared" ca="1" si="39"/>
        <v>12.479368615454746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1.2314481751560151</v>
      </c>
      <c r="BG9" s="58">
        <f t="shared" ca="1" si="44"/>
        <v>18.052270010657821</v>
      </c>
      <c r="BH9" s="58">
        <f t="shared" ca="1" si="45"/>
        <v>1.8950672250690561</v>
      </c>
      <c r="BI9" s="58">
        <f t="shared" ca="1" si="46"/>
        <v>1.6392392102076794</v>
      </c>
      <c r="BJ9" s="58">
        <f t="shared" ca="1" si="47"/>
        <v>6.043555735266505</v>
      </c>
      <c r="BK9" s="58">
        <f t="shared" ca="1" si="48"/>
        <v>9.976264410575979</v>
      </c>
      <c r="BL9" s="58">
        <f t="shared" ca="1" si="49"/>
        <v>6.043555735266505</v>
      </c>
      <c r="BM9" s="58">
        <f t="shared" ca="1" si="50"/>
        <v>6.1453843053186805</v>
      </c>
      <c r="BN9" s="58">
        <f t="shared" ca="1" si="51"/>
        <v>9.2173854157002779</v>
      </c>
      <c r="BO9" s="58">
        <f t="shared" ca="1" si="52"/>
        <v>6.1453843053186805</v>
      </c>
      <c r="BP9" s="58">
        <f t="shared" ca="1" si="53"/>
        <v>1.0093837501278813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10</v>
      </c>
      <c r="G10" s="45">
        <v>10</v>
      </c>
      <c r="H10" s="45">
        <v>15</v>
      </c>
      <c r="I10" s="45">
        <v>7</v>
      </c>
      <c r="J10" s="45">
        <v>7</v>
      </c>
      <c r="K10" s="45">
        <v>10</v>
      </c>
      <c r="L10" s="45">
        <f t="shared" si="54"/>
        <v>3.375</v>
      </c>
      <c r="M10" s="45">
        <f t="shared" si="55"/>
        <v>0.65</v>
      </c>
      <c r="N10" s="45">
        <f t="shared" si="56"/>
        <v>0.7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4.5387680554465621</v>
      </c>
      <c r="R10" s="58">
        <f t="shared" ca="1" si="5"/>
        <v>6.8804576856603781</v>
      </c>
      <c r="S10" s="58">
        <f t="shared" ca="1" si="6"/>
        <v>4.5387680554465621</v>
      </c>
      <c r="T10" s="58">
        <f t="shared" ca="1" si="7"/>
        <v>6.2113680602639469</v>
      </c>
      <c r="U10" s="58">
        <f t="shared" ca="1" si="2"/>
        <v>12.037535000511525</v>
      </c>
      <c r="V10" s="58">
        <f t="shared" ca="1" si="8"/>
        <v>3.1056840301319735</v>
      </c>
      <c r="W10" s="58">
        <f t="shared" ca="1" si="9"/>
        <v>2.864933330121743</v>
      </c>
      <c r="X10" s="58">
        <f t="shared" ca="1" si="3"/>
        <v>11.074532200470603</v>
      </c>
      <c r="Y10" s="58">
        <f t="shared" ca="1" si="10"/>
        <v>4.9835394902117711</v>
      </c>
      <c r="Z10" s="58">
        <f t="shared" ca="1" si="11"/>
        <v>2.0102683450854246</v>
      </c>
      <c r="AA10" s="58">
        <f t="shared" ca="1" si="12"/>
        <v>10.018070580300776</v>
      </c>
      <c r="AB10" s="58">
        <f t="shared" ca="1" si="13"/>
        <v>9.0763013903856908</v>
      </c>
      <c r="AC10" s="58">
        <f t="shared" ca="1" si="14"/>
        <v>8.5225747803621594</v>
      </c>
      <c r="AD10" s="58">
        <f t="shared" ca="1" si="15"/>
        <v>2.0988763203497318</v>
      </c>
      <c r="AE10" s="58">
        <f t="shared" ca="1" si="16"/>
        <v>1.7116190434773815</v>
      </c>
      <c r="AF10" s="58">
        <f t="shared" ca="1" si="17"/>
        <v>5.8382044752480899</v>
      </c>
      <c r="AG10" s="58">
        <f t="shared" ca="1" si="18"/>
        <v>3.1779092401350426</v>
      </c>
      <c r="AH10" s="58">
        <f t="shared" ca="1" si="19"/>
        <v>4.5863008351948915</v>
      </c>
      <c r="AI10" s="58">
        <f t="shared" ca="1" si="20"/>
        <v>13.282805590447072</v>
      </c>
      <c r="AJ10" s="58">
        <f t="shared" ca="1" si="21"/>
        <v>0.4699518200265993</v>
      </c>
      <c r="AK10" s="58">
        <f t="shared" ca="1" si="22"/>
        <v>3.2501344501381122</v>
      </c>
      <c r="AL10" s="58">
        <f t="shared" ca="1" si="23"/>
        <v>7.1502957903038453</v>
      </c>
      <c r="AM10" s="58">
        <f t="shared" ca="1" si="24"/>
        <v>1.6250672250690561</v>
      </c>
      <c r="AN10" s="58">
        <f t="shared" ca="1" si="25"/>
        <v>11.36343304048288</v>
      </c>
      <c r="AO10" s="58">
        <f t="shared" ca="1" si="26"/>
        <v>1.1748795500664984</v>
      </c>
      <c r="AP10" s="58">
        <f t="shared" ca="1" si="27"/>
        <v>2.6479977551498766</v>
      </c>
      <c r="AQ10" s="58">
        <f t="shared" ca="1" si="28"/>
        <v>0.58743977503324918</v>
      </c>
      <c r="AR10" s="58">
        <f t="shared" ca="1" si="29"/>
        <v>2.2750941150966781</v>
      </c>
      <c r="AS10" s="58">
        <f t="shared" ca="1" si="30"/>
        <v>2.2750941150966781</v>
      </c>
      <c r="AT10" s="58">
        <f t="shared" ca="1" si="31"/>
        <v>1.1375470575483391</v>
      </c>
      <c r="AU10" s="58">
        <f t="shared" ca="1" si="32"/>
        <v>12.037535000511525</v>
      </c>
      <c r="AV10" s="58">
        <f t="shared" ca="1" si="33"/>
        <v>2.2864963551294157</v>
      </c>
      <c r="AW10" s="58">
        <f t="shared" ca="1" si="34"/>
        <v>4.9796817852818505</v>
      </c>
      <c r="AX10" s="58">
        <f t="shared" ca="1" si="35"/>
        <v>1.1432481775647079</v>
      </c>
      <c r="AY10" s="58">
        <f t="shared" ca="1" si="36"/>
        <v>3.5029226851488535</v>
      </c>
      <c r="AZ10" s="58">
        <f t="shared" ca="1" si="37"/>
        <v>4.1890621801780101</v>
      </c>
      <c r="BA10" s="58">
        <f t="shared" ca="1" si="38"/>
        <v>10.605068335450653</v>
      </c>
      <c r="BB10" s="58">
        <f t="shared" ca="1" si="39"/>
        <v>12.626368615454744</v>
      </c>
      <c r="BC10" s="58">
        <f t="shared" ca="1" si="40"/>
        <v>2.1780459351232775</v>
      </c>
      <c r="BD10" s="58">
        <f t="shared" ca="1" si="41"/>
        <v>2.1667563000920746</v>
      </c>
      <c r="BE10" s="58">
        <f t="shared" ca="1" si="42"/>
        <v>0.81855238003478381</v>
      </c>
      <c r="BF10" s="58">
        <f t="shared" ca="1" si="43"/>
        <v>3.6714481751560153</v>
      </c>
      <c r="BG10" s="58">
        <f t="shared" ca="1" si="44"/>
        <v>19.622270010657822</v>
      </c>
      <c r="BH10" s="58">
        <f t="shared" ca="1" si="45"/>
        <v>1.2200672250690561</v>
      </c>
      <c r="BI10" s="58">
        <f t="shared" ca="1" si="46"/>
        <v>4.8872392102076798</v>
      </c>
      <c r="BJ10" s="58">
        <f t="shared" ca="1" si="47"/>
        <v>5.8605557352665052</v>
      </c>
      <c r="BK10" s="58">
        <f t="shared" ca="1" si="48"/>
        <v>10.176264410575978</v>
      </c>
      <c r="BL10" s="58">
        <f t="shared" ca="1" si="49"/>
        <v>5.8605557352665052</v>
      </c>
      <c r="BM10" s="58">
        <f t="shared" ca="1" si="50"/>
        <v>7.3983843053186806</v>
      </c>
      <c r="BN10" s="58">
        <f t="shared" ca="1" si="51"/>
        <v>12.372385415700277</v>
      </c>
      <c r="BO10" s="58">
        <f t="shared" ca="1" si="52"/>
        <v>7.3983843053186806</v>
      </c>
      <c r="BP10" s="58">
        <f t="shared" ca="1" si="53"/>
        <v>3.0093837501278813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10</v>
      </c>
      <c r="G11" s="45">
        <v>10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3.375</v>
      </c>
      <c r="M11" s="45">
        <f t="shared" si="55"/>
        <v>0.65</v>
      </c>
      <c r="N11" s="45">
        <f t="shared" si="56"/>
        <v>0.7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4.5387680554465621</v>
      </c>
      <c r="R11" s="58">
        <f t="shared" ca="1" si="5"/>
        <v>6.8804576856603781</v>
      </c>
      <c r="S11" s="58">
        <f t="shared" ca="1" si="6"/>
        <v>4.5387680554465621</v>
      </c>
      <c r="T11" s="58">
        <f t="shared" ca="1" si="7"/>
        <v>6.2113680602639469</v>
      </c>
      <c r="U11" s="58">
        <f t="shared" ca="1" si="2"/>
        <v>12.037535000511525</v>
      </c>
      <c r="V11" s="58">
        <f t="shared" ca="1" si="8"/>
        <v>3.1056840301319735</v>
      </c>
      <c r="W11" s="58">
        <f t="shared" ca="1" si="9"/>
        <v>2.864933330121743</v>
      </c>
      <c r="X11" s="58">
        <f t="shared" ca="1" si="3"/>
        <v>11.074532200470603</v>
      </c>
      <c r="Y11" s="58">
        <f t="shared" ca="1" si="10"/>
        <v>4.9835394902117711</v>
      </c>
      <c r="Z11" s="58">
        <f t="shared" ca="1" si="11"/>
        <v>2.0102683450854246</v>
      </c>
      <c r="AA11" s="58">
        <f t="shared" ca="1" si="12"/>
        <v>10.018070580300776</v>
      </c>
      <c r="AB11" s="58">
        <f t="shared" ca="1" si="13"/>
        <v>9.0763013903856908</v>
      </c>
      <c r="AC11" s="58">
        <f t="shared" ca="1" si="14"/>
        <v>8.5225747803621594</v>
      </c>
      <c r="AD11" s="58">
        <f t="shared" ca="1" si="15"/>
        <v>2.0988763203497318</v>
      </c>
      <c r="AE11" s="58">
        <f t="shared" ca="1" si="16"/>
        <v>1.7116190434773815</v>
      </c>
      <c r="AF11" s="58">
        <f t="shared" ca="1" si="17"/>
        <v>5.8382044752480899</v>
      </c>
      <c r="AG11" s="58">
        <f t="shared" ca="1" si="18"/>
        <v>3.1779092401350426</v>
      </c>
      <c r="AH11" s="58">
        <f t="shared" ca="1" si="19"/>
        <v>4.5863008351948915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3.2501344501381122</v>
      </c>
      <c r="AL11" s="58">
        <f t="shared" ca="1" si="23"/>
        <v>7.1502957903038453</v>
      </c>
      <c r="AM11" s="58">
        <f t="shared" ca="1" si="24"/>
        <v>1.6250672250690561</v>
      </c>
      <c r="AN11" s="58">
        <f t="shared" ca="1" si="25"/>
        <v>11.36343304048288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2.2750941150966781</v>
      </c>
      <c r="AS11" s="58">
        <f t="shared" ca="1" si="30"/>
        <v>2.2750941150966781</v>
      </c>
      <c r="AT11" s="58">
        <f t="shared" ca="1" si="31"/>
        <v>1.1375470575483391</v>
      </c>
      <c r="AU11" s="58">
        <f t="shared" ca="1" si="32"/>
        <v>12.037535000511525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3.5029226851488535</v>
      </c>
      <c r="AZ11" s="58">
        <f t="shared" ca="1" si="37"/>
        <v>4.1890621801780101</v>
      </c>
      <c r="BA11" s="58">
        <f t="shared" ca="1" si="38"/>
        <v>10.605068335450653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2.1667563000920746</v>
      </c>
      <c r="BE11" s="58">
        <f t="shared" ca="1" si="42"/>
        <v>0.81855238003478381</v>
      </c>
      <c r="BF11" s="58">
        <f t="shared" ca="1" si="43"/>
        <v>3.6714481751560153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4.8872392102076798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3.0093837501278813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14</v>
      </c>
      <c r="G12" s="45">
        <v>10</v>
      </c>
      <c r="H12" s="45">
        <v>2</v>
      </c>
      <c r="I12" s="45">
        <v>12</v>
      </c>
      <c r="J12" s="45">
        <v>2</v>
      </c>
      <c r="K12" s="45">
        <v>19</v>
      </c>
      <c r="L12" s="45">
        <f t="shared" si="54"/>
        <v>5.125</v>
      </c>
      <c r="M12" s="45">
        <f t="shared" si="55"/>
        <v>0.67</v>
      </c>
      <c r="N12" s="45">
        <f t="shared" si="56"/>
        <v>1.1300000000000001</v>
      </c>
      <c r="O12" s="45">
        <f t="shared" ca="1" si="0"/>
        <v>19.476972753142121</v>
      </c>
      <c r="P12" s="45">
        <f t="shared" ca="1" si="1"/>
        <v>21.022502819241964</v>
      </c>
      <c r="Q12" s="58">
        <f t="shared" ca="1" si="4"/>
        <v>5.6427680554465613</v>
      </c>
      <c r="R12" s="58">
        <f t="shared" ca="1" si="5"/>
        <v>8.5804576856603791</v>
      </c>
      <c r="S12" s="58">
        <f t="shared" ca="1" si="6"/>
        <v>5.6427680554465613</v>
      </c>
      <c r="T12" s="58">
        <f t="shared" ca="1" si="7"/>
        <v>8.275368060263947</v>
      </c>
      <c r="U12" s="58">
        <f t="shared" ca="1" si="2"/>
        <v>16.037535000511525</v>
      </c>
      <c r="V12" s="58">
        <f t="shared" ca="1" si="8"/>
        <v>4.1376840301319735</v>
      </c>
      <c r="W12" s="58">
        <f t="shared" ca="1" si="9"/>
        <v>2.864933330121743</v>
      </c>
      <c r="X12" s="58">
        <f t="shared" ca="1" si="3"/>
        <v>14.754532200470603</v>
      </c>
      <c r="Y12" s="58">
        <f t="shared" ca="1" si="10"/>
        <v>6.6395394902117708</v>
      </c>
      <c r="Z12" s="58">
        <f t="shared" ca="1" si="11"/>
        <v>2.0102683450854246</v>
      </c>
      <c r="AA12" s="58">
        <f t="shared" ca="1" si="12"/>
        <v>2.3740705803007764</v>
      </c>
      <c r="AB12" s="58">
        <f t="shared" ca="1" si="13"/>
        <v>12.092301390385691</v>
      </c>
      <c r="AC12" s="58">
        <f t="shared" ca="1" si="14"/>
        <v>11.354574780362158</v>
      </c>
      <c r="AD12" s="58">
        <f t="shared" ca="1" si="15"/>
        <v>3.4070293457011802</v>
      </c>
      <c r="AE12" s="58">
        <f t="shared" ca="1" si="16"/>
        <v>1.8795955183349689</v>
      </c>
      <c r="AF12" s="58">
        <f t="shared" ca="1" si="17"/>
        <v>7.7782044752480894</v>
      </c>
      <c r="AG12" s="58">
        <f t="shared" ca="1" si="18"/>
        <v>4.2339092401350431</v>
      </c>
      <c r="AH12" s="58">
        <f t="shared" ca="1" si="19"/>
        <v>4.5863008351948915</v>
      </c>
      <c r="AI12" s="58">
        <f t="shared" ca="1" si="20"/>
        <v>5.5388055904470725</v>
      </c>
      <c r="AJ12" s="58">
        <f t="shared" ca="1" si="21"/>
        <v>0.72995182002659931</v>
      </c>
      <c r="AK12" s="58">
        <f t="shared" ca="1" si="22"/>
        <v>4.3301344501381118</v>
      </c>
      <c r="AL12" s="58">
        <f t="shared" ca="1" si="23"/>
        <v>9.5262957903038448</v>
      </c>
      <c r="AM12" s="58">
        <f t="shared" ca="1" si="24"/>
        <v>2.1650672250690559</v>
      </c>
      <c r="AN12" s="58">
        <f t="shared" ca="1" si="25"/>
        <v>11.36343304048288</v>
      </c>
      <c r="AO12" s="58">
        <f t="shared" ca="1" si="26"/>
        <v>1.8248795500664983</v>
      </c>
      <c r="AP12" s="58">
        <f t="shared" ca="1" si="27"/>
        <v>2.3829977551498769</v>
      </c>
      <c r="AQ12" s="58">
        <f t="shared" ca="1" si="28"/>
        <v>0.91243977503324913</v>
      </c>
      <c r="AR12" s="58">
        <f t="shared" ca="1" si="29"/>
        <v>3.0310941150966784</v>
      </c>
      <c r="AS12" s="58">
        <f t="shared" ca="1" si="30"/>
        <v>3.0310941150966784</v>
      </c>
      <c r="AT12" s="58">
        <f t="shared" ca="1" si="31"/>
        <v>1.5155470575483392</v>
      </c>
      <c r="AU12" s="58">
        <f t="shared" ca="1" si="32"/>
        <v>12.037535000511525</v>
      </c>
      <c r="AV12" s="58">
        <f t="shared" ca="1" si="33"/>
        <v>3.5514963551294159</v>
      </c>
      <c r="AW12" s="58">
        <f t="shared" ca="1" si="34"/>
        <v>5.6346817852818507</v>
      </c>
      <c r="AX12" s="58">
        <f t="shared" ca="1" si="35"/>
        <v>1.7757481775647079</v>
      </c>
      <c r="AY12" s="58">
        <f t="shared" ca="1" si="36"/>
        <v>4.6669226851488537</v>
      </c>
      <c r="AZ12" s="58">
        <f t="shared" ca="1" si="37"/>
        <v>5.5810621801780105</v>
      </c>
      <c r="BA12" s="58">
        <f t="shared" ca="1" si="38"/>
        <v>10.605068335450653</v>
      </c>
      <c r="BB12" s="58">
        <f t="shared" ca="1" si="39"/>
        <v>6.7393686154547456</v>
      </c>
      <c r="BC12" s="58">
        <f t="shared" ca="1" si="40"/>
        <v>3.3830459351232776</v>
      </c>
      <c r="BD12" s="58">
        <f t="shared" ca="1" si="41"/>
        <v>2.8867563000920744</v>
      </c>
      <c r="BE12" s="58">
        <f t="shared" ca="1" si="42"/>
        <v>1.0905523800347838</v>
      </c>
      <c r="BF12" s="58">
        <f t="shared" ca="1" si="43"/>
        <v>3.6714481751560153</v>
      </c>
      <c r="BG12" s="58">
        <f t="shared" ca="1" si="44"/>
        <v>8.0522700106578213</v>
      </c>
      <c r="BH12" s="58">
        <f t="shared" ca="1" si="45"/>
        <v>1.8950672250690561</v>
      </c>
      <c r="BI12" s="58">
        <f t="shared" ca="1" si="46"/>
        <v>4.8872392102076798</v>
      </c>
      <c r="BJ12" s="58">
        <f t="shared" ca="1" si="47"/>
        <v>4.6035557352665037</v>
      </c>
      <c r="BK12" s="58">
        <f t="shared" ca="1" si="48"/>
        <v>9.976264410575979</v>
      </c>
      <c r="BL12" s="58">
        <f t="shared" ca="1" si="49"/>
        <v>4.6035557352665037</v>
      </c>
      <c r="BM12" s="58">
        <f t="shared" ca="1" si="50"/>
        <v>3.9353843053186801</v>
      </c>
      <c r="BN12" s="58">
        <f t="shared" ca="1" si="51"/>
        <v>9.2173854157002779</v>
      </c>
      <c r="BO12" s="58">
        <f t="shared" ca="1" si="52"/>
        <v>3.9353843053186801</v>
      </c>
      <c r="BP12" s="58">
        <f t="shared" ca="1" si="53"/>
        <v>3.0093837501278813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10</v>
      </c>
      <c r="H13" s="45">
        <v>10</v>
      </c>
      <c r="I13" s="45">
        <v>12</v>
      </c>
      <c r="J13" s="45">
        <v>12</v>
      </c>
      <c r="K13" s="45">
        <v>10</v>
      </c>
      <c r="L13" s="45">
        <f t="shared" si="54"/>
        <v>3.625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2.864933330121743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2.0102683450854246</v>
      </c>
      <c r="AA13" s="58">
        <f t="shared" ca="1" si="12"/>
        <v>7.0780705803007766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2.0596666666666668</v>
      </c>
      <c r="AE13" s="58">
        <f t="shared" ca="1" si="16"/>
        <v>1.7159999999999997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4.5863008351948915</v>
      </c>
      <c r="AI13" s="58">
        <f t="shared" ca="1" si="20"/>
        <v>10.922805590447073</v>
      </c>
      <c r="AJ13" s="58">
        <f t="shared" ca="1" si="21"/>
        <v>0.72995182002659931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11.36343304048288</v>
      </c>
      <c r="AO13" s="58">
        <f t="shared" ca="1" si="26"/>
        <v>1.8248795500664983</v>
      </c>
      <c r="AP13" s="58">
        <f t="shared" ca="1" si="27"/>
        <v>4.1129977551498769</v>
      </c>
      <c r="AQ13" s="58">
        <f t="shared" ca="1" si="28"/>
        <v>0.91243977503324913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12.037535000511525</v>
      </c>
      <c r="AV13" s="58">
        <f t="shared" ca="1" si="33"/>
        <v>3.5514963551294159</v>
      </c>
      <c r="AW13" s="58">
        <f t="shared" ca="1" si="34"/>
        <v>7.7346817852818504</v>
      </c>
      <c r="AX13" s="58">
        <f t="shared" ca="1" si="35"/>
        <v>1.7757481775647079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10.605068335450653</v>
      </c>
      <c r="BB13" s="58">
        <f t="shared" ca="1" si="39"/>
        <v>11.331368615454746</v>
      </c>
      <c r="BC13" s="58">
        <f t="shared" ca="1" si="40"/>
        <v>3.3830459351232776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3.6714481751560153</v>
      </c>
      <c r="BG13" s="58">
        <f t="shared" ca="1" si="44"/>
        <v>16.052270010657821</v>
      </c>
      <c r="BH13" s="58">
        <f t="shared" ca="1" si="45"/>
        <v>1.8950672250690561</v>
      </c>
      <c r="BI13" s="58">
        <f t="shared" ca="1" si="46"/>
        <v>4.8872392102076798</v>
      </c>
      <c r="BJ13" s="58">
        <f t="shared" ca="1" si="47"/>
        <v>7.0255557352665043</v>
      </c>
      <c r="BK13" s="58">
        <f t="shared" ca="1" si="48"/>
        <v>15.806264410575977</v>
      </c>
      <c r="BL13" s="58">
        <f t="shared" ca="1" si="49"/>
        <v>7.0255557352665043</v>
      </c>
      <c r="BM13" s="58">
        <f t="shared" ca="1" si="50"/>
        <v>8.30338430531868</v>
      </c>
      <c r="BN13" s="58">
        <f t="shared" ca="1" si="51"/>
        <v>19.217385415700278</v>
      </c>
      <c r="BO13" s="58">
        <f t="shared" ca="1" si="52"/>
        <v>8.30338430531868</v>
      </c>
      <c r="BP13" s="58">
        <f t="shared" ca="1" si="53"/>
        <v>3.0093837501278813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0.6399999999999999</v>
      </c>
      <c r="L16" s="63">
        <f>N3</f>
        <v>0.98000000000000009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213</v>
      </c>
      <c r="B18" s="54">
        <f>1-0.1</f>
        <v>0.9</v>
      </c>
      <c r="C18" s="49">
        <f ca="1">AB5*B18</f>
        <v>10.883071251347122</v>
      </c>
      <c r="D18" s="49">
        <f ca="1">AC5*B18</f>
        <v>10.219117302325943</v>
      </c>
      <c r="E18" s="49">
        <v>0</v>
      </c>
      <c r="F18" s="49">
        <f ca="1">AD5*B18</f>
        <v>1.8695679217079442</v>
      </c>
      <c r="G18" s="49">
        <f ca="1">AE5*B18</f>
        <v>1.9605650386340592</v>
      </c>
      <c r="H18" s="49">
        <v>0</v>
      </c>
      <c r="I18" s="49">
        <v>0</v>
      </c>
      <c r="J18" s="49">
        <f>L5*B18</f>
        <v>4.6124999999999998</v>
      </c>
      <c r="K18" s="49">
        <f>M5*B18</f>
        <v>0.36000000000000004</v>
      </c>
      <c r="L18" s="49">
        <f>N5*B18</f>
        <v>0.77400000000000013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2.1667563000920746</v>
      </c>
      <c r="D20" s="49">
        <f ca="1">BE7</f>
        <v>0.81855238003478381</v>
      </c>
      <c r="E20" s="49">
        <v>0</v>
      </c>
      <c r="F20" s="49">
        <f ca="1">BF7</f>
        <v>3.6714481751560153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0.7</v>
      </c>
    </row>
    <row r="21" spans="1:20" x14ac:dyDescent="0.25">
      <c r="A21" s="48" t="s">
        <v>102</v>
      </c>
      <c r="B21" s="54">
        <f>1-0.065</f>
        <v>0.93500000000000005</v>
      </c>
      <c r="C21" s="49">
        <f ca="1">AY3*B21</f>
        <v>3.5473177106141782</v>
      </c>
      <c r="D21" s="49">
        <f ca="1">AZ8*B21</f>
        <v>3.9167731384664397</v>
      </c>
      <c r="E21" s="49">
        <v>0</v>
      </c>
      <c r="F21" s="49">
        <f ca="1">BA8*B21</f>
        <v>9.9157388936463615</v>
      </c>
      <c r="G21" s="49">
        <f ca="1">BB8*B21</f>
        <v>11.805654655450187</v>
      </c>
      <c r="H21" s="49">
        <f ca="1">BC8*B21</f>
        <v>2.0364729493402645</v>
      </c>
      <c r="I21" s="49">
        <v>0</v>
      </c>
      <c r="J21" s="49">
        <v>0</v>
      </c>
      <c r="K21" s="49">
        <f>M8*B21</f>
        <v>0.60775000000000001</v>
      </c>
      <c r="L21" s="49">
        <f>N8*B21</f>
        <v>0.65449999999999997</v>
      </c>
      <c r="T21" s="62"/>
    </row>
    <row r="22" spans="1:20" x14ac:dyDescent="0.25">
      <c r="A22" s="48" t="s">
        <v>213</v>
      </c>
      <c r="B22" s="54">
        <f>1-0.1</f>
        <v>0.9</v>
      </c>
      <c r="C22" s="49">
        <v>0</v>
      </c>
      <c r="D22" s="49">
        <f ca="1">AC9*B18</f>
        <v>10.219117302325943</v>
      </c>
      <c r="E22" s="49">
        <f ca="1">AB9*B18</f>
        <v>10.883071251347122</v>
      </c>
      <c r="F22" s="49">
        <f ca="1">AD9*B18</f>
        <v>1.8695679217079442</v>
      </c>
      <c r="G22" s="49">
        <v>0</v>
      </c>
      <c r="H22" s="49">
        <v>0</v>
      </c>
      <c r="I22" s="49">
        <f ca="1">AE9*B18</f>
        <v>1.9605650386340592</v>
      </c>
      <c r="J22" s="49">
        <f>L9*B22</f>
        <v>4.6124999999999998</v>
      </c>
      <c r="K22" s="49">
        <f>M9*B22</f>
        <v>0.36000000000000004</v>
      </c>
      <c r="L22" s="49">
        <f>N9*B22</f>
        <v>0.77400000000000013</v>
      </c>
    </row>
    <row r="23" spans="1:20" x14ac:dyDescent="0.25">
      <c r="A23" s="48" t="s">
        <v>102</v>
      </c>
      <c r="B23" s="54">
        <f>1-0.065</f>
        <v>0.93500000000000005</v>
      </c>
      <c r="C23" s="49">
        <v>0</v>
      </c>
      <c r="D23" s="49">
        <f ca="1">AZ10*B23</f>
        <v>3.9167731384664397</v>
      </c>
      <c r="E23" s="49">
        <f ca="1">AY10*B23</f>
        <v>3.2752327106141781</v>
      </c>
      <c r="F23" s="49">
        <f ca="1">BA10*B23</f>
        <v>9.9157388936463615</v>
      </c>
      <c r="G23" s="49">
        <v>0</v>
      </c>
      <c r="H23" s="49">
        <f ca="1">BC10*B23</f>
        <v>2.0364729493402645</v>
      </c>
      <c r="I23" s="49">
        <f ca="1">BB10*B23</f>
        <v>11.805654655450187</v>
      </c>
      <c r="J23" s="49">
        <v>0</v>
      </c>
      <c r="K23" s="49">
        <f>M10*B23</f>
        <v>0.60775000000000001</v>
      </c>
      <c r="L23" s="49">
        <f>N10*B23</f>
        <v>0.65449999999999997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0.81855238003478381</v>
      </c>
      <c r="E24" s="49">
        <f ca="1">AY11</f>
        <v>3.5029226851488535</v>
      </c>
      <c r="F24" s="49">
        <f ca="1">BF11</f>
        <v>3.6714481751560153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0.7</v>
      </c>
    </row>
    <row r="25" spans="1:20" x14ac:dyDescent="0.25">
      <c r="A25" s="48" t="s">
        <v>100</v>
      </c>
      <c r="B25" s="54">
        <f>1-0.1</f>
        <v>0.9</v>
      </c>
      <c r="C25" s="49">
        <f ca="1">(V12+T12)/2*B25</f>
        <v>5.5858734406781645</v>
      </c>
      <c r="D25" s="49">
        <f ca="1">U12*B25</f>
        <v>14.433781500460373</v>
      </c>
      <c r="E25" s="49">
        <f ca="1">C25</f>
        <v>5.5858734406781645</v>
      </c>
      <c r="F25" s="49">
        <f ca="1">BP12*B25</f>
        <v>2.7084453751150934</v>
      </c>
      <c r="G25" s="49">
        <f ca="1">BM12*B25</f>
        <v>3.5418458747868122</v>
      </c>
      <c r="H25" s="49">
        <f ca="1">BN12*B25</f>
        <v>8.2956468741302505</v>
      </c>
      <c r="I25" s="49">
        <f ca="1">BO12*B25</f>
        <v>3.5418458747868122</v>
      </c>
      <c r="J25" s="49">
        <f>L12*B25</f>
        <v>4.6124999999999998</v>
      </c>
      <c r="K25" s="49">
        <f>M12*B25</f>
        <v>0.60300000000000009</v>
      </c>
      <c r="L25" s="49">
        <f>N12*B25</f>
        <v>1.0170000000000001</v>
      </c>
    </row>
    <row r="26" spans="1:20" x14ac:dyDescent="0.25">
      <c r="A26" s="48" t="s">
        <v>118</v>
      </c>
      <c r="B26" s="54">
        <v>1</v>
      </c>
      <c r="C26" s="49">
        <v>0</v>
      </c>
      <c r="D26" s="49">
        <v>0</v>
      </c>
      <c r="E26" s="49">
        <v>0</v>
      </c>
      <c r="F26" s="49">
        <f ca="1">BP13*B26</f>
        <v>3.0093837501278813</v>
      </c>
      <c r="G26" s="49">
        <f ca="1">BM13*B26</f>
        <v>8.30338430531868</v>
      </c>
      <c r="H26" s="49">
        <f ca="1">BN13*B26</f>
        <v>19.217385415700278</v>
      </c>
      <c r="I26" s="49">
        <f ca="1">BO13*B26</f>
        <v>8.30338430531868</v>
      </c>
      <c r="J26" s="49">
        <v>0</v>
      </c>
      <c r="K26" s="49">
        <f>M13*B26</f>
        <v>0.9</v>
      </c>
      <c r="L26" s="49">
        <f>N13*B26</f>
        <v>0.38</v>
      </c>
    </row>
    <row r="27" spans="1:20" x14ac:dyDescent="0.25">
      <c r="A27" s="50"/>
      <c r="B27" s="46"/>
      <c r="C27" s="51">
        <f ca="1">SUM(C16:C26)</f>
        <v>50.707318958648706</v>
      </c>
      <c r="D27" s="51">
        <f t="shared" ref="D27:L27" ca="1" si="59">SUM(D16:D26)</f>
        <v>77.917203808198607</v>
      </c>
      <c r="E27" s="51">
        <f t="shared" ca="1" si="59"/>
        <v>51.77140034370548</v>
      </c>
      <c r="F27" s="51">
        <f t="shared" ca="1" si="59"/>
        <v>37.979875796434463</v>
      </c>
      <c r="G27" s="51">
        <f t="shared" ca="1" si="59"/>
        <v>53.487790465148343</v>
      </c>
      <c r="H27" s="51">
        <f t="shared" ca="1" si="59"/>
        <v>34.026112638649167</v>
      </c>
      <c r="I27" s="51">
        <f t="shared" ca="1" si="59"/>
        <v>53.487790465148343</v>
      </c>
      <c r="J27" s="52">
        <f t="shared" si="59"/>
        <v>24.087500000000002</v>
      </c>
      <c r="K27" s="52">
        <f t="shared" si="59"/>
        <v>6.1785000000000005</v>
      </c>
      <c r="L27" s="52">
        <f t="shared" si="59"/>
        <v>8.354000000000001</v>
      </c>
    </row>
    <row r="28" spans="1:20" ht="15.75" x14ac:dyDescent="0.25">
      <c r="A28" s="50"/>
      <c r="B28" s="50" t="s">
        <v>105</v>
      </c>
      <c r="C28" s="53">
        <f ca="1">C27*0.34</f>
        <v>17.24048844594056</v>
      </c>
      <c r="D28" s="53">
        <f ca="1">D27*0.245</f>
        <v>19.089714933008658</v>
      </c>
      <c r="E28" s="53">
        <f ca="1">E27*0.34</f>
        <v>17.602276116859866</v>
      </c>
      <c r="F28" s="53">
        <f ca="1">F27*0.125</f>
        <v>4.7474844745543079</v>
      </c>
      <c r="G28" s="53">
        <f ca="1">G27*0.25</f>
        <v>13.371947616287086</v>
      </c>
      <c r="H28" s="53">
        <f ca="1">H27*0.19</f>
        <v>6.4649614013433414</v>
      </c>
      <c r="I28" s="53">
        <f ca="1">I27*0.25</f>
        <v>13.371947616287086</v>
      </c>
    </row>
    <row r="29" spans="1:20" ht="15.75" x14ac:dyDescent="0.25">
      <c r="A29" s="50"/>
      <c r="B29" s="50" t="s">
        <v>106</v>
      </c>
      <c r="C29" s="53">
        <f ca="1">C28*1.2/1.05</f>
        <v>19.703415366789208</v>
      </c>
      <c r="D29" s="53">
        <f t="shared" ref="D29:E29" ca="1" si="60">D28*1.2/1.05</f>
        <v>21.816817066295609</v>
      </c>
      <c r="E29" s="53">
        <f t="shared" ca="1" si="60"/>
        <v>20.116886990696987</v>
      </c>
      <c r="F29" s="53">
        <f ca="1">F28</f>
        <v>4.7474844745543079</v>
      </c>
      <c r="G29" s="53">
        <f ca="1">G28*0.925/1.05</f>
        <v>11.780049090538622</v>
      </c>
      <c r="H29" s="53">
        <f t="shared" ref="H29:I29" ca="1" si="61">H28*0.925/1.05</f>
        <v>5.6953231392786581</v>
      </c>
      <c r="I29" s="53">
        <f t="shared" ca="1" si="61"/>
        <v>11.780049090538622</v>
      </c>
    </row>
    <row r="30" spans="1:20" ht="15.75" x14ac:dyDescent="0.25">
      <c r="A30" s="50"/>
      <c r="B30" s="50" t="s">
        <v>107</v>
      </c>
      <c r="C30" s="53">
        <f ca="1">C28*0.925/1.05</f>
        <v>15.188049345233349</v>
      </c>
      <c r="D30" s="53">
        <f t="shared" ref="D30:E30" ca="1" si="62">D28*0.925/1.05</f>
        <v>16.817129821936199</v>
      </c>
      <c r="E30" s="53">
        <f t="shared" ca="1" si="62"/>
        <v>15.506767055328929</v>
      </c>
      <c r="F30" s="53">
        <f ca="1">F29</f>
        <v>4.7474844745543079</v>
      </c>
      <c r="G30" s="53">
        <f ca="1">G28*1.135/1.05</f>
        <v>14.454438613796039</v>
      </c>
      <c r="H30" s="53">
        <f t="shared" ref="H30:I30" ca="1" si="63">H28*1.135/1.05</f>
        <v>6.9883154195473258</v>
      </c>
      <c r="I30" s="53">
        <f t="shared" ca="1" si="63"/>
        <v>14.454438613796039</v>
      </c>
    </row>
  </sheetData>
  <conditionalFormatting sqref="O3:P13">
    <cfRule type="cellIs" dxfId="112" priority="15" operator="greaterThan">
      <formula>15</formula>
    </cfRule>
  </conditionalFormatting>
  <conditionalFormatting sqref="L3:L13">
    <cfRule type="cellIs" dxfId="111" priority="14" operator="greaterThan">
      <formula>3.2</formula>
    </cfRule>
  </conditionalFormatting>
  <conditionalFormatting sqref="M3:N13">
    <cfRule type="cellIs" dxfId="110" priority="13" operator="greaterThan">
      <formula>0.6</formula>
    </cfRule>
  </conditionalFormatting>
  <conditionalFormatting sqref="Q3:V13 X3:Y13 AF3:AG13 AK3:AM13 AY3:AY13 BD3:BE13">
    <cfRule type="cellIs" dxfId="109" priority="12" operator="greaterThan">
      <formula>12.5</formula>
    </cfRule>
  </conditionalFormatting>
  <conditionalFormatting sqref="W3:W13 AH3:AH13 AN3:AN13 BA3:BA13 BF3:BF13 BI3:BI13">
    <cfRule type="cellIs" dxfId="108" priority="11" operator="greaterThan">
      <formula>12.5</formula>
    </cfRule>
  </conditionalFormatting>
  <conditionalFormatting sqref="AA3:AA13 AI3:AJ13 AO3:AQ13 BB3:BC13 BG3:BH13 BJ3:BO13">
    <cfRule type="cellIs" dxfId="107" priority="10" operator="greaterThan">
      <formula>12.5</formula>
    </cfRule>
  </conditionalFormatting>
  <conditionalFormatting sqref="D3:D13">
    <cfRule type="cellIs" dxfId="106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105" priority="8" operator="greaterThan">
      <formula>12.5</formula>
    </cfRule>
  </conditionalFormatting>
  <conditionalFormatting sqref="AE3:AE13">
    <cfRule type="cellIs" dxfId="104" priority="7" operator="greaterThan">
      <formula>12.5</formula>
    </cfRule>
  </conditionalFormatting>
  <conditionalFormatting sqref="BP3:BP13">
    <cfRule type="cellIs" dxfId="103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102" priority="3" operator="greaterThan">
      <formula>12.5</formula>
    </cfRule>
  </conditionalFormatting>
  <conditionalFormatting sqref="AU3:AU13">
    <cfRule type="cellIs" dxfId="101" priority="2" operator="greaterThan">
      <formula>12.5</formula>
    </cfRule>
  </conditionalFormatting>
  <conditionalFormatting sqref="AV3:AX13">
    <cfRule type="cellIs" dxfId="100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BP30"/>
  <sheetViews>
    <sheetView zoomScale="80" zoomScaleNormal="80" workbookViewId="0">
      <pane xSplit="11" ySplit="2" topLeftCell="BA3" activePane="bottomRight" state="frozen"/>
      <selection pane="topRight" activeCell="L1" sqref="L1"/>
      <selection pane="bottomLeft" activeCell="A3" sqref="A3"/>
      <selection pane="bottomRight" activeCell="BD25" sqref="BD25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14</v>
      </c>
      <c r="F3" s="45">
        <v>11</v>
      </c>
      <c r="G3" s="45">
        <v>2</v>
      </c>
      <c r="H3" s="45">
        <v>2</v>
      </c>
      <c r="I3" s="45">
        <v>2</v>
      </c>
      <c r="J3" s="45">
        <v>2</v>
      </c>
      <c r="K3" s="45">
        <v>14</v>
      </c>
      <c r="L3" s="45">
        <f>((2*(I3+1))+(F3+1))/8</f>
        <v>2.25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13.172768055446561</v>
      </c>
      <c r="R3" s="58">
        <f ca="1">IF(TODAY()-B3&gt;335,((E3+1+(LOG(D3)*4/3))*0.866)+((F3+1+(LOG(D3)*4/3))*0.425),((E3+(((TODAY()-B3)^0.5)/(336^0.5))+(LOG(D3)*4/3))*0.866)+((F3+(((TODAY()-B3)^0.5)/(336^0.5))+(LOG(D3)*4/3))*0.425))</f>
        <v>19.429457685660378</v>
      </c>
      <c r="S3" s="58">
        <f ca="1">Q3</f>
        <v>13.172768055446561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2.3740705803007764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2.5720293457011798</v>
      </c>
      <c r="AE3" s="58">
        <f ca="1">IF(TODAY()-F3&gt;335,((L3+1+(LOG(H3)*4/3))*0.288),((L3+(((TODAY()-F3)^0.5)/(336^0.5))+(LOG(H3)*4/3))*0.288))</f>
        <v>1.0515955183349688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3.5288055904470732</v>
      </c>
      <c r="AJ3" s="58">
        <f ca="1">IF(TODAY()-B3&gt;335,((I3+1+(LOG(D3)*4/3))*0.052),((I3+(((TODAY()-B3)^0.5)/(336^0.5))+(LOG(D3)*4/3))*0.052))</f>
        <v>0.20995182002659929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0.52487955006649833</v>
      </c>
      <c r="AP3" s="58">
        <f ca="1">IF(TODAY()-B3&gt;335,((J3+1+(LOG(D3)*4/3))*0.173)+((I3+1+(LOG(D3)*4/3))*0.12),((J3+(((TODAY()-B3)^0.5)/(336^0.5))+(LOG(D3)*4/3))*0.173)+((I3+(((TODAY()-B3)^0.5)/(336^0.5))+(LOG(D3)*4/3))*0.12))</f>
        <v>1.1829977551498767</v>
      </c>
      <c r="AQ3" s="58">
        <f ca="1">AO3/2</f>
        <v>0.26243977503324917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1.0214963551294158</v>
      </c>
      <c r="AW3" s="58">
        <f ca="1">IF(TODAY()-B3&gt;335,((J3+1+(LOG(D3)*4/3))*0.21)+((I3+1+(LOG(D3)*4/3))*0.341),((J3+(((TODAY()-B3)^0.5)/(336^0.5))+(LOG(D3)*4/3))*0.21)+((I3+(((TODAY()-B3)^0.5)/(336^0.5))+(LOG(D3)*4/3))*0.341))</f>
        <v>2.2246817852818506</v>
      </c>
      <c r="AX3" s="58">
        <f ca="1">AV3/2</f>
        <v>0.51074817756470792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3.5893686154547457</v>
      </c>
      <c r="BC3" s="58">
        <f ca="1">IF(TODAY()-B3&gt;335,((I3+1+(LOG(D3)*4/3))*0.241),((I3+(((TODAY()-B3)^0.5)/(336^0.5))+(LOG(D3)*4/3))*0.241))</f>
        <v>0.97304593512327753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5.192270010657821</v>
      </c>
      <c r="BH3" s="58">
        <f ca="1">IF(TODAY()-B3&gt;335,((I3+1+(LOG(D3)*4/3))*0.135),((I3+(((TODAY()-B3)^0.5)/(336^0.5))+(LOG(D3)*4/3))*0.135))</f>
        <v>0.54506722506905592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2.1035557352665046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4.5462644105759775</v>
      </c>
      <c r="BL3" s="58">
        <f ca="1">BJ3</f>
        <v>2.1035557352665046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2.5153843053186802</v>
      </c>
      <c r="BN3" s="58">
        <f ca="1">IF(TODAY()-B3&gt;335,((J3+1+(LOG(D3)*4/3))*1)+((I3+1+(LOG(D3)*4/3))*0.369),((J3+(((TODAY()-B3)^0.5)/(336^0.5))+(LOG(D3)*4/3))*1)+((I3+(((TODAY()-B3)^0.5)/(336^0.5))+(LOG(D3)*4/3))*0.369))</f>
        <v>5.5273854157002784</v>
      </c>
      <c r="BO3" s="58">
        <f ca="1">BM3</f>
        <v>2.5153843053186802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15</v>
      </c>
      <c r="G4" s="45">
        <v>2</v>
      </c>
      <c r="H4" s="45">
        <v>7</v>
      </c>
      <c r="I4" s="45">
        <v>12</v>
      </c>
      <c r="J4" s="45">
        <v>2</v>
      </c>
      <c r="K4" s="45">
        <v>10</v>
      </c>
      <c r="L4" s="45">
        <f>((2*(I4+1))+(F4+1))/8</f>
        <v>5.25</v>
      </c>
      <c r="M4" s="45">
        <f>(0.5*J4+ 0.3*K4)/10</f>
        <v>0.4</v>
      </c>
      <c r="N4" s="45">
        <f>(0.4*F4+0.3*K4)/10</f>
        <v>0.9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5.9187680554465611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9.0054576856603781</v>
      </c>
      <c r="S4" s="58">
        <f t="shared" ref="S4:S13" ca="1" si="6">Q4</f>
        <v>5.9187680554465611</v>
      </c>
      <c r="T4" s="58">
        <f t="shared" ref="T4:T13" ca="1" si="7">IF(TODAY()-B4&gt;335,((F4+1+(LOG(D4)*4/3))*0.516),((F4+(((TODAY()-B4)^0.5)/(336^0.516))+(LOG(D4)*4/3))*0.516))</f>
        <v>8.791368060263947</v>
      </c>
      <c r="U4" s="58">
        <f t="shared" ca="1" si="2"/>
        <v>17.037535000511525</v>
      </c>
      <c r="V4" s="58">
        <f t="shared" ref="V4:V13" ca="1" si="8">T4/2</f>
        <v>4.3956840301319735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15.674532200470605</v>
      </c>
      <c r="Y4" s="58">
        <f t="shared" ref="Y4:Y13" ca="1" si="10">IF(TODAY()-B4&gt;335,((F4+1+(LOG(D4)*4/3))*0.414),((F4+(((TODAY()-B4)^0.5)/(336^0.414))+(LOG(D4)*4/3))*0.414))</f>
        <v>7.0535394902117714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5.3140705803007764</v>
      </c>
      <c r="AB4" s="58">
        <f t="shared" ref="AB4:AB13" ca="1" si="13">IF(TODAY()-B4&gt;335,((F4+1+(LOG(D4)*4/3))*0.754),((F4+(((TODAY()-B4)^0.5)/(336^0.5))+(LOG(D4)*4/3))*0.754))</f>
        <v>12.84630139038569</v>
      </c>
      <c r="AC4" s="58">
        <f t="shared" ref="AC4:AC13" ca="1" si="14">IF(TODAY()-B4&gt;335,((F4+1+(LOG(D4)*4/3))*0.708),((F4+(((TODAY()-B4)^0.5)/(336^0.414))+(LOG(D4)*4/3))*0.708))</f>
        <v>12.062574780362159</v>
      </c>
      <c r="AD4" s="58">
        <f t="shared" ref="AD4:AD13" ca="1" si="15">IF(TODAY()-F4&gt;335,((K4+1+(LOG(H4)*4/3))*0.167),((K4+(((TODAY()-F4)^0.5)/(336^0.5))+(LOG(H4)*4/3))*0.167))</f>
        <v>2.0251751635765078</v>
      </c>
      <c r="AE4" s="58">
        <f t="shared" ref="AE4:AE13" ca="1" si="16">IF(TODAY()-F4&gt;335,((L4+1+(LOG(H4)*4/3))*0.288),((L4+(((TODAY()-F4)^0.5)/(336^0.5))+(LOG(H4)*4/3))*0.288))</f>
        <v>2.1245176473654745</v>
      </c>
      <c r="AF4" s="58">
        <f t="shared" ref="AF4:AF13" ca="1" si="17">IF(TODAY()-B4&gt;335,((F4+1+(LOG(D4)*4/3))*0.485),((F4+(((TODAY()-B4)^0.5)/(336^0.5))+(LOG(D4)*4/3))*0.485))</f>
        <v>8.2632044752480898</v>
      </c>
      <c r="AG4" s="58">
        <f t="shared" ref="AG4:AG13" ca="1" si="18">IF(TODAY()-B4&gt;335,((F4+1+(LOG(D4)*4/3))*0.264),((F4+(((TODAY()-B4)^0.5)/(336^0.5))+(LOG(D4)*4/3))*0.264))</f>
        <v>4.4979092401350425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8.9038055904470745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4.6001344501381123</v>
      </c>
      <c r="AL4" s="58">
        <f t="shared" ref="AL4:AL13" ca="1" si="23">IF(TODAY()-B4&gt;335,((F4+1+(LOG(D4)*4/3))*0.594),((F4+(((TODAY()-B4)^0.5)/(336^0.5))+(LOG(D4)*4/3))*0.594))</f>
        <v>10.120295790303846</v>
      </c>
      <c r="AM4" s="58">
        <f t="shared" ref="AM4:AM13" ca="1" si="24">AK4/2</f>
        <v>2.3000672250690561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3.2200941150966784</v>
      </c>
      <c r="AS4" s="58">
        <f t="shared" ref="AS4:AS13" ca="1" si="30">IF(TODAY()-B4&gt;335,((F4+1+(LOG(D4)*4/3))*0.189),((F4+(((TODAY()-B4)^0.5)/(336^0.5))+(LOG(D4)*4/3))*0.189))</f>
        <v>3.2200941150966784</v>
      </c>
      <c r="AT4" s="58">
        <f t="shared" ref="AT4:AT13" ca="1" si="31">AR4/2</f>
        <v>1.6100470575483392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4.9579226851488531</v>
      </c>
      <c r="AZ4" s="58">
        <f t="shared" ref="AZ4:AZ13" ca="1" si="37">IF(TODAY()-B4&gt;335,((F4+1+(LOG(D4)*4/3))*0.348),((F4+(((TODAY()-B4)^0.5)/(336^0.5))+(LOG(D4)*4/3))*0.348))</f>
        <v>5.9290621801780103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9.6093686154547449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3.0667563000920746</v>
      </c>
      <c r="BE4" s="58">
        <f t="shared" ref="BE4:BE13" ca="1" si="42">IF(TODAY()-B4&gt;335,((F4+1+(LOG(D4)*4/3))*0.068),((F4+(((TODAY()-B4)^0.5)/(336^0.5))+(LOG(D4)*4/3))*0.068))</f>
        <v>1.1585523800347839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13.052270010657821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5.3235557352665044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5.3235557352665044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5.0403843053186801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5.0403843053186801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15</v>
      </c>
      <c r="G5" s="45">
        <v>7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5.25</v>
      </c>
      <c r="M5" s="45">
        <f t="shared" ref="M5:M13" si="55">(0.5*J5+ 0.3*K5)/10</f>
        <v>0.4</v>
      </c>
      <c r="N5" s="45">
        <f t="shared" ref="N5:N13" si="56">(0.4*F5+0.3*K5)/10</f>
        <v>0.9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5.9187680554465611</v>
      </c>
      <c r="R5" s="58">
        <f t="shared" ca="1" si="5"/>
        <v>9.0054576856603781</v>
      </c>
      <c r="S5" s="58">
        <f t="shared" ca="1" si="6"/>
        <v>5.9187680554465611</v>
      </c>
      <c r="T5" s="58">
        <f t="shared" ca="1" si="7"/>
        <v>8.791368060263947</v>
      </c>
      <c r="U5" s="58">
        <f t="shared" ca="1" si="2"/>
        <v>17.037535000511525</v>
      </c>
      <c r="V5" s="58">
        <f t="shared" ca="1" si="8"/>
        <v>4.3956840301319735</v>
      </c>
      <c r="W5" s="58">
        <f t="shared" ca="1" si="9"/>
        <v>2.150933330121743</v>
      </c>
      <c r="X5" s="58">
        <f t="shared" ca="1" si="3"/>
        <v>15.674532200470605</v>
      </c>
      <c r="Y5" s="58">
        <f t="shared" ca="1" si="10"/>
        <v>7.0535394902117714</v>
      </c>
      <c r="Z5" s="58">
        <f t="shared" ca="1" si="11"/>
        <v>1.5092683450854247</v>
      </c>
      <c r="AA5" s="58">
        <f t="shared" ca="1" si="12"/>
        <v>2.3740705803007764</v>
      </c>
      <c r="AB5" s="58">
        <f t="shared" ca="1" si="13"/>
        <v>12.84630139038569</v>
      </c>
      <c r="AC5" s="58">
        <f t="shared" ca="1" si="14"/>
        <v>12.062574780362159</v>
      </c>
      <c r="AD5" s="58">
        <f t="shared" ca="1" si="15"/>
        <v>1.9040293457011799</v>
      </c>
      <c r="AE5" s="58">
        <f t="shared" ca="1" si="16"/>
        <v>1.9155955183349687</v>
      </c>
      <c r="AF5" s="58">
        <f t="shared" ca="1" si="17"/>
        <v>8.2632044752480898</v>
      </c>
      <c r="AG5" s="58">
        <f t="shared" ca="1" si="18"/>
        <v>4.4979092401350425</v>
      </c>
      <c r="AH5" s="58">
        <f t="shared" ca="1" si="19"/>
        <v>3.4433008351948913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4.6001344501381123</v>
      </c>
      <c r="AL5" s="58">
        <f t="shared" ca="1" si="23"/>
        <v>10.120295790303846</v>
      </c>
      <c r="AM5" s="58">
        <f t="shared" ca="1" si="24"/>
        <v>2.3000672250690561</v>
      </c>
      <c r="AN5" s="58">
        <f t="shared" ca="1" si="25"/>
        <v>8.5314330404828791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3.2200941150966784</v>
      </c>
      <c r="AS5" s="58">
        <f t="shared" ca="1" si="30"/>
        <v>3.2200941150966784</v>
      </c>
      <c r="AT5" s="58">
        <f t="shared" ca="1" si="31"/>
        <v>1.6100470575483392</v>
      </c>
      <c r="AU5" s="58">
        <f t="shared" ca="1" si="32"/>
        <v>9.0375350005115251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4.9579226851488531</v>
      </c>
      <c r="AZ5" s="58">
        <f t="shared" ca="1" si="37"/>
        <v>5.9290621801780103</v>
      </c>
      <c r="BA5" s="58">
        <f t="shared" ca="1" si="38"/>
        <v>7.9620683354506534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3.0667563000920746</v>
      </c>
      <c r="BE5" s="58">
        <f t="shared" ca="1" si="42"/>
        <v>1.1585523800347839</v>
      </c>
      <c r="BF5" s="58">
        <f t="shared" ca="1" si="43"/>
        <v>2.7564481751560153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3.6692392102076794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2.2593837501278813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15</v>
      </c>
      <c r="G6" s="45">
        <v>2</v>
      </c>
      <c r="H6" s="45">
        <v>7</v>
      </c>
      <c r="I6" s="45">
        <v>12</v>
      </c>
      <c r="J6" s="45">
        <v>2</v>
      </c>
      <c r="K6" s="45">
        <v>10</v>
      </c>
      <c r="L6" s="45">
        <f t="shared" si="54"/>
        <v>5.25</v>
      </c>
      <c r="M6" s="45">
        <f t="shared" si="55"/>
        <v>0.4</v>
      </c>
      <c r="N6" s="45">
        <f t="shared" si="56"/>
        <v>0.9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5.9187680554465611</v>
      </c>
      <c r="R6" s="58">
        <f t="shared" ca="1" si="5"/>
        <v>9.0054576856603781</v>
      </c>
      <c r="S6" s="58">
        <f t="shared" ca="1" si="6"/>
        <v>5.9187680554465611</v>
      </c>
      <c r="T6" s="58">
        <f t="shared" ca="1" si="7"/>
        <v>8.791368060263947</v>
      </c>
      <c r="U6" s="58">
        <f t="shared" ca="1" si="2"/>
        <v>17.037535000511525</v>
      </c>
      <c r="V6" s="58">
        <f t="shared" ca="1" si="8"/>
        <v>4.3956840301319735</v>
      </c>
      <c r="W6" s="58">
        <f t="shared" ca="1" si="9"/>
        <v>0.96093333012174298</v>
      </c>
      <c r="X6" s="58">
        <f t="shared" ca="1" si="3"/>
        <v>15.674532200470605</v>
      </c>
      <c r="Y6" s="58">
        <f t="shared" ca="1" si="10"/>
        <v>7.0535394902117714</v>
      </c>
      <c r="Z6" s="58">
        <f t="shared" ca="1" si="11"/>
        <v>0.67426834508542477</v>
      </c>
      <c r="AA6" s="58">
        <f t="shared" ca="1" si="12"/>
        <v>5.3140705803007764</v>
      </c>
      <c r="AB6" s="58">
        <f t="shared" ca="1" si="13"/>
        <v>12.84630139038569</v>
      </c>
      <c r="AC6" s="58">
        <f t="shared" ca="1" si="14"/>
        <v>12.062574780362159</v>
      </c>
      <c r="AD6" s="58">
        <f t="shared" ca="1" si="15"/>
        <v>2.0251751635765078</v>
      </c>
      <c r="AE6" s="58">
        <f t="shared" ca="1" si="16"/>
        <v>2.1245176473654745</v>
      </c>
      <c r="AF6" s="58">
        <f t="shared" ca="1" si="17"/>
        <v>8.2632044752480898</v>
      </c>
      <c r="AG6" s="58">
        <f t="shared" ca="1" si="18"/>
        <v>4.4979092401350425</v>
      </c>
      <c r="AH6" s="58">
        <f t="shared" ca="1" si="19"/>
        <v>1.538300835194891</v>
      </c>
      <c r="AI6" s="58">
        <f t="shared" ca="1" si="20"/>
        <v>8.9038055904470745</v>
      </c>
      <c r="AJ6" s="58">
        <f t="shared" ca="1" si="21"/>
        <v>0.72995182002659931</v>
      </c>
      <c r="AK6" s="58">
        <f t="shared" ca="1" si="22"/>
        <v>4.6001344501381123</v>
      </c>
      <c r="AL6" s="58">
        <f t="shared" ca="1" si="23"/>
        <v>10.120295790303846</v>
      </c>
      <c r="AM6" s="58">
        <f t="shared" ca="1" si="24"/>
        <v>2.3000672250690561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3.2200941150966784</v>
      </c>
      <c r="AS6" s="58">
        <f t="shared" ca="1" si="30"/>
        <v>3.2200941150966784</v>
      </c>
      <c r="AT6" s="58">
        <f t="shared" ca="1" si="31"/>
        <v>1.6100470575483392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4.9579226851488531</v>
      </c>
      <c r="AZ6" s="58">
        <f t="shared" ca="1" si="37"/>
        <v>5.9290621801780103</v>
      </c>
      <c r="BA6" s="58">
        <f t="shared" ca="1" si="38"/>
        <v>3.5570683354506536</v>
      </c>
      <c r="BB6" s="58">
        <f t="shared" ca="1" si="39"/>
        <v>9.6093686154547449</v>
      </c>
      <c r="BC6" s="58">
        <f t="shared" ca="1" si="40"/>
        <v>3.3830459351232776</v>
      </c>
      <c r="BD6" s="58">
        <f t="shared" ca="1" si="41"/>
        <v>3.0667563000920746</v>
      </c>
      <c r="BE6" s="58">
        <f t="shared" ca="1" si="42"/>
        <v>1.1585523800347839</v>
      </c>
      <c r="BF6" s="58">
        <f t="shared" ca="1" si="43"/>
        <v>1.2314481751560151</v>
      </c>
      <c r="BG6" s="58">
        <f t="shared" ca="1" si="44"/>
        <v>13.052270010657821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5.3235557352665044</v>
      </c>
      <c r="BK6" s="58">
        <f t="shared" ca="1" si="48"/>
        <v>9.976264410575979</v>
      </c>
      <c r="BL6" s="58">
        <f t="shared" ca="1" si="49"/>
        <v>5.3235557352665044</v>
      </c>
      <c r="BM6" s="58">
        <f t="shared" ca="1" si="50"/>
        <v>5.0403843053186801</v>
      </c>
      <c r="BN6" s="58">
        <f t="shared" ca="1" si="51"/>
        <v>9.2173854157002779</v>
      </c>
      <c r="BO6" s="58">
        <f t="shared" ca="1" si="52"/>
        <v>5.0403843053186801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2</v>
      </c>
      <c r="J8" s="45">
        <v>2</v>
      </c>
      <c r="K8" s="45">
        <v>10</v>
      </c>
      <c r="L8" s="45">
        <f t="shared" si="54"/>
        <v>2.375</v>
      </c>
      <c r="M8" s="45">
        <f t="shared" si="55"/>
        <v>0.4</v>
      </c>
      <c r="N8" s="45">
        <f t="shared" si="56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3"/>
        <v>12.914532200470603</v>
      </c>
      <c r="Y8" s="58">
        <f t="shared" ca="1" si="10"/>
        <v>5.8115394902117714</v>
      </c>
      <c r="Z8" s="58">
        <f t="shared" ca="1" si="11"/>
        <v>2.6782683450854248</v>
      </c>
      <c r="AA8" s="58">
        <f t="shared" ca="1" si="12"/>
        <v>2.3740705803007764</v>
      </c>
      <c r="AB8" s="58">
        <f t="shared" ca="1" si="13"/>
        <v>10.58430139038569</v>
      </c>
      <c r="AC8" s="58">
        <f t="shared" ca="1" si="14"/>
        <v>9.9385747803621598</v>
      </c>
      <c r="AD8" s="58">
        <f t="shared" ca="1" si="15"/>
        <v>1.9040293457011799</v>
      </c>
      <c r="AE8" s="58">
        <f t="shared" ca="1" si="16"/>
        <v>1.0875955183349686</v>
      </c>
      <c r="AF8" s="58">
        <f t="shared" ca="1" si="17"/>
        <v>6.8082044752480897</v>
      </c>
      <c r="AG8" s="58">
        <f t="shared" ca="1" si="18"/>
        <v>3.7059092401350426</v>
      </c>
      <c r="AH8" s="58">
        <f t="shared" ca="1" si="19"/>
        <v>6.1103008351948915</v>
      </c>
      <c r="AI8" s="58">
        <f t="shared" ca="1" si="20"/>
        <v>3.5288055904470732</v>
      </c>
      <c r="AJ8" s="58">
        <f t="shared" ca="1" si="21"/>
        <v>0.20995182002659929</v>
      </c>
      <c r="AK8" s="58">
        <f t="shared" ca="1" si="22"/>
        <v>3.7901344501381122</v>
      </c>
      <c r="AL8" s="58">
        <f t="shared" ca="1" si="23"/>
        <v>8.3382957903038459</v>
      </c>
      <c r="AM8" s="58">
        <f t="shared" ca="1" si="24"/>
        <v>1.8950672250690561</v>
      </c>
      <c r="AN8" s="58">
        <f t="shared" ca="1" si="25"/>
        <v>15.13943304048288</v>
      </c>
      <c r="AO8" s="58">
        <f t="shared" ca="1" si="26"/>
        <v>0.52487955006649833</v>
      </c>
      <c r="AP8" s="58">
        <f t="shared" ca="1" si="27"/>
        <v>1.1829977551498767</v>
      </c>
      <c r="AQ8" s="58">
        <f t="shared" ca="1" si="28"/>
        <v>0.26243977503324917</v>
      </c>
      <c r="AR8" s="58">
        <f t="shared" ca="1" si="29"/>
        <v>2.6530941150966783</v>
      </c>
      <c r="AS8" s="58">
        <f t="shared" ca="1" si="30"/>
        <v>2.6530941150966783</v>
      </c>
      <c r="AT8" s="58">
        <f t="shared" ca="1" si="31"/>
        <v>1.3265470575483391</v>
      </c>
      <c r="AU8" s="58">
        <f t="shared" ca="1" si="32"/>
        <v>16.037535000511525</v>
      </c>
      <c r="AV8" s="58">
        <f t="shared" ca="1" si="33"/>
        <v>1.0214963551294158</v>
      </c>
      <c r="AW8" s="58">
        <f t="shared" ca="1" si="34"/>
        <v>2.2246817852818506</v>
      </c>
      <c r="AX8" s="58">
        <f t="shared" ca="1" si="35"/>
        <v>0.51074817756470792</v>
      </c>
      <c r="AY8" s="58">
        <f t="shared" ca="1" si="36"/>
        <v>4.0849226851488538</v>
      </c>
      <c r="AZ8" s="58">
        <f t="shared" ca="1" si="37"/>
        <v>4.8850621801780107</v>
      </c>
      <c r="BA8" s="58">
        <f t="shared" ca="1" si="38"/>
        <v>14.129068335450654</v>
      </c>
      <c r="BB8" s="58">
        <f t="shared" ca="1" si="39"/>
        <v>3.5893686154547457</v>
      </c>
      <c r="BC8" s="58">
        <f t="shared" ca="1" si="40"/>
        <v>0.97304593512327753</v>
      </c>
      <c r="BD8" s="58">
        <f t="shared" ca="1" si="41"/>
        <v>2.5267563000920745</v>
      </c>
      <c r="BE8" s="58">
        <f t="shared" ca="1" si="42"/>
        <v>0.95455238003478382</v>
      </c>
      <c r="BF8" s="58">
        <f t="shared" ca="1" si="43"/>
        <v>4.8914481751560155</v>
      </c>
      <c r="BG8" s="58">
        <f t="shared" ca="1" si="44"/>
        <v>5.192270010657821</v>
      </c>
      <c r="BH8" s="58">
        <f t="shared" ca="1" si="45"/>
        <v>0.54506722506905592</v>
      </c>
      <c r="BI8" s="58">
        <f t="shared" ca="1" si="46"/>
        <v>6.5112392102076795</v>
      </c>
      <c r="BJ8" s="58">
        <f t="shared" ca="1" si="47"/>
        <v>2.1035557352665046</v>
      </c>
      <c r="BK8" s="58">
        <f t="shared" ca="1" si="48"/>
        <v>4.5462644105759775</v>
      </c>
      <c r="BL8" s="58">
        <f t="shared" ca="1" si="49"/>
        <v>2.1035557352665046</v>
      </c>
      <c r="BM8" s="58">
        <f t="shared" ca="1" si="50"/>
        <v>2.5153843053186802</v>
      </c>
      <c r="BN8" s="58">
        <f t="shared" ca="1" si="51"/>
        <v>5.5273854157002784</v>
      </c>
      <c r="BO8" s="58">
        <f t="shared" ca="1" si="52"/>
        <v>2.5153843053186802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15</v>
      </c>
      <c r="G9" s="45">
        <v>7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5.25</v>
      </c>
      <c r="M9" s="45">
        <f t="shared" si="55"/>
        <v>0.4</v>
      </c>
      <c r="N9" s="45">
        <f t="shared" si="56"/>
        <v>0.9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5.9187680554465611</v>
      </c>
      <c r="R9" s="58">
        <f t="shared" ca="1" si="5"/>
        <v>9.0054576856603781</v>
      </c>
      <c r="S9" s="58">
        <f t="shared" ca="1" si="6"/>
        <v>5.9187680554465611</v>
      </c>
      <c r="T9" s="58">
        <f t="shared" ca="1" si="7"/>
        <v>8.791368060263947</v>
      </c>
      <c r="U9" s="58">
        <f t="shared" ca="1" si="2"/>
        <v>17.037535000511525</v>
      </c>
      <c r="V9" s="58">
        <f t="shared" ca="1" si="8"/>
        <v>4.3956840301319735</v>
      </c>
      <c r="W9" s="58">
        <f t="shared" ca="1" si="9"/>
        <v>2.150933330121743</v>
      </c>
      <c r="X9" s="58">
        <f t="shared" ca="1" si="3"/>
        <v>15.674532200470605</v>
      </c>
      <c r="Y9" s="58">
        <f t="shared" ca="1" si="10"/>
        <v>7.0535394902117714</v>
      </c>
      <c r="Z9" s="58">
        <f t="shared" ca="1" si="11"/>
        <v>1.5092683450854247</v>
      </c>
      <c r="AA9" s="58">
        <f t="shared" ca="1" si="12"/>
        <v>2.3740705803007764</v>
      </c>
      <c r="AB9" s="58">
        <f t="shared" ca="1" si="13"/>
        <v>12.84630139038569</v>
      </c>
      <c r="AC9" s="58">
        <f t="shared" ca="1" si="14"/>
        <v>12.062574780362159</v>
      </c>
      <c r="AD9" s="58">
        <f t="shared" ca="1" si="15"/>
        <v>1.9040293457011799</v>
      </c>
      <c r="AE9" s="58">
        <f t="shared" ca="1" si="16"/>
        <v>1.9155955183349687</v>
      </c>
      <c r="AF9" s="58">
        <f t="shared" ca="1" si="17"/>
        <v>8.2632044752480898</v>
      </c>
      <c r="AG9" s="58">
        <f t="shared" ca="1" si="18"/>
        <v>4.4979092401350425</v>
      </c>
      <c r="AH9" s="58">
        <f t="shared" ca="1" si="19"/>
        <v>3.4433008351948913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4.6001344501381123</v>
      </c>
      <c r="AL9" s="58">
        <f t="shared" ca="1" si="23"/>
        <v>10.120295790303846</v>
      </c>
      <c r="AM9" s="58">
        <f t="shared" ca="1" si="24"/>
        <v>2.3000672250690561</v>
      </c>
      <c r="AN9" s="58">
        <f t="shared" ca="1" si="25"/>
        <v>8.5314330404828791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3.2200941150966784</v>
      </c>
      <c r="AS9" s="58">
        <f t="shared" ca="1" si="30"/>
        <v>3.2200941150966784</v>
      </c>
      <c r="AT9" s="58">
        <f t="shared" ca="1" si="31"/>
        <v>1.6100470575483392</v>
      </c>
      <c r="AU9" s="58">
        <f t="shared" ca="1" si="32"/>
        <v>9.0375350005115251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4.9579226851488531</v>
      </c>
      <c r="AZ9" s="58">
        <f t="shared" ca="1" si="37"/>
        <v>5.9290621801780103</v>
      </c>
      <c r="BA9" s="58">
        <f t="shared" ca="1" si="38"/>
        <v>7.9620683354506534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3.0667563000920746</v>
      </c>
      <c r="BE9" s="58">
        <f t="shared" ca="1" si="42"/>
        <v>1.1585523800347839</v>
      </c>
      <c r="BF9" s="58">
        <f t="shared" ca="1" si="43"/>
        <v>2.7564481751560153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3.6692392102076794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2.2593837501278813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2.375</v>
      </c>
      <c r="M11" s="45">
        <f t="shared" si="55"/>
        <v>0.65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6.5112392102076795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54"/>
        <v>4.125</v>
      </c>
      <c r="M12" s="45">
        <f t="shared" si="55"/>
        <v>0.9</v>
      </c>
      <c r="N12" s="45">
        <f t="shared" si="56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0.76309411509667824</v>
      </c>
      <c r="AS12" s="58">
        <f t="shared" ca="1" si="30"/>
        <v>0.76309411509667824</v>
      </c>
      <c r="AT12" s="58">
        <f t="shared" ca="1" si="31"/>
        <v>0.38154705754833912</v>
      </c>
      <c r="AU12" s="58">
        <f t="shared" ca="1" si="32"/>
        <v>16.037535000511525</v>
      </c>
      <c r="AV12" s="58">
        <f t="shared" ca="1" si="33"/>
        <v>4.0574963551294161</v>
      </c>
      <c r="AW12" s="58">
        <f t="shared" ca="1" si="34"/>
        <v>8.4166817852818507</v>
      </c>
      <c r="AX12" s="58">
        <f t="shared" ca="1" si="35"/>
        <v>2.028748177564708</v>
      </c>
      <c r="AY12" s="58">
        <f t="shared" ca="1" si="36"/>
        <v>1.1749226851488537</v>
      </c>
      <c r="AZ12" s="58">
        <f t="shared" ca="1" si="37"/>
        <v>1.4050621801780105</v>
      </c>
      <c r="BA12" s="58">
        <f t="shared" ca="1" si="38"/>
        <v>14.129068335450654</v>
      </c>
      <c r="BB12" s="58">
        <f t="shared" ca="1" si="39"/>
        <v>7.3693686154547455</v>
      </c>
      <c r="BC12" s="58">
        <f t="shared" ca="1" si="40"/>
        <v>3.8650459351232773</v>
      </c>
      <c r="BD12" s="58">
        <f t="shared" ca="1" si="41"/>
        <v>0.72675630009207448</v>
      </c>
      <c r="BE12" s="58">
        <f t="shared" ca="1" si="42"/>
        <v>0.27455238003478372</v>
      </c>
      <c r="BF12" s="58">
        <f t="shared" ca="1" si="43"/>
        <v>4.8914481751560155</v>
      </c>
      <c r="BG12" s="58">
        <f t="shared" ca="1" si="44"/>
        <v>8.6242700106578205</v>
      </c>
      <c r="BH12" s="58">
        <f t="shared" ca="1" si="45"/>
        <v>2.1650672250690559</v>
      </c>
      <c r="BI12" s="58">
        <f t="shared" ca="1" si="46"/>
        <v>6.5112392102076795</v>
      </c>
      <c r="BJ12" s="58">
        <f t="shared" ca="1" si="47"/>
        <v>6.3735557352665042</v>
      </c>
      <c r="BK12" s="58">
        <f t="shared" ca="1" si="48"/>
        <v>16.892264410575976</v>
      </c>
      <c r="BL12" s="58">
        <f t="shared" ca="1" si="49"/>
        <v>6.3735557352665042</v>
      </c>
      <c r="BM12" s="58">
        <f t="shared" ca="1" si="50"/>
        <v>6.81938430531868</v>
      </c>
      <c r="BN12" s="58">
        <f t="shared" ca="1" si="51"/>
        <v>19.955385415700277</v>
      </c>
      <c r="BO12" s="58">
        <f t="shared" ca="1" si="52"/>
        <v>6.81938430531868</v>
      </c>
      <c r="BP12" s="58">
        <f t="shared" ca="1" si="53"/>
        <v>4.0093837501278813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13.172768055446561</v>
      </c>
      <c r="D16" s="49">
        <f ca="1">R3</f>
        <v>19.429457685660378</v>
      </c>
      <c r="E16" s="49">
        <f ca="1">S3</f>
        <v>13.172768055446561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15.674532200470605</v>
      </c>
      <c r="D17" s="49">
        <f ca="1">Y4</f>
        <v>7.0535394902117714</v>
      </c>
      <c r="E17" s="49">
        <v>0</v>
      </c>
      <c r="F17" s="49">
        <f ca="1">Z4</f>
        <v>0.67426834508542477</v>
      </c>
      <c r="G17" s="49">
        <f ca="1">AA4</f>
        <v>5.3140705803007764</v>
      </c>
      <c r="H17" s="49">
        <v>0</v>
      </c>
      <c r="I17" s="49">
        <v>0</v>
      </c>
      <c r="J17" s="49">
        <f>L4</f>
        <v>5.25</v>
      </c>
      <c r="K17" s="49">
        <f t="shared" ref="K17:L24" si="57">M4</f>
        <v>0.4</v>
      </c>
      <c r="L17" s="49">
        <f t="shared" si="57"/>
        <v>0.9</v>
      </c>
    </row>
    <row r="18" spans="1:20" x14ac:dyDescent="0.25">
      <c r="A18" s="48" t="s">
        <v>100</v>
      </c>
      <c r="B18" s="54">
        <f>1-0.036</f>
        <v>0.96399999999999997</v>
      </c>
      <c r="C18" s="49">
        <f ca="1">T5*B18</f>
        <v>8.4748788100944452</v>
      </c>
      <c r="D18" s="49">
        <f ca="1">U5*B18</f>
        <v>16.42418374049311</v>
      </c>
      <c r="E18" s="49">
        <f ca="1">C18/2</f>
        <v>4.2374394050472226</v>
      </c>
      <c r="F18" s="49">
        <f ca="1">W5*B18</f>
        <v>2.0734997302373603</v>
      </c>
      <c r="G18" s="49">
        <v>0</v>
      </c>
      <c r="H18" s="49">
        <v>0</v>
      </c>
      <c r="I18" s="49">
        <v>0</v>
      </c>
      <c r="J18" s="49">
        <f>L5*B18</f>
        <v>5.0609999999999999</v>
      </c>
      <c r="K18" s="49">
        <f>M5*B18</f>
        <v>0.3856</v>
      </c>
      <c r="L18" s="49">
        <f>N5*B18</f>
        <v>0.86760000000000004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7.0535394902117714</v>
      </c>
      <c r="E19" s="49">
        <f ca="1">X6</f>
        <v>15.674532200470605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5.3140705803007764</v>
      </c>
      <c r="J19" s="49">
        <f>L6</f>
        <v>5.25</v>
      </c>
      <c r="K19" s="49">
        <f t="shared" si="57"/>
        <v>0.4</v>
      </c>
      <c r="L19" s="49">
        <f t="shared" si="57"/>
        <v>0.9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131</v>
      </c>
      <c r="B21" s="54">
        <f>1-0.065</f>
        <v>0.93500000000000005</v>
      </c>
      <c r="C21" s="49">
        <f ca="1">AR8*B21</f>
        <v>2.4806429976153943</v>
      </c>
      <c r="D21" s="49">
        <f ca="1">AS8*B21</f>
        <v>2.4806429976153943</v>
      </c>
      <c r="E21" s="49">
        <v>0</v>
      </c>
      <c r="F21" s="49">
        <f ca="1">AU8*B21</f>
        <v>14.995095225478277</v>
      </c>
      <c r="G21" s="49">
        <f ca="1">AV8*B21</f>
        <v>0.95509909204600385</v>
      </c>
      <c r="H21" s="49">
        <f ca="1">AW8*B21</f>
        <v>2.0800774692385304</v>
      </c>
      <c r="I21" s="49">
        <f ca="1">G21/2</f>
        <v>0.47754954602300193</v>
      </c>
      <c r="J21" s="49">
        <v>0</v>
      </c>
      <c r="K21" s="49">
        <f>M8*B21</f>
        <v>0.37400000000000005</v>
      </c>
      <c r="L21" s="49">
        <f>N8*B21</f>
        <v>0.72930000000000006</v>
      </c>
      <c r="T21" s="62"/>
    </row>
    <row r="22" spans="1:20" x14ac:dyDescent="0.25">
      <c r="A22" s="48" t="s">
        <v>100</v>
      </c>
      <c r="B22" s="54">
        <f>1-0.036</f>
        <v>0.96399999999999997</v>
      </c>
      <c r="C22" s="49">
        <f ca="1">E22/2</f>
        <v>4.2374394050472226</v>
      </c>
      <c r="D22" s="49">
        <f ca="1">U9*B22</f>
        <v>16.42418374049311</v>
      </c>
      <c r="E22" s="49">
        <f ca="1">T9*B22</f>
        <v>8.4748788100944452</v>
      </c>
      <c r="F22" s="49">
        <f ca="1">W9*B22</f>
        <v>2.0734997302373603</v>
      </c>
      <c r="G22" s="49">
        <v>0</v>
      </c>
      <c r="H22" s="49">
        <v>0</v>
      </c>
      <c r="I22" s="49">
        <v>0</v>
      </c>
      <c r="J22" s="49">
        <f>L9*B22</f>
        <v>5.0609999999999999</v>
      </c>
      <c r="K22" s="49">
        <f>M9*B22</f>
        <v>0.3856</v>
      </c>
      <c r="L22" s="49">
        <f>N9*B22</f>
        <v>0.86760000000000004</v>
      </c>
    </row>
    <row r="23" spans="1:20" x14ac:dyDescent="0.25">
      <c r="A23" s="48" t="s">
        <v>131</v>
      </c>
      <c r="B23" s="54">
        <f>1-0.065</f>
        <v>0.93500000000000005</v>
      </c>
      <c r="C23" s="49">
        <v>0</v>
      </c>
      <c r="D23" s="49">
        <f ca="1">AS10*B23</f>
        <v>0.7134929976153942</v>
      </c>
      <c r="E23" s="49">
        <f ca="1">AR10*B23</f>
        <v>0.7134929976153942</v>
      </c>
      <c r="F23" s="49">
        <f ca="1">AU10*B23</f>
        <v>14.995095225478277</v>
      </c>
      <c r="G23" s="49">
        <f ca="1">I23/2</f>
        <v>1.8968795460230021</v>
      </c>
      <c r="H23" s="49">
        <f ca="1">AW10*B23</f>
        <v>7.8695974692385313</v>
      </c>
      <c r="I23" s="49">
        <f ca="1">AV10*B23</f>
        <v>3.7937590920460043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0.27455238003478372</v>
      </c>
      <c r="E24" s="49">
        <f ca="1">AY11</f>
        <v>1.1749226851488537</v>
      </c>
      <c r="F24" s="49">
        <f ca="1">BF11</f>
        <v>4.8914481751560155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BP12*B25</f>
        <v>3.7888676438708475</v>
      </c>
      <c r="G25" s="49">
        <f ca="1">BM12*B25</f>
        <v>6.4443181685261521</v>
      </c>
      <c r="H25" s="49">
        <f ca="1">BN12*B25</f>
        <v>18.857839217836762</v>
      </c>
      <c r="I25" s="49">
        <f ca="1">BO12*B25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44.767017768766308</v>
      </c>
      <c r="D27" s="51">
        <f t="shared" ref="D27:L27" ca="1" si="59">SUM(D16:D26)</f>
        <v>70.128144902370479</v>
      </c>
      <c r="E27" s="51">
        <f t="shared" ca="1" si="59"/>
        <v>43.448034153823087</v>
      </c>
      <c r="F27" s="51">
        <f t="shared" ca="1" si="59"/>
        <v>52.846358239655842</v>
      </c>
      <c r="G27" s="51">
        <f t="shared" ca="1" si="59"/>
        <v>40.676955566079911</v>
      </c>
      <c r="H27" s="51">
        <f t="shared" ca="1" si="59"/>
        <v>50.105487824288701</v>
      </c>
      <c r="I27" s="51">
        <f t="shared" ca="1" si="59"/>
        <v>42.096285566079906</v>
      </c>
      <c r="J27" s="52">
        <f t="shared" si="59"/>
        <v>21.622</v>
      </c>
      <c r="K27" s="52">
        <f t="shared" si="59"/>
        <v>6.3077000000000005</v>
      </c>
      <c r="L27" s="52">
        <f t="shared" si="59"/>
        <v>6.9579999999999993</v>
      </c>
    </row>
    <row r="28" spans="1:20" ht="15.75" x14ac:dyDescent="0.25">
      <c r="A28" s="50"/>
      <c r="B28" s="50" t="s">
        <v>105</v>
      </c>
      <c r="C28" s="53">
        <f ca="1">C27*0.34</f>
        <v>15.220786041380546</v>
      </c>
      <c r="D28" s="53">
        <f ca="1">D27*0.245</f>
        <v>17.181395501080768</v>
      </c>
      <c r="E28" s="53">
        <f ca="1">E27*0.34</f>
        <v>14.772331612299851</v>
      </c>
      <c r="F28" s="53">
        <f ca="1">F27*0.125</f>
        <v>6.6057947799569803</v>
      </c>
      <c r="G28" s="53">
        <f ca="1">G27*0.25</f>
        <v>10.169238891519978</v>
      </c>
      <c r="H28" s="53">
        <f ca="1">H27*0.19</f>
        <v>9.520042686614854</v>
      </c>
      <c r="I28" s="53">
        <f ca="1">I27*0.25</f>
        <v>10.524071391519977</v>
      </c>
    </row>
    <row r="29" spans="1:20" ht="15.75" x14ac:dyDescent="0.25">
      <c r="A29" s="50"/>
      <c r="B29" s="50" t="s">
        <v>106</v>
      </c>
      <c r="C29" s="53">
        <f ca="1">C28*1.2/1.05</f>
        <v>17.395184047292052</v>
      </c>
      <c r="D29" s="53">
        <f t="shared" ref="D29:E29" ca="1" si="60">D28*1.2/1.05</f>
        <v>19.635880572663734</v>
      </c>
      <c r="E29" s="53">
        <f t="shared" ca="1" si="60"/>
        <v>16.882664699771254</v>
      </c>
      <c r="F29" s="53">
        <f ca="1">F28</f>
        <v>6.6057947799569803</v>
      </c>
      <c r="G29" s="53">
        <f ca="1">G28*0.925/1.05</f>
        <v>8.9586152139580761</v>
      </c>
      <c r="H29" s="53">
        <f t="shared" ref="H29:I29" ca="1" si="61">H28*0.925/1.05</f>
        <v>8.3867042715416567</v>
      </c>
      <c r="I29" s="53">
        <f t="shared" ca="1" si="61"/>
        <v>9.2712057496723599</v>
      </c>
    </row>
    <row r="30" spans="1:20" ht="15.75" x14ac:dyDescent="0.25">
      <c r="A30" s="50"/>
      <c r="B30" s="50" t="s">
        <v>107</v>
      </c>
      <c r="C30" s="53">
        <f ca="1">C28*0.925/1.05</f>
        <v>13.408787703120955</v>
      </c>
      <c r="D30" s="53">
        <f t="shared" ref="D30:E30" ca="1" si="62">D28*0.925/1.05</f>
        <v>15.135991274761629</v>
      </c>
      <c r="E30" s="53">
        <f t="shared" ca="1" si="62"/>
        <v>13.013720706073679</v>
      </c>
      <c r="F30" s="53">
        <f ca="1">F29</f>
        <v>6.6057947799569803</v>
      </c>
      <c r="G30" s="53">
        <f ca="1">G28*1.135/1.05</f>
        <v>10.99246299226207</v>
      </c>
      <c r="H30" s="53">
        <f t="shared" ref="H30:I30" ca="1" si="63">H28*1.135/1.05</f>
        <v>10.290712808864628</v>
      </c>
      <c r="I30" s="53">
        <f t="shared" ca="1" si="63"/>
        <v>11.376020027976356</v>
      </c>
    </row>
  </sheetData>
  <conditionalFormatting sqref="O3:P13">
    <cfRule type="cellIs" dxfId="99" priority="15" operator="greaterThan">
      <formula>15</formula>
    </cfRule>
  </conditionalFormatting>
  <conditionalFormatting sqref="L3:L13">
    <cfRule type="cellIs" dxfId="98" priority="14" operator="greaterThan">
      <formula>3.2</formula>
    </cfRule>
  </conditionalFormatting>
  <conditionalFormatting sqref="M3:N13">
    <cfRule type="cellIs" dxfId="97" priority="13" operator="greaterThan">
      <formula>0.6</formula>
    </cfRule>
  </conditionalFormatting>
  <conditionalFormatting sqref="Q3:V13 X3:Y13 AF3:AG13 AK3:AM13 AY3:AY13 BD3:BE13">
    <cfRule type="cellIs" dxfId="96" priority="12" operator="greaterThan">
      <formula>12.5</formula>
    </cfRule>
  </conditionalFormatting>
  <conditionalFormatting sqref="W3:W13 AH3:AH13 AN3:AN13 BA3:BA13 BF3:BF13 BI3:BI13">
    <cfRule type="cellIs" dxfId="95" priority="11" operator="greaterThan">
      <formula>12.5</formula>
    </cfRule>
  </conditionalFormatting>
  <conditionalFormatting sqref="AA3:AA13 AI3:AJ13 AO3:AQ13 BB3:BC13 BG3:BH13 BJ3:BO13">
    <cfRule type="cellIs" dxfId="94" priority="10" operator="greaterThan">
      <formula>12.5</formula>
    </cfRule>
  </conditionalFormatting>
  <conditionalFormatting sqref="D3:D13">
    <cfRule type="cellIs" dxfId="93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92" priority="8" operator="greaterThan">
      <formula>12.5</formula>
    </cfRule>
  </conditionalFormatting>
  <conditionalFormatting sqref="AE3:AE13">
    <cfRule type="cellIs" dxfId="91" priority="7" operator="greaterThan">
      <formula>12.5</formula>
    </cfRule>
  </conditionalFormatting>
  <conditionalFormatting sqref="BP3:BP13">
    <cfRule type="cellIs" dxfId="90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89" priority="3" operator="greaterThan">
      <formula>12.5</formula>
    </cfRule>
  </conditionalFormatting>
  <conditionalFormatting sqref="AU3:AU13">
    <cfRule type="cellIs" dxfId="88" priority="2" operator="greaterThan">
      <formula>12.5</formula>
    </cfRule>
  </conditionalFormatting>
  <conditionalFormatting sqref="AV3:AX13">
    <cfRule type="cellIs" dxfId="87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BP30"/>
  <sheetViews>
    <sheetView zoomScale="80" zoomScaleNormal="80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F28" sqref="F28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3" max="3" width="8" bestFit="1" customWidth="1"/>
    <col min="4" max="4" width="8.140625" bestFit="1" customWidth="1"/>
    <col min="5" max="5" width="8" bestFit="1" customWidth="1"/>
    <col min="6" max="7" width="6" bestFit="1" customWidth="1"/>
    <col min="8" max="8" width="7.140625" bestFit="1" customWidth="1"/>
    <col min="9" max="9" width="6.7109375" bestFit="1" customWidth="1"/>
    <col min="10" max="11" width="6" bestFit="1" customWidth="1"/>
    <col min="12" max="12" width="5" bestFit="1" customWidth="1"/>
    <col min="13" max="14" width="6.140625" bestFit="1" customWidth="1"/>
    <col min="15" max="15" width="6.85546875" bestFit="1" customWidth="1"/>
    <col min="16" max="16" width="7.140625" bestFit="1" customWidth="1"/>
    <col min="17" max="17" width="6.85546875" bestFit="1" customWidth="1"/>
    <col min="18" max="18" width="7.140625" bestFit="1" customWidth="1"/>
    <col min="19" max="19" width="7.42578125" bestFit="1" customWidth="1"/>
    <col min="20" max="20" width="10" bestFit="1" customWidth="1"/>
    <col min="21" max="22" width="7.42578125" bestFit="1" customWidth="1"/>
    <col min="23" max="23" width="7.85546875" bestFit="1" customWidth="1"/>
    <col min="24" max="24" width="9.7109375" bestFit="1" customWidth="1"/>
    <col min="25" max="25" width="7.85546875" bestFit="1" customWidth="1"/>
    <col min="26" max="26" width="7.42578125" bestFit="1" customWidth="1"/>
    <col min="27" max="27" width="7.85546875" bestFit="1" customWidth="1"/>
    <col min="28" max="28" width="9.7109375" bestFit="1" customWidth="1"/>
    <col min="29" max="29" width="7.8554687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7.85546875" bestFit="1" customWidth="1"/>
    <col min="34" max="34" width="5.140625" bestFit="1" customWidth="1"/>
    <col min="35" max="35" width="6.42578125" bestFit="1" customWidth="1"/>
    <col min="36" max="36" width="6.85546875" bestFit="1" customWidth="1"/>
    <col min="37" max="37" width="7.42578125" bestFit="1" customWidth="1"/>
    <col min="38" max="38" width="7.85546875" bestFit="1" customWidth="1"/>
    <col min="39" max="39" width="7.42578125" bestFit="1" customWidth="1"/>
    <col min="40" max="40" width="5.5703125" bestFit="1" customWidth="1"/>
    <col min="41" max="41" width="6.42578125" bestFit="1" customWidth="1"/>
    <col min="42" max="42" width="6.85546875" bestFit="1" customWidth="1"/>
    <col min="43" max="43" width="6.42578125" bestFit="1" customWidth="1"/>
    <col min="44" max="44" width="8" bestFit="1" customWidth="1"/>
    <col min="45" max="45" width="8.42578125" bestFit="1" customWidth="1"/>
    <col min="46" max="46" width="8" bestFit="1" customWidth="1"/>
    <col min="47" max="47" width="6" bestFit="1" customWidth="1"/>
    <col min="48" max="48" width="6.7109375" bestFit="1" customWidth="1"/>
    <col min="49" max="49" width="7.140625" bestFit="1" customWidth="1"/>
    <col min="50" max="50" width="6.7109375" bestFit="1" customWidth="1"/>
    <col min="51" max="51" width="6.85546875" bestFit="1" customWidth="1"/>
    <col min="52" max="52" width="6.42578125" bestFit="1" customWidth="1"/>
    <col min="53" max="53" width="7.42578125" bestFit="1" customWidth="1"/>
    <col min="54" max="54" width="7.85546875" bestFit="1" customWidth="1"/>
    <col min="55" max="55" width="5.5703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6.85546875" bestFit="1" customWidth="1"/>
    <col min="61" max="61" width="5.140625" bestFit="1" customWidth="1"/>
    <col min="62" max="62" width="6.42578125" bestFit="1" customWidth="1"/>
    <col min="63" max="63" width="6.85546875" bestFit="1" customWidth="1"/>
    <col min="64" max="65" width="6.42578125" bestFit="1" customWidth="1"/>
    <col min="66" max="66" width="6.85546875" bestFit="1" customWidth="1"/>
    <col min="67" max="67" width="6.42578125" bestFit="1" customWidth="1"/>
    <col min="68" max="68" width="5.140625" bestFit="1" customWidth="1"/>
  </cols>
  <sheetData>
    <row r="1" spans="1:68" x14ac:dyDescent="0.25">
      <c r="Q1" t="s">
        <v>109</v>
      </c>
      <c r="T1" t="s">
        <v>120</v>
      </c>
      <c r="X1" t="s">
        <v>121</v>
      </c>
      <c r="AB1" t="s">
        <v>122</v>
      </c>
      <c r="AF1" t="s">
        <v>117</v>
      </c>
      <c r="AK1" t="s">
        <v>103</v>
      </c>
      <c r="AR1" t="s">
        <v>125</v>
      </c>
      <c r="AY1" t="s">
        <v>102</v>
      </c>
      <c r="BD1" t="s">
        <v>101</v>
      </c>
      <c r="BI1" t="s">
        <v>104</v>
      </c>
      <c r="BM1" t="s">
        <v>118</v>
      </c>
    </row>
    <row r="2" spans="1:68" x14ac:dyDescent="0.25">
      <c r="A2" s="59" t="s">
        <v>115</v>
      </c>
      <c r="B2" s="59" t="s">
        <v>116</v>
      </c>
      <c r="C2" s="42" t="s">
        <v>80</v>
      </c>
      <c r="D2" s="42" t="s">
        <v>81</v>
      </c>
      <c r="E2" s="42" t="s">
        <v>82</v>
      </c>
      <c r="F2" s="42" t="s">
        <v>83</v>
      </c>
      <c r="G2" s="42" t="s">
        <v>84</v>
      </c>
      <c r="H2" s="42" t="s">
        <v>85</v>
      </c>
      <c r="I2" s="42" t="s">
        <v>86</v>
      </c>
      <c r="J2" s="42" t="s">
        <v>87</v>
      </c>
      <c r="K2" s="42" t="s">
        <v>88</v>
      </c>
      <c r="L2" s="55" t="s">
        <v>96</v>
      </c>
      <c r="M2" s="55" t="s">
        <v>110</v>
      </c>
      <c r="N2" s="55" t="s">
        <v>111</v>
      </c>
      <c r="O2" s="55" t="s">
        <v>112</v>
      </c>
      <c r="P2" s="55" t="s">
        <v>113</v>
      </c>
      <c r="Q2" s="56" t="s">
        <v>90</v>
      </c>
      <c r="R2" s="56" t="s">
        <v>114</v>
      </c>
      <c r="S2" s="56" t="s">
        <v>90</v>
      </c>
      <c r="T2" s="57" t="s">
        <v>90</v>
      </c>
      <c r="U2" s="57" t="s">
        <v>114</v>
      </c>
      <c r="V2" s="57" t="s">
        <v>90</v>
      </c>
      <c r="W2" s="57" t="s">
        <v>92</v>
      </c>
      <c r="X2" s="56" t="s">
        <v>90</v>
      </c>
      <c r="Y2" s="56" t="s">
        <v>114</v>
      </c>
      <c r="Z2" s="56" t="s">
        <v>92</v>
      </c>
      <c r="AA2" s="56" t="s">
        <v>95</v>
      </c>
      <c r="AB2" s="56" t="s">
        <v>90</v>
      </c>
      <c r="AC2" s="56" t="s">
        <v>114</v>
      </c>
      <c r="AD2" s="56" t="s">
        <v>92</v>
      </c>
      <c r="AE2" s="56" t="s">
        <v>95</v>
      </c>
      <c r="AF2" s="57" t="s">
        <v>90</v>
      </c>
      <c r="AG2" s="57" t="s">
        <v>114</v>
      </c>
      <c r="AH2" s="57" t="s">
        <v>92</v>
      </c>
      <c r="AI2" s="57" t="s">
        <v>95</v>
      </c>
      <c r="AJ2" s="57" t="s">
        <v>94</v>
      </c>
      <c r="AK2" s="56" t="s">
        <v>90</v>
      </c>
      <c r="AL2" s="56" t="s">
        <v>114</v>
      </c>
      <c r="AM2" s="56" t="s">
        <v>90</v>
      </c>
      <c r="AN2" s="56" t="s">
        <v>92</v>
      </c>
      <c r="AO2" s="56" t="s">
        <v>95</v>
      </c>
      <c r="AP2" s="56" t="s">
        <v>94</v>
      </c>
      <c r="AQ2" s="56" t="s">
        <v>95</v>
      </c>
      <c r="AR2" s="56" t="s">
        <v>90</v>
      </c>
      <c r="AS2" s="56" t="s">
        <v>114</v>
      </c>
      <c r="AT2" s="56" t="s">
        <v>90</v>
      </c>
      <c r="AU2" s="56" t="s">
        <v>92</v>
      </c>
      <c r="AV2" s="56" t="s">
        <v>95</v>
      </c>
      <c r="AW2" s="56" t="s">
        <v>94</v>
      </c>
      <c r="AX2" s="56" t="s">
        <v>95</v>
      </c>
      <c r="AY2" s="57" t="s">
        <v>90</v>
      </c>
      <c r="AZ2" s="57" t="s">
        <v>114</v>
      </c>
      <c r="BA2" s="57" t="s">
        <v>92</v>
      </c>
      <c r="BB2" s="57" t="s">
        <v>95</v>
      </c>
      <c r="BC2" s="57" t="s">
        <v>94</v>
      </c>
      <c r="BD2" s="56" t="s">
        <v>90</v>
      </c>
      <c r="BE2" s="56" t="s">
        <v>114</v>
      </c>
      <c r="BF2" s="56" t="s">
        <v>92</v>
      </c>
      <c r="BG2" s="56" t="s">
        <v>95</v>
      </c>
      <c r="BH2" s="56" t="s">
        <v>94</v>
      </c>
      <c r="BI2" s="57" t="s">
        <v>92</v>
      </c>
      <c r="BJ2" s="57" t="s">
        <v>95</v>
      </c>
      <c r="BK2" s="57" t="s">
        <v>94</v>
      </c>
      <c r="BL2" s="57" t="s">
        <v>95</v>
      </c>
      <c r="BM2" s="56" t="s">
        <v>95</v>
      </c>
      <c r="BN2" s="56" t="s">
        <v>94</v>
      </c>
      <c r="BO2" s="56" t="s">
        <v>95</v>
      </c>
      <c r="BP2" s="56" t="s">
        <v>92</v>
      </c>
    </row>
    <row r="3" spans="1:68" x14ac:dyDescent="0.25">
      <c r="B3" s="60">
        <v>41974</v>
      </c>
      <c r="C3" s="43">
        <v>6</v>
      </c>
      <c r="D3" s="44">
        <v>6</v>
      </c>
      <c r="E3" s="45">
        <v>15</v>
      </c>
      <c r="F3" s="45">
        <v>11</v>
      </c>
      <c r="G3" s="45">
        <v>2</v>
      </c>
      <c r="H3" s="45">
        <v>3</v>
      </c>
      <c r="I3" s="45">
        <v>3</v>
      </c>
      <c r="J3" s="45">
        <v>2</v>
      </c>
      <c r="K3" s="45">
        <v>14</v>
      </c>
      <c r="L3" s="45">
        <f>((2*(I3+1))+(F3+1))/8</f>
        <v>2.5</v>
      </c>
      <c r="M3" s="45">
        <f>(0.5*J3+ 0.3*K3)/10</f>
        <v>0.52</v>
      </c>
      <c r="N3" s="45">
        <f>(0.4*F3+0.3*K3)/10</f>
        <v>0.8600000000000001</v>
      </c>
      <c r="O3" s="45">
        <f t="shared" ref="O3:O13" ca="1" si="0">IF(TODAY()-B3&gt;335,(K3+1+(LOG(D3)*4/3))*(C3/7)^0.5,(K3+((TODAY()-B3)^0.5)/(336^0.5)+(LOG(D3)*4/3))*(C3/7)^0.5)</f>
        <v>14.847872254279366</v>
      </c>
      <c r="P3" s="45">
        <f t="shared" ref="P3:P13" ca="1" si="1">IF(C3=7,O3,IF(TODAY()-B3&gt;335,(K3+1+(LOG(D3)*4/3))*((C3+0.99)/7)^0.5,(K3+((TODAY()-B3)^0.5)/(336^0.5)+(LOG(D3)*4/3))*((C3+0.99)/7)^0.5))</f>
        <v>16.026075524235491</v>
      </c>
      <c r="Q3" s="58">
        <f ca="1">IF(TODAY()-B3&gt;335,((E3+1+(LOG(D3)*4/3))*0.597)+((F3+1+(LOG(D3)*4/3))*0.276),((E3+(((TODAY()-B3)^0.5)/(336^0.5))+(LOG(D3)*4/3))*0.597)+((F3+(((TODAY()-B3)^0.5)/(336^0.5))+(LOG(D3)*4/3))*0.276))</f>
        <v>13.769768055446562</v>
      </c>
      <c r="R3" s="58">
        <f ca="1">IF(TODAY()-B3&gt;335,((E3+1+(LOG(D3)*4/3))*0.866)+((F3+1+(LOG(D3)*4/3))*0.425),((E3+(((TODAY()-B3)^0.5)/(336^0.5))+(LOG(D3)*4/3))*0.866)+((F3+(((TODAY()-B3)^0.5)/(336^0.5))+(LOG(D3)*4/3))*0.425))</f>
        <v>20.295457685660377</v>
      </c>
      <c r="S3" s="58">
        <f ca="1">Q3</f>
        <v>13.769768055446562</v>
      </c>
      <c r="T3" s="58">
        <f ca="1">IF(TODAY()-B3&gt;335,((F3+1+(LOG(D3)*4/3))*0.516),((F3+(((TODAY()-B3)^0.5)/(336^0.516))+(LOG(D3)*4/3))*0.516))</f>
        <v>6.727368060263947</v>
      </c>
      <c r="U3" s="58">
        <f t="shared" ref="U3:U13" ca="1" si="2">IF(TODAY()-B3&gt;335,((F3+1+(LOG(D3)*4/3))*1),((F3+(((TODAY()-B3)^0.5)/(336^0.5))+(LOG(D3)*4/3))*1))</f>
        <v>13.037535000511525</v>
      </c>
      <c r="V3" s="58">
        <f ca="1">T3/2</f>
        <v>3.3636840301319735</v>
      </c>
      <c r="W3" s="58">
        <f ca="1">IF(TODAY()-B3&gt;335,((G3+1+(LOG(D3)*4/3))*0.238),((G3+(((TODAY()-B3)^0.5)/(336^0.238))+(LOG(D3)*4/3))*0.238))</f>
        <v>0.96093333012174298</v>
      </c>
      <c r="X3" s="58">
        <f t="shared" ref="X3:X13" ca="1" si="3">IF(TODAY()-B3&gt;335,((F3+1+(LOG(D3)*4/3))*0.92),((F3+(((TODAY()-B3)^0.5)/(336^0.5))+(LOG(D3)*4/3))*0.92))</f>
        <v>11.994532200470603</v>
      </c>
      <c r="Y3" s="58">
        <f ca="1">IF(TODAY()-B3&gt;335,((F3+1+(LOG(D3)*4/3))*0.414),((F3+(((TODAY()-B3)^0.5)/(336^0.414))+(LOG(D3)*4/3))*0.414))</f>
        <v>5.3975394902117708</v>
      </c>
      <c r="Z3" s="58">
        <f ca="1">IF(TODAY()-B3&gt;335,((G3+1+(LOG(D3)*4/3))*0.167),((G3+(((TODAY()-B3)^0.5)/(336^0.5))+(LOG(D3)*4/3))*0.167))</f>
        <v>0.67426834508542477</v>
      </c>
      <c r="AA3" s="58">
        <f ca="1">IF(TODAY()-B3&gt;335,((H3+1+(LOG(D3)*4/3))*0.588),((H3+(((TODAY()-B3)^0.5)/(336^0.5))+(LOG(D3)*4/3))*0.588))</f>
        <v>2.9620705803007765</v>
      </c>
      <c r="AB3" s="58">
        <f ca="1">IF(TODAY()-B3&gt;335,((F3+1+(LOG(D3)*4/3))*0.754),((F3+(((TODAY()-B3)^0.5)/(336^0.5))+(LOG(D3)*4/3))*0.754))</f>
        <v>9.8303013903856904</v>
      </c>
      <c r="AC3" s="58">
        <f ca="1">IF(TODAY()-B3&gt;335,((F3+1+(LOG(D3)*4/3))*0.708),((F3+(((TODAY()-B3)^0.5)/(336^0.414))+(LOG(D3)*4/3))*0.708))</f>
        <v>9.2305747803621596</v>
      </c>
      <c r="AD3" s="58">
        <f ca="1">IF(TODAY()-F3&gt;335,((K3+1+(LOG(H3)*4/3))*0.167),((K3+(((TODAY()-F3)^0.5)/(336^0.5))+(LOG(H3)*4/3))*0.167))</f>
        <v>2.6112389993842453</v>
      </c>
      <c r="AE3" s="58">
        <f ca="1">IF(TODAY()-F3&gt;335,((L3+1+(LOG(H3)*4/3))*0.288),((L3+(((TODAY()-F3)^0.5)/(336^0.5))+(LOG(H3)*4/3))*0.288))</f>
        <v>1.1912145618123502</v>
      </c>
      <c r="AF3" s="58">
        <f ca="1">IF(TODAY()-B3&gt;335,((F3+1+(LOG(D3)*4/3))*0.485),((F3+(((TODAY()-B3)^0.5)/(336^0.5))+(LOG(D3)*4/3))*0.485))</f>
        <v>6.3232044752480894</v>
      </c>
      <c r="AG3" s="58">
        <f ca="1">IF(TODAY()-B3&gt;335,((F3+1+(LOG(D3)*4/3))*0.264),((F3+(((TODAY()-B3)^0.5)/(336^0.5))+(LOG(D3)*4/3))*0.264))</f>
        <v>3.4419092401350428</v>
      </c>
      <c r="AH3" s="58">
        <f ca="1">IF(TODAY()-B3&gt;335,((G3+1+(LOG(D3)*4/3))*0.381),((G3+(((TODAY()-B3)^0.5)/(336^0.5))+(LOG(D3)*4/3))*0.381))</f>
        <v>1.538300835194891</v>
      </c>
      <c r="AI3" s="58">
        <f ca="1">IF(TODAY()-B3&gt;335,((H3+1+(LOG(D3)*4/3))*0.673)+((I3+1+(LOG(D3)*4/3))*0.201),((H3+(((TODAY()-B3)^0.5)/(336^0.5))+(LOG(D3)*4/3))*0.673)+((I3+(((TODAY()-B3)^0.5)/(336^0.5))+(LOG(D3)*4/3))*0.201))</f>
        <v>4.4028055904470733</v>
      </c>
      <c r="AJ3" s="58">
        <f ca="1">IF(TODAY()-B3&gt;335,((I3+1+(LOG(D3)*4/3))*0.052),((I3+(((TODAY()-B3)^0.5)/(336^0.5))+(LOG(D3)*4/3))*0.052))</f>
        <v>0.26195182002659928</v>
      </c>
      <c r="AK3" s="58">
        <f ca="1">IF(TODAY()-B3&gt;335,((F3+1+(LOG(D3)*4/3))*0.27),((F3+(((TODAY()-B3)^0.5)/(336^0.5))+(LOG(D3)*4/3))*0.27))</f>
        <v>3.5201344501381122</v>
      </c>
      <c r="AL3" s="58">
        <f ca="1">IF(TODAY()-B3&gt;335,((F3+1+(LOG(D3)*4/3))*0.594),((F3+(((TODAY()-B3)^0.5)/(336^0.5))+(LOG(D3)*4/3))*0.594))</f>
        <v>7.7442957903038456</v>
      </c>
      <c r="AM3" s="58">
        <f ca="1">AK3/2</f>
        <v>1.7600672250690561</v>
      </c>
      <c r="AN3" s="58">
        <f ca="1">IF(TODAY()-B3&gt;335,((G3+1+(LOG(D3)*4/3))*0.944),((G3+(((TODAY()-B3)^0.5)/(336^0.5))+(LOG(D3)*4/3))*0.944))</f>
        <v>3.8114330404828793</v>
      </c>
      <c r="AO3" s="58">
        <f ca="1">IF(TODAY()-B3&gt;335,((I3+1+(LOG(D3)*4/3))*0.13),((I3+(((TODAY()-B3)^0.5)/(336^0.5))+(LOG(D3)*4/3))*0.13))</f>
        <v>0.65487955006649834</v>
      </c>
      <c r="AP3" s="58">
        <f ca="1">IF(TODAY()-B3&gt;335,((J3+1+(LOG(D3)*4/3))*0.173)+((I3+1+(LOG(D3)*4/3))*0.12),((J3+(((TODAY()-B3)^0.5)/(336^0.5))+(LOG(D3)*4/3))*0.173)+((I3+(((TODAY()-B3)^0.5)/(336^0.5))+(LOG(D3)*4/3))*0.12))</f>
        <v>1.3029977551498768</v>
      </c>
      <c r="AQ3" s="58">
        <f ca="1">AO3/2</f>
        <v>0.32743977503324917</v>
      </c>
      <c r="AR3" s="58">
        <f ca="1">IF(TODAY()-B3&gt;335,((F3+1+(LOG(D3)*4/3))*0.189),((F3+(((TODAY()-B3)^0.5)/(336^0.5))+(LOG(D3)*4/3))*0.189))</f>
        <v>2.4640941150966782</v>
      </c>
      <c r="AS3" s="58">
        <f ca="1">IF(TODAY()-B3&gt;335,((F3+1+(LOG(D3)*4/3))*0.189),((F3+(((TODAY()-B3)^0.5)/(336^0.5))+(LOG(D3)*4/3))*0.189))</f>
        <v>2.4640941150966782</v>
      </c>
      <c r="AT3" s="58">
        <f ca="1">AR3/2</f>
        <v>1.2320470575483391</v>
      </c>
      <c r="AU3" s="58">
        <f ca="1">IF(TODAY()-B3&gt;335,((G3+1+(LOG(D3)*4/3))*1),((G3+(((TODAY()-B3)^0.5)/(336^0.5))+(LOG(D3)*4/3))*1))</f>
        <v>4.0375350005115251</v>
      </c>
      <c r="AV3" s="58">
        <f ca="1">IF(TODAY()-B3&gt;335,((I3+1+(LOG(D3)*4/3))*0.253),((I3+(((TODAY()-B3)^0.5)/(336^0.5))+(LOG(D3)*4/3))*0.253))</f>
        <v>1.2744963551294159</v>
      </c>
      <c r="AW3" s="58">
        <f ca="1">IF(TODAY()-B3&gt;335,((J3+1+(LOG(D3)*4/3))*0.21)+((I3+1+(LOG(D3)*4/3))*0.341),((J3+(((TODAY()-B3)^0.5)/(336^0.5))+(LOG(D3)*4/3))*0.21)+((I3+(((TODAY()-B3)^0.5)/(336^0.5))+(LOG(D3)*4/3))*0.341))</f>
        <v>2.5656817852818503</v>
      </c>
      <c r="AX3" s="58">
        <f ca="1">AV3/2</f>
        <v>0.63724817756470797</v>
      </c>
      <c r="AY3" s="58">
        <f ca="1">IF(TODAY()-B3&gt;335,((F3+1+(LOG(D3)*4/3))*0.291),((F3+(((TODAY()-B3)^0.5)/(336^0.5))+(LOG(D3)*4/3))*0.291))</f>
        <v>3.7939226851488534</v>
      </c>
      <c r="AZ3" s="58">
        <f ca="1">IF(TODAY()-B3&gt;335,((F3+1+(LOG(D3)*4/3))*0.348),((F3+(((TODAY()-B3)^0.5)/(336^0.5))+(LOG(D3)*4/3))*0.348))</f>
        <v>4.53706218017801</v>
      </c>
      <c r="BA3" s="58">
        <f ca="1">IF(TODAY()-B3&gt;335,((G3+1+(LOG(D3)*4/3))*0.881),((G3+(((TODAY()-B3)^0.5)/(336^0.5))+(LOG(D3)*4/3))*0.881))</f>
        <v>3.5570683354506536</v>
      </c>
      <c r="BB3" s="58">
        <f ca="1">IF(TODAY()-B3&gt;335,((H3+1+(LOG(D3)*4/3))*0.574)+((I3+1+(LOG(D3)*4/3))*0.315),((H3+(((TODAY()-B3)^0.5)/(336^0.5))+(LOG(D3)*4/3))*0.574)+((I3+(((TODAY()-B3)^0.5)/(336^0.5))+(LOG(D3)*4/3))*0.315))</f>
        <v>4.4783686154547455</v>
      </c>
      <c r="BC3" s="58">
        <f ca="1">IF(TODAY()-B3&gt;335,((I3+1+(LOG(D3)*4/3))*0.241),((I3+(((TODAY()-B3)^0.5)/(336^0.5))+(LOG(D3)*4/3))*0.241))</f>
        <v>1.2140459351232775</v>
      </c>
      <c r="BD3" s="58">
        <f ca="1">IF(TODAY()-B3&gt;335,((F3+1+(LOG(D3)*4/3))*0.18),((F3+(((TODAY()-B3)^0.5)/(336^0.5))+(LOG(D3)*4/3))*0.18))</f>
        <v>2.3467563000920744</v>
      </c>
      <c r="BE3" s="58">
        <f ca="1">IF(TODAY()-B3&gt;335,((F3+1+(LOG(D3)*4/3))*0.068),((F3+(((TODAY()-B3)^0.5)/(336^0.5))+(LOG(D3)*4/3))*0.068))</f>
        <v>0.88655238003478376</v>
      </c>
      <c r="BF3" s="58">
        <f ca="1">IF(TODAY()-B3&gt;335,((G3+1+(LOG(D3)*4/3))*0.305),((G3+(((TODAY()-B3)^0.5)/(336^0.5))+(LOG(D3)*4/3))*0.305))</f>
        <v>1.2314481751560151</v>
      </c>
      <c r="BG3" s="58">
        <f ca="1">IF(TODAY()-B3&gt;335,((H3+1+(LOG(D3)*4/3))*1)+((I3+1+(LOG(D3)*4/3))*0.286),((H3+(((TODAY()-B3)^0.5)/(336^0.5))+(LOG(D3)*4/3))*1)+((I3+(((TODAY()-B3)^0.5)/(336^0.5))+(LOG(D3)*4/3))*0.286))</f>
        <v>6.4782700106578215</v>
      </c>
      <c r="BH3" s="58">
        <f ca="1">IF(TODAY()-B3&gt;335,((I3+1+(LOG(D3)*4/3))*0.135),((I3+(((TODAY()-B3)^0.5)/(336^0.5))+(LOG(D3)*4/3))*0.135))</f>
        <v>0.68006722506905593</v>
      </c>
      <c r="BI3" s="58">
        <f ca="1">IF(TODAY()-B3&gt;335,((G3+1+(LOG(D3)*4/3))*0.406),((G3+(((TODAY()-B3)^0.5)/(336^0.5))+(LOG(D3)*4/3))*0.406))</f>
        <v>1.6392392102076794</v>
      </c>
      <c r="BJ3" s="58">
        <f ca="1">IF(A3="TEC",IF(TODAY()-B3&gt;335,((H3+1+(LOG(D3)*4/3))*0.15)+((I3+1+(LOG(D3)*4/3))*0.324)+((J3+1+(LOG(D3)*4/3))*0.127),((H3+(((TODAY()-B3)^0.5)/(336^0.5))+(LOG(D3)*4/3))*0.15)+((I3+(((TODAY()-B3)^0.5)/(336^0.5))+(LOG(D3)*4/3))*0.324)+((J3+(((TODAY()-B3)^0.5)/(336^0.5))+(LOG(D3)*4/3))*0.127)),IF(TODAY()-B3&gt;335,((H3+1+(LOG(D3)*4/3))*0.144)+((I3+1+(LOG(D3)*4/3))*0.25)+((J3+1+(LOG(D3)*4/3))*0.127),((H3+(((TODAY()-B3)^0.5)/(336^0.5))+(LOG(D3)*4/3))*0.144)+((I3+(((TODAY()-B3)^0.5)/(336^0.5))+(LOG(D3)*4/3))*0.25)+((J3+(((TODAY()-B3)^0.5)/(336^0.5))+(LOG(D3)*4/3))*0.127)))</f>
        <v>2.4975557352665048</v>
      </c>
      <c r="BK3" s="58">
        <f ca="1">IF(A3="TEC",IF(TODAY()-B3&gt;335,((I3+1+(LOG(D3)*4/3))*0.543)+((J3+1+(LOG(D3)*4/3))*0.583),((I3+(((TODAY()-B3)^0.5)/(336^0.5))+(LOG(D3)*4/3))*0.543)+((J3+(((TODAY()-B3)^0.5)/(336^0.5))+(LOG(D3)*4/3))*0.583)),IF(TODAY()-B3&gt;335,((I3+1+(LOG(D3)*4/3))*0.543)+((J3+1+(LOG(D3)*4/3))*0.583),((I3+(((TODAY()-B3)^0.5)/(336^0.5))+(LOG(D3)*4/3))*0.543)+((J3+(((TODAY()-B3)^0.5)/(336^0.5))+(LOG(D3)*4/3))*0.583)))</f>
        <v>5.0892644105759768</v>
      </c>
      <c r="BL3" s="58">
        <f ca="1">BJ3</f>
        <v>2.4975557352665048</v>
      </c>
      <c r="BM3" s="58">
        <f ca="1">IF(TODAY()-B3&gt;335,((J3+1+(LOG(D3)*4/3))*0.26)+((H3+1+(LOG(D3)*4/3))*0.221)+((I3+1+(LOG(D3)*4/3))*0.142),((J3+(((TODAY()-B3)^0.5)/(336^0.5))+(LOG(D3)*4/3))*0.26)+((H3+(((TODAY()-B3)^0.5)/(336^0.5))+(LOG(D3)*4/3))*0.221)+((J3+(((TODAY()-B3)^0.5)/(336^0.5))+(LOG(D3)*4/3))*0.142))</f>
        <v>2.8783843053186806</v>
      </c>
      <c r="BN3" s="58">
        <f ca="1">IF(TODAY()-B3&gt;335,((J3+1+(LOG(D3)*4/3))*1)+((I3+1+(LOG(D3)*4/3))*0.369),((J3+(((TODAY()-B3)^0.5)/(336^0.5))+(LOG(D3)*4/3))*1)+((I3+(((TODAY()-B3)^0.5)/(336^0.5))+(LOG(D3)*4/3))*0.369))</f>
        <v>5.8963854157002782</v>
      </c>
      <c r="BO3" s="58">
        <f ca="1">BM3</f>
        <v>2.8783843053186806</v>
      </c>
      <c r="BP3" s="58">
        <f ca="1">IF(TODAY()-B3&gt;335,((G3+1+(LOG(D3)*4/3))*0.25),((G3+(((TODAY()-B3)^0.5)/(336^0.5))+(LOG(D3)*4/3))*0.25))</f>
        <v>1.0093837501278813</v>
      </c>
    </row>
    <row r="4" spans="1:68" x14ac:dyDescent="0.25">
      <c r="B4" s="60">
        <v>41974</v>
      </c>
      <c r="C4" s="43">
        <v>6</v>
      </c>
      <c r="D4" s="44">
        <v>6</v>
      </c>
      <c r="E4" s="45">
        <v>0</v>
      </c>
      <c r="F4" s="45">
        <v>14</v>
      </c>
      <c r="G4" s="45">
        <v>2</v>
      </c>
      <c r="H4" s="45">
        <v>12</v>
      </c>
      <c r="I4" s="45">
        <v>12</v>
      </c>
      <c r="J4" s="45">
        <v>2</v>
      </c>
      <c r="K4" s="45">
        <v>10</v>
      </c>
      <c r="L4" s="45">
        <f>((2*(I4+1))+(F4+1))/8</f>
        <v>5.125</v>
      </c>
      <c r="M4" s="45">
        <f>(0.5*J4+ 0.3*K4)/10</f>
        <v>0.4</v>
      </c>
      <c r="N4" s="45">
        <f>(0.4*F4+0.3*K4)/10</f>
        <v>0.8600000000000001</v>
      </c>
      <c r="O4" s="45">
        <f t="shared" ca="1" si="0"/>
        <v>11.144591855189161</v>
      </c>
      <c r="P4" s="45">
        <f t="shared" ca="1" si="1"/>
        <v>12.028933688230312</v>
      </c>
      <c r="Q4" s="58">
        <f t="shared" ref="Q4:Q13" ca="1" si="4">IF(TODAY()-B4&gt;335,((E4+1+(LOG(D4)*4/3))*0.597)+((F4+1+(LOG(D4)*4/3))*0.276),((E4+(((TODAY()-B4)^0.5)/(336^0.5))+(LOG(D4)*4/3))*0.597)+((F4+(((TODAY()-B4)^0.5)/(336^0.5))+(LOG(D4)*4/3))*0.276))</f>
        <v>5.6427680554465613</v>
      </c>
      <c r="R4" s="58">
        <f t="shared" ref="R4:R13" ca="1" si="5">IF(TODAY()-B4&gt;335,((E4+1+(LOG(D4)*4/3))*0.866)+((F4+1+(LOG(D4)*4/3))*0.425),((E4+(((TODAY()-B4)^0.5)/(336^0.5))+(LOG(D4)*4/3))*0.866)+((F4+(((TODAY()-B4)^0.5)/(336^0.5))+(LOG(D4)*4/3))*0.425))</f>
        <v>8.5804576856603791</v>
      </c>
      <c r="S4" s="58">
        <f t="shared" ref="S4:S13" ca="1" si="6">Q4</f>
        <v>5.6427680554465613</v>
      </c>
      <c r="T4" s="58">
        <f t="shared" ref="T4:T13" ca="1" si="7">IF(TODAY()-B4&gt;335,((F4+1+(LOG(D4)*4/3))*0.516),((F4+(((TODAY()-B4)^0.5)/(336^0.516))+(LOG(D4)*4/3))*0.516))</f>
        <v>8.275368060263947</v>
      </c>
      <c r="U4" s="58">
        <f t="shared" ca="1" si="2"/>
        <v>16.037535000511525</v>
      </c>
      <c r="V4" s="58">
        <f t="shared" ref="V4:V13" ca="1" si="8">T4/2</f>
        <v>4.1376840301319735</v>
      </c>
      <c r="W4" s="58">
        <f t="shared" ref="W4:W13" ca="1" si="9">IF(TODAY()-B4&gt;335,((G4+1+(LOG(D4)*4/3))*0.238),((G4+(((TODAY()-B4)^0.5)/(336^0.238))+(LOG(D4)*4/3))*0.238))</f>
        <v>0.96093333012174298</v>
      </c>
      <c r="X4" s="58">
        <f t="shared" ca="1" si="3"/>
        <v>14.754532200470603</v>
      </c>
      <c r="Y4" s="58">
        <f t="shared" ref="Y4:Y13" ca="1" si="10">IF(TODAY()-B4&gt;335,((F4+1+(LOG(D4)*4/3))*0.414),((F4+(((TODAY()-B4)^0.5)/(336^0.414))+(LOG(D4)*4/3))*0.414))</f>
        <v>6.6395394902117708</v>
      </c>
      <c r="Z4" s="58">
        <f t="shared" ref="Z4:Z13" ca="1" si="11">IF(TODAY()-B4&gt;335,((G4+1+(LOG(D4)*4/3))*0.167),((G4+(((TODAY()-B4)^0.5)/(336^0.5))+(LOG(D4)*4/3))*0.167))</f>
        <v>0.67426834508542477</v>
      </c>
      <c r="AA4" s="58">
        <f t="shared" ref="AA4:AA13" ca="1" si="12">IF(TODAY()-B4&gt;335,((H4+1+(LOG(D4)*4/3))*0.588),((H4+(((TODAY()-B4)^0.5)/(336^0.5))+(LOG(D4)*4/3))*0.588))</f>
        <v>8.2540705803007768</v>
      </c>
      <c r="AB4" s="58">
        <f t="shared" ref="AB4:AB13" ca="1" si="13">IF(TODAY()-B4&gt;335,((F4+1+(LOG(D4)*4/3))*0.754),((F4+(((TODAY()-B4)^0.5)/(336^0.5))+(LOG(D4)*4/3))*0.754))</f>
        <v>12.092301390385691</v>
      </c>
      <c r="AC4" s="58">
        <f t="shared" ref="AC4:AC13" ca="1" si="14">IF(TODAY()-B4&gt;335,((F4+1+(LOG(D4)*4/3))*0.708),((F4+(((TODAY()-B4)^0.5)/(336^0.414))+(LOG(D4)*4/3))*0.708))</f>
        <v>11.354574780362158</v>
      </c>
      <c r="AD4" s="58">
        <f t="shared" ref="AD4:AD13" ca="1" si="15">IF(TODAY()-F4&gt;335,((K4+1+(LOG(H4)*4/3))*0.167),((K4+(((TODAY()-F4)^0.5)/(336^0.5))+(LOG(H4)*4/3))*0.167))</f>
        <v>2.0772976907866045</v>
      </c>
      <c r="AE4" s="58">
        <f t="shared" ref="AE4:AE13" ca="1" si="16">IF(TODAY()-F4&gt;335,((L4+1+(LOG(H4)*4/3))*0.288),((L4+(((TODAY()-F4)^0.5)/(336^0.5))+(LOG(H4)*4/3))*0.288))</f>
        <v>2.1784055984822879</v>
      </c>
      <c r="AF4" s="58">
        <f t="shared" ref="AF4:AF13" ca="1" si="17">IF(TODAY()-B4&gt;335,((F4+1+(LOG(D4)*4/3))*0.485),((F4+(((TODAY()-B4)^0.5)/(336^0.5))+(LOG(D4)*4/3))*0.485))</f>
        <v>7.7782044752480894</v>
      </c>
      <c r="AG4" s="58">
        <f t="shared" ref="AG4:AG13" ca="1" si="18">IF(TODAY()-B4&gt;335,((F4+1+(LOG(D4)*4/3))*0.264),((F4+(((TODAY()-B4)^0.5)/(336^0.5))+(LOG(D4)*4/3))*0.264))</f>
        <v>4.2339092401350431</v>
      </c>
      <c r="AH4" s="58">
        <f t="shared" ref="AH4:AH13" ca="1" si="19">IF(TODAY()-B4&gt;335,((G4+1+(LOG(D4)*4/3))*0.381),((G4+(((TODAY()-B4)^0.5)/(336^0.5))+(LOG(D4)*4/3))*0.381))</f>
        <v>1.538300835194891</v>
      </c>
      <c r="AI4" s="58">
        <f t="shared" ref="AI4:AI13" ca="1" si="20">IF(TODAY()-B4&gt;335,((H4+1+(LOG(D4)*4/3))*0.673)+((I4+1+(LOG(D4)*4/3))*0.201),((H4+(((TODAY()-B4)^0.5)/(336^0.5))+(LOG(D4)*4/3))*0.673)+((I4+(((TODAY()-B4)^0.5)/(336^0.5))+(LOG(D4)*4/3))*0.201))</f>
        <v>12.268805590447073</v>
      </c>
      <c r="AJ4" s="58">
        <f t="shared" ref="AJ4:AJ13" ca="1" si="21">IF(TODAY()-B4&gt;335,((I4+1+(LOG(D4)*4/3))*0.052),((I4+(((TODAY()-B4)^0.5)/(336^0.5))+(LOG(D4)*4/3))*0.052))</f>
        <v>0.72995182002659931</v>
      </c>
      <c r="AK4" s="58">
        <f t="shared" ref="AK4:AK13" ca="1" si="22">IF(TODAY()-B4&gt;335,((F4+1+(LOG(D4)*4/3))*0.27),((F4+(((TODAY()-B4)^0.5)/(336^0.5))+(LOG(D4)*4/3))*0.27))</f>
        <v>4.3301344501381118</v>
      </c>
      <c r="AL4" s="58">
        <f t="shared" ref="AL4:AL13" ca="1" si="23">IF(TODAY()-B4&gt;335,((F4+1+(LOG(D4)*4/3))*0.594),((F4+(((TODAY()-B4)^0.5)/(336^0.5))+(LOG(D4)*4/3))*0.594))</f>
        <v>9.5262957903038448</v>
      </c>
      <c r="AM4" s="58">
        <f t="shared" ref="AM4:AM13" ca="1" si="24">AK4/2</f>
        <v>2.1650672250690559</v>
      </c>
      <c r="AN4" s="58">
        <f t="shared" ref="AN4:AN13" ca="1" si="25">IF(TODAY()-B4&gt;335,((G4+1+(LOG(D4)*4/3))*0.944),((G4+(((TODAY()-B4)^0.5)/(336^0.5))+(LOG(D4)*4/3))*0.944))</f>
        <v>3.8114330404828793</v>
      </c>
      <c r="AO4" s="58">
        <f t="shared" ref="AO4:AO13" ca="1" si="26">IF(TODAY()-B4&gt;335,((I4+1+(LOG(D4)*4/3))*0.13),((I4+(((TODAY()-B4)^0.5)/(336^0.5))+(LOG(D4)*4/3))*0.13))</f>
        <v>1.8248795500664983</v>
      </c>
      <c r="AP4" s="58">
        <f t="shared" ref="AP4:AP13" ca="1" si="27">IF(TODAY()-B4&gt;335,((J4+1+(LOG(D4)*4/3))*0.173)+((I4+1+(LOG(D4)*4/3))*0.12),((J4+(((TODAY()-B4)^0.5)/(336^0.5))+(LOG(D4)*4/3))*0.173)+((I4+(((TODAY()-B4)^0.5)/(336^0.5))+(LOG(D4)*4/3))*0.12))</f>
        <v>2.3829977551498769</v>
      </c>
      <c r="AQ4" s="58">
        <f t="shared" ref="AQ4:AQ13" ca="1" si="28">AO4/2</f>
        <v>0.91243977503324913</v>
      </c>
      <c r="AR4" s="58">
        <f t="shared" ref="AR4:AR13" ca="1" si="29">IF(TODAY()-B4&gt;335,((F4+1+(LOG(D4)*4/3))*0.189),((F4+(((TODAY()-B4)^0.5)/(336^0.5))+(LOG(D4)*4/3))*0.189))</f>
        <v>3.0310941150966784</v>
      </c>
      <c r="AS4" s="58">
        <f t="shared" ref="AS4:AS13" ca="1" si="30">IF(TODAY()-B4&gt;335,((F4+1+(LOG(D4)*4/3))*0.189),((F4+(((TODAY()-B4)^0.5)/(336^0.5))+(LOG(D4)*4/3))*0.189))</f>
        <v>3.0310941150966784</v>
      </c>
      <c r="AT4" s="58">
        <f t="shared" ref="AT4:AT13" ca="1" si="31">AR4/2</f>
        <v>1.5155470575483392</v>
      </c>
      <c r="AU4" s="58">
        <f t="shared" ref="AU4:AU13" ca="1" si="32">IF(TODAY()-B4&gt;335,((G4+1+(LOG(D4)*4/3))*1),((G4+(((TODAY()-B4)^0.5)/(336^0.5))+(LOG(D4)*4/3))*1))</f>
        <v>4.0375350005115251</v>
      </c>
      <c r="AV4" s="58">
        <f t="shared" ref="AV4:AV13" ca="1" si="33">IF(TODAY()-B4&gt;335,((I4+1+(LOG(D4)*4/3))*0.253),((I4+(((TODAY()-B4)^0.5)/(336^0.5))+(LOG(D4)*4/3))*0.253))</f>
        <v>3.5514963551294159</v>
      </c>
      <c r="AW4" s="58">
        <f t="shared" ref="AW4:AW13" ca="1" si="34">IF(TODAY()-B4&gt;335,((J4+1+(LOG(D4)*4/3))*0.21)+((I4+1+(LOG(D4)*4/3))*0.341),((J4+(((TODAY()-B4)^0.5)/(336^0.5))+(LOG(D4)*4/3))*0.21)+((I4+(((TODAY()-B4)^0.5)/(336^0.5))+(LOG(D4)*4/3))*0.341))</f>
        <v>5.6346817852818507</v>
      </c>
      <c r="AX4" s="58">
        <f t="shared" ref="AX4:AX13" ca="1" si="35">AV4/2</f>
        <v>1.7757481775647079</v>
      </c>
      <c r="AY4" s="58">
        <f t="shared" ref="AY4:AY13" ca="1" si="36">IF(TODAY()-B4&gt;335,((F4+1+(LOG(D4)*4/3))*0.291),((F4+(((TODAY()-B4)^0.5)/(336^0.5))+(LOG(D4)*4/3))*0.291))</f>
        <v>4.6669226851488537</v>
      </c>
      <c r="AZ4" s="58">
        <f t="shared" ref="AZ4:AZ13" ca="1" si="37">IF(TODAY()-B4&gt;335,((F4+1+(LOG(D4)*4/3))*0.348),((F4+(((TODAY()-B4)^0.5)/(336^0.5))+(LOG(D4)*4/3))*0.348))</f>
        <v>5.5810621801780105</v>
      </c>
      <c r="BA4" s="58">
        <f t="shared" ref="BA4:BA13" ca="1" si="38">IF(TODAY()-B4&gt;335,((G4+1+(LOG(D4)*4/3))*0.881),((G4+(((TODAY()-B4)^0.5)/(336^0.5))+(LOG(D4)*4/3))*0.881))</f>
        <v>3.5570683354506536</v>
      </c>
      <c r="BB4" s="58">
        <f t="shared" ref="BB4:BB13" ca="1" si="39">IF(TODAY()-B4&gt;335,((H4+1+(LOG(D4)*4/3))*0.574)+((I4+1+(LOG(D4)*4/3))*0.315),((H4+(((TODAY()-B4)^0.5)/(336^0.5))+(LOG(D4)*4/3))*0.574)+((I4+(((TODAY()-B4)^0.5)/(336^0.5))+(LOG(D4)*4/3))*0.315))</f>
        <v>12.479368615454746</v>
      </c>
      <c r="BC4" s="58">
        <f t="shared" ref="BC4:BC13" ca="1" si="40">IF(TODAY()-B4&gt;335,((I4+1+(LOG(D4)*4/3))*0.241),((I4+(((TODAY()-B4)^0.5)/(336^0.5))+(LOG(D4)*4/3))*0.241))</f>
        <v>3.3830459351232776</v>
      </c>
      <c r="BD4" s="58">
        <f t="shared" ref="BD4:BD13" ca="1" si="41">IF(TODAY()-B4&gt;335,((F4+1+(LOG(D4)*4/3))*0.18),((F4+(((TODAY()-B4)^0.5)/(336^0.5))+(LOG(D4)*4/3))*0.18))</f>
        <v>2.8867563000920744</v>
      </c>
      <c r="BE4" s="58">
        <f t="shared" ref="BE4:BE13" ca="1" si="42">IF(TODAY()-B4&gt;335,((F4+1+(LOG(D4)*4/3))*0.068),((F4+(((TODAY()-B4)^0.5)/(336^0.5))+(LOG(D4)*4/3))*0.068))</f>
        <v>1.0905523800347838</v>
      </c>
      <c r="BF4" s="58">
        <f t="shared" ref="BF4:BF13" ca="1" si="43">IF(TODAY()-B4&gt;335,((G4+1+(LOG(D4)*4/3))*0.305),((G4+(((TODAY()-B4)^0.5)/(336^0.5))+(LOG(D4)*4/3))*0.305))</f>
        <v>1.2314481751560151</v>
      </c>
      <c r="BG4" s="58">
        <f t="shared" ref="BG4:BG13" ca="1" si="44">IF(TODAY()-B4&gt;335,((H4+1+(LOG(D4)*4/3))*1)+((I4+1+(LOG(D4)*4/3))*0.286),((H4+(((TODAY()-B4)^0.5)/(336^0.5))+(LOG(D4)*4/3))*1)+((I4+(((TODAY()-B4)^0.5)/(336^0.5))+(LOG(D4)*4/3))*0.286))</f>
        <v>18.052270010657821</v>
      </c>
      <c r="BH4" s="58">
        <f t="shared" ref="BH4:BH13" ca="1" si="45">IF(TODAY()-B4&gt;335,((I4+1+(LOG(D4)*4/3))*0.135),((I4+(((TODAY()-B4)^0.5)/(336^0.5))+(LOG(D4)*4/3))*0.135))</f>
        <v>1.8950672250690561</v>
      </c>
      <c r="BI4" s="58">
        <f t="shared" ref="BI4:BI13" ca="1" si="46">IF(TODAY()-B4&gt;335,((G4+1+(LOG(D4)*4/3))*0.406),((G4+(((TODAY()-B4)^0.5)/(336^0.5))+(LOG(D4)*4/3))*0.406))</f>
        <v>1.6392392102076794</v>
      </c>
      <c r="BJ4" s="58">
        <f t="shared" ref="BJ4:BJ13" ca="1" si="47">IF(A4="TEC",IF(TODAY()-B4&gt;335,((H4+1+(LOG(D4)*4/3))*0.15)+((I4+1+(LOG(D4)*4/3))*0.324)+((J4+1+(LOG(D4)*4/3))*0.127),((H4+(((TODAY()-B4)^0.5)/(336^0.5))+(LOG(D4)*4/3))*0.15)+((I4+(((TODAY()-B4)^0.5)/(336^0.5))+(LOG(D4)*4/3))*0.324)+((J4+(((TODAY()-B4)^0.5)/(336^0.5))+(LOG(D4)*4/3))*0.127)),IF(TODAY()-B4&gt;335,((H4+1+(LOG(D4)*4/3))*0.144)+((I4+1+(LOG(D4)*4/3))*0.25)+((J4+1+(LOG(D4)*4/3))*0.127),((H4+(((TODAY()-B4)^0.5)/(336^0.5))+(LOG(D4)*4/3))*0.144)+((I4+(((TODAY()-B4)^0.5)/(336^0.5))+(LOG(D4)*4/3))*0.25)+((J4+(((TODAY()-B4)^0.5)/(336^0.5))+(LOG(D4)*4/3))*0.127)))</f>
        <v>6.043555735266505</v>
      </c>
      <c r="BK4" s="58">
        <f t="shared" ref="BK4:BK13" ca="1" si="48">IF(A4="TEC",IF(TODAY()-B4&gt;335,((I4+1+(LOG(D4)*4/3))*0.543)+((J4+1+(LOG(D4)*4/3))*0.583),((I4+(((TODAY()-B4)^0.5)/(336^0.5))+(LOG(D4)*4/3))*0.543)+((J4+(((TODAY()-B4)^0.5)/(336^0.5))+(LOG(D4)*4/3))*0.583)),IF(TODAY()-B4&gt;335,((I4+1+(LOG(D4)*4/3))*0.543)+((J4+1+(LOG(D4)*4/3))*0.583),((I4+(((TODAY()-B4)^0.5)/(336^0.5))+(LOG(D4)*4/3))*0.543)+((J4+(((TODAY()-B4)^0.5)/(336^0.5))+(LOG(D4)*4/3))*0.583)))</f>
        <v>9.976264410575979</v>
      </c>
      <c r="BL4" s="58">
        <f t="shared" ref="BL4:BL13" ca="1" si="49">BJ4</f>
        <v>6.043555735266505</v>
      </c>
      <c r="BM4" s="58">
        <f t="shared" ref="BM4:BM13" ca="1" si="50">IF(TODAY()-B4&gt;335,((J4+1+(LOG(D4)*4/3))*0.26)+((H4+1+(LOG(D4)*4/3))*0.221)+((I4+1+(LOG(D4)*4/3))*0.142),((J4+(((TODAY()-B4)^0.5)/(336^0.5))+(LOG(D4)*4/3))*0.26)+((H4+(((TODAY()-B4)^0.5)/(336^0.5))+(LOG(D4)*4/3))*0.221)+((J4+(((TODAY()-B4)^0.5)/(336^0.5))+(LOG(D4)*4/3))*0.142))</f>
        <v>6.1453843053186805</v>
      </c>
      <c r="BN4" s="58">
        <f t="shared" ref="BN4:BN13" ca="1" si="51">IF(TODAY()-B4&gt;335,((J4+1+(LOG(D4)*4/3))*1)+((I4+1+(LOG(D4)*4/3))*0.369),((J4+(((TODAY()-B4)^0.5)/(336^0.5))+(LOG(D4)*4/3))*1)+((I4+(((TODAY()-B4)^0.5)/(336^0.5))+(LOG(D4)*4/3))*0.369))</f>
        <v>9.2173854157002779</v>
      </c>
      <c r="BO4" s="58">
        <f t="shared" ref="BO4:BO13" ca="1" si="52">BM4</f>
        <v>6.1453843053186805</v>
      </c>
      <c r="BP4" s="58">
        <f t="shared" ref="BP4:BP13" ca="1" si="53">IF(TODAY()-B4&gt;335,((G4+1+(LOG(D4)*4/3))*0.25),((G4+(((TODAY()-B4)^0.5)/(336^0.5))+(LOG(D4)*4/3))*0.25))</f>
        <v>1.0093837501278813</v>
      </c>
    </row>
    <row r="5" spans="1:68" x14ac:dyDescent="0.25">
      <c r="B5" s="60">
        <v>41974</v>
      </c>
      <c r="C5" s="43">
        <v>6</v>
      </c>
      <c r="D5" s="44">
        <v>6</v>
      </c>
      <c r="E5" s="45">
        <v>0</v>
      </c>
      <c r="F5" s="45">
        <v>14</v>
      </c>
      <c r="G5" s="45">
        <v>12</v>
      </c>
      <c r="H5" s="45">
        <v>2</v>
      </c>
      <c r="I5" s="45">
        <v>12</v>
      </c>
      <c r="J5" s="45">
        <v>2</v>
      </c>
      <c r="K5" s="45">
        <v>10</v>
      </c>
      <c r="L5" s="45">
        <f t="shared" ref="L5:L13" si="54">((2*(I5+1))+(F5+1))/8</f>
        <v>5.125</v>
      </c>
      <c r="M5" s="45">
        <f t="shared" ref="M5:M13" si="55">(0.5*J5+ 0.3*K5)/10</f>
        <v>0.4</v>
      </c>
      <c r="N5" s="45">
        <f t="shared" ref="N5:N13" si="56">(0.4*F5+0.3*K5)/10</f>
        <v>0.8600000000000001</v>
      </c>
      <c r="O5" s="45">
        <f t="shared" ca="1" si="0"/>
        <v>11.144591855189161</v>
      </c>
      <c r="P5" s="45">
        <f t="shared" ca="1" si="1"/>
        <v>12.028933688230312</v>
      </c>
      <c r="Q5" s="58">
        <f t="shared" ca="1" si="4"/>
        <v>5.6427680554465613</v>
      </c>
      <c r="R5" s="58">
        <f t="shared" ca="1" si="5"/>
        <v>8.5804576856603791</v>
      </c>
      <c r="S5" s="58">
        <f t="shared" ca="1" si="6"/>
        <v>5.6427680554465613</v>
      </c>
      <c r="T5" s="58">
        <f t="shared" ca="1" si="7"/>
        <v>8.275368060263947</v>
      </c>
      <c r="U5" s="58">
        <f t="shared" ca="1" si="2"/>
        <v>16.037535000511525</v>
      </c>
      <c r="V5" s="58">
        <f t="shared" ca="1" si="8"/>
        <v>4.1376840301319735</v>
      </c>
      <c r="W5" s="58">
        <f t="shared" ca="1" si="9"/>
        <v>3.340933330121743</v>
      </c>
      <c r="X5" s="58">
        <f t="shared" ca="1" si="3"/>
        <v>14.754532200470603</v>
      </c>
      <c r="Y5" s="58">
        <f t="shared" ca="1" si="10"/>
        <v>6.6395394902117708</v>
      </c>
      <c r="Z5" s="58">
        <f t="shared" ca="1" si="11"/>
        <v>2.3442683450854247</v>
      </c>
      <c r="AA5" s="58">
        <f t="shared" ca="1" si="12"/>
        <v>2.3740705803007764</v>
      </c>
      <c r="AB5" s="58">
        <f t="shared" ca="1" si="13"/>
        <v>12.092301390385691</v>
      </c>
      <c r="AC5" s="58">
        <f t="shared" ca="1" si="14"/>
        <v>11.354574780362158</v>
      </c>
      <c r="AD5" s="58">
        <f t="shared" ca="1" si="15"/>
        <v>1.9040293457011799</v>
      </c>
      <c r="AE5" s="58">
        <f t="shared" ca="1" si="16"/>
        <v>1.8795955183349689</v>
      </c>
      <c r="AF5" s="58">
        <f t="shared" ca="1" si="17"/>
        <v>7.7782044752480894</v>
      </c>
      <c r="AG5" s="58">
        <f t="shared" ca="1" si="18"/>
        <v>4.2339092401350431</v>
      </c>
      <c r="AH5" s="58">
        <f t="shared" ca="1" si="19"/>
        <v>5.3483008351948911</v>
      </c>
      <c r="AI5" s="58">
        <f t="shared" ca="1" si="20"/>
        <v>5.5388055904470725</v>
      </c>
      <c r="AJ5" s="58">
        <f t="shared" ca="1" si="21"/>
        <v>0.72995182002659931</v>
      </c>
      <c r="AK5" s="58">
        <f t="shared" ca="1" si="22"/>
        <v>4.3301344501381118</v>
      </c>
      <c r="AL5" s="58">
        <f t="shared" ca="1" si="23"/>
        <v>9.5262957903038448</v>
      </c>
      <c r="AM5" s="58">
        <f t="shared" ca="1" si="24"/>
        <v>2.1650672250690559</v>
      </c>
      <c r="AN5" s="58">
        <f t="shared" ca="1" si="25"/>
        <v>13.25143304048288</v>
      </c>
      <c r="AO5" s="58">
        <f t="shared" ca="1" si="26"/>
        <v>1.8248795500664983</v>
      </c>
      <c r="AP5" s="58">
        <f t="shared" ca="1" si="27"/>
        <v>2.3829977551498769</v>
      </c>
      <c r="AQ5" s="58">
        <f t="shared" ca="1" si="28"/>
        <v>0.91243977503324913</v>
      </c>
      <c r="AR5" s="58">
        <f t="shared" ca="1" si="29"/>
        <v>3.0310941150966784</v>
      </c>
      <c r="AS5" s="58">
        <f t="shared" ca="1" si="30"/>
        <v>3.0310941150966784</v>
      </c>
      <c r="AT5" s="58">
        <f t="shared" ca="1" si="31"/>
        <v>1.5155470575483392</v>
      </c>
      <c r="AU5" s="58">
        <f t="shared" ca="1" si="32"/>
        <v>14.037535000511525</v>
      </c>
      <c r="AV5" s="58">
        <f t="shared" ca="1" si="33"/>
        <v>3.5514963551294159</v>
      </c>
      <c r="AW5" s="58">
        <f t="shared" ca="1" si="34"/>
        <v>5.6346817852818507</v>
      </c>
      <c r="AX5" s="58">
        <f t="shared" ca="1" si="35"/>
        <v>1.7757481775647079</v>
      </c>
      <c r="AY5" s="58">
        <f t="shared" ca="1" si="36"/>
        <v>4.6669226851488537</v>
      </c>
      <c r="AZ5" s="58">
        <f t="shared" ca="1" si="37"/>
        <v>5.5810621801780105</v>
      </c>
      <c r="BA5" s="58">
        <f t="shared" ca="1" si="38"/>
        <v>12.367068335450654</v>
      </c>
      <c r="BB5" s="58">
        <f t="shared" ca="1" si="39"/>
        <v>6.7393686154547456</v>
      </c>
      <c r="BC5" s="58">
        <f t="shared" ca="1" si="40"/>
        <v>3.3830459351232776</v>
      </c>
      <c r="BD5" s="58">
        <f t="shared" ca="1" si="41"/>
        <v>2.8867563000920744</v>
      </c>
      <c r="BE5" s="58">
        <f t="shared" ca="1" si="42"/>
        <v>1.0905523800347838</v>
      </c>
      <c r="BF5" s="58">
        <f t="shared" ca="1" si="43"/>
        <v>4.2814481751560152</v>
      </c>
      <c r="BG5" s="58">
        <f t="shared" ca="1" si="44"/>
        <v>8.0522700106578213</v>
      </c>
      <c r="BH5" s="58">
        <f t="shared" ca="1" si="45"/>
        <v>1.8950672250690561</v>
      </c>
      <c r="BI5" s="58">
        <f t="shared" ca="1" si="46"/>
        <v>5.6992392102076792</v>
      </c>
      <c r="BJ5" s="58">
        <f t="shared" ca="1" si="47"/>
        <v>4.6035557352665037</v>
      </c>
      <c r="BK5" s="58">
        <f t="shared" ca="1" si="48"/>
        <v>9.976264410575979</v>
      </c>
      <c r="BL5" s="58">
        <f t="shared" ca="1" si="49"/>
        <v>4.6035557352665037</v>
      </c>
      <c r="BM5" s="58">
        <f t="shared" ca="1" si="50"/>
        <v>3.9353843053186801</v>
      </c>
      <c r="BN5" s="58">
        <f t="shared" ca="1" si="51"/>
        <v>9.2173854157002779</v>
      </c>
      <c r="BO5" s="58">
        <f t="shared" ca="1" si="52"/>
        <v>3.9353843053186801</v>
      </c>
      <c r="BP5" s="58">
        <f t="shared" ca="1" si="53"/>
        <v>3.5093837501278813</v>
      </c>
    </row>
    <row r="6" spans="1:68" x14ac:dyDescent="0.25">
      <c r="B6" s="60">
        <v>41974</v>
      </c>
      <c r="C6" s="43">
        <v>6</v>
      </c>
      <c r="D6" s="44">
        <v>6</v>
      </c>
      <c r="E6" s="45">
        <v>0</v>
      </c>
      <c r="F6" s="45">
        <v>14</v>
      </c>
      <c r="G6" s="45">
        <v>2</v>
      </c>
      <c r="H6" s="45">
        <v>12</v>
      </c>
      <c r="I6" s="45">
        <v>12</v>
      </c>
      <c r="J6" s="45">
        <v>2</v>
      </c>
      <c r="K6" s="45">
        <v>10</v>
      </c>
      <c r="L6" s="45">
        <f t="shared" si="54"/>
        <v>5.125</v>
      </c>
      <c r="M6" s="45">
        <f t="shared" si="55"/>
        <v>0.4</v>
      </c>
      <c r="N6" s="45">
        <f t="shared" si="56"/>
        <v>0.8600000000000001</v>
      </c>
      <c r="O6" s="45">
        <f t="shared" ca="1" si="0"/>
        <v>11.144591855189161</v>
      </c>
      <c r="P6" s="45">
        <f t="shared" ca="1" si="1"/>
        <v>12.028933688230312</v>
      </c>
      <c r="Q6" s="58">
        <f t="shared" ca="1" si="4"/>
        <v>5.6427680554465613</v>
      </c>
      <c r="R6" s="58">
        <f t="shared" ca="1" si="5"/>
        <v>8.5804576856603791</v>
      </c>
      <c r="S6" s="58">
        <f t="shared" ca="1" si="6"/>
        <v>5.6427680554465613</v>
      </c>
      <c r="T6" s="58">
        <f t="shared" ca="1" si="7"/>
        <v>8.275368060263947</v>
      </c>
      <c r="U6" s="58">
        <f t="shared" ca="1" si="2"/>
        <v>16.037535000511525</v>
      </c>
      <c r="V6" s="58">
        <f t="shared" ca="1" si="8"/>
        <v>4.1376840301319735</v>
      </c>
      <c r="W6" s="58">
        <f t="shared" ca="1" si="9"/>
        <v>0.96093333012174298</v>
      </c>
      <c r="X6" s="58">
        <f t="shared" ca="1" si="3"/>
        <v>14.754532200470603</v>
      </c>
      <c r="Y6" s="58">
        <f t="shared" ca="1" si="10"/>
        <v>6.6395394902117708</v>
      </c>
      <c r="Z6" s="58">
        <f t="shared" ca="1" si="11"/>
        <v>0.67426834508542477</v>
      </c>
      <c r="AA6" s="58">
        <f t="shared" ca="1" si="12"/>
        <v>8.2540705803007768</v>
      </c>
      <c r="AB6" s="58">
        <f t="shared" ca="1" si="13"/>
        <v>12.092301390385691</v>
      </c>
      <c r="AC6" s="58">
        <f t="shared" ca="1" si="14"/>
        <v>11.354574780362158</v>
      </c>
      <c r="AD6" s="58">
        <f t="shared" ca="1" si="15"/>
        <v>2.0772976907866045</v>
      </c>
      <c r="AE6" s="58">
        <f t="shared" ca="1" si="16"/>
        <v>2.1784055984822879</v>
      </c>
      <c r="AF6" s="58">
        <f t="shared" ca="1" si="17"/>
        <v>7.7782044752480894</v>
      </c>
      <c r="AG6" s="58">
        <f t="shared" ca="1" si="18"/>
        <v>4.2339092401350431</v>
      </c>
      <c r="AH6" s="58">
        <f t="shared" ca="1" si="19"/>
        <v>1.538300835194891</v>
      </c>
      <c r="AI6" s="58">
        <f t="shared" ca="1" si="20"/>
        <v>12.268805590447073</v>
      </c>
      <c r="AJ6" s="58">
        <f t="shared" ca="1" si="21"/>
        <v>0.72995182002659931</v>
      </c>
      <c r="AK6" s="58">
        <f t="shared" ca="1" si="22"/>
        <v>4.3301344501381118</v>
      </c>
      <c r="AL6" s="58">
        <f t="shared" ca="1" si="23"/>
        <v>9.5262957903038448</v>
      </c>
      <c r="AM6" s="58">
        <f t="shared" ca="1" si="24"/>
        <v>2.1650672250690559</v>
      </c>
      <c r="AN6" s="58">
        <f t="shared" ca="1" si="25"/>
        <v>3.8114330404828793</v>
      </c>
      <c r="AO6" s="58">
        <f t="shared" ca="1" si="26"/>
        <v>1.8248795500664983</v>
      </c>
      <c r="AP6" s="58">
        <f t="shared" ca="1" si="27"/>
        <v>2.3829977551498769</v>
      </c>
      <c r="AQ6" s="58">
        <f t="shared" ca="1" si="28"/>
        <v>0.91243977503324913</v>
      </c>
      <c r="AR6" s="58">
        <f t="shared" ca="1" si="29"/>
        <v>3.0310941150966784</v>
      </c>
      <c r="AS6" s="58">
        <f t="shared" ca="1" si="30"/>
        <v>3.0310941150966784</v>
      </c>
      <c r="AT6" s="58">
        <f t="shared" ca="1" si="31"/>
        <v>1.5155470575483392</v>
      </c>
      <c r="AU6" s="58">
        <f t="shared" ca="1" si="32"/>
        <v>4.0375350005115251</v>
      </c>
      <c r="AV6" s="58">
        <f t="shared" ca="1" si="33"/>
        <v>3.5514963551294159</v>
      </c>
      <c r="AW6" s="58">
        <f t="shared" ca="1" si="34"/>
        <v>5.6346817852818507</v>
      </c>
      <c r="AX6" s="58">
        <f t="shared" ca="1" si="35"/>
        <v>1.7757481775647079</v>
      </c>
      <c r="AY6" s="58">
        <f t="shared" ca="1" si="36"/>
        <v>4.6669226851488537</v>
      </c>
      <c r="AZ6" s="58">
        <f t="shared" ca="1" si="37"/>
        <v>5.5810621801780105</v>
      </c>
      <c r="BA6" s="58">
        <f t="shared" ca="1" si="38"/>
        <v>3.5570683354506536</v>
      </c>
      <c r="BB6" s="58">
        <f t="shared" ca="1" si="39"/>
        <v>12.479368615454746</v>
      </c>
      <c r="BC6" s="58">
        <f t="shared" ca="1" si="40"/>
        <v>3.3830459351232776</v>
      </c>
      <c r="BD6" s="58">
        <f t="shared" ca="1" si="41"/>
        <v>2.8867563000920744</v>
      </c>
      <c r="BE6" s="58">
        <f t="shared" ca="1" si="42"/>
        <v>1.0905523800347838</v>
      </c>
      <c r="BF6" s="58">
        <f t="shared" ca="1" si="43"/>
        <v>1.2314481751560151</v>
      </c>
      <c r="BG6" s="58">
        <f t="shared" ca="1" si="44"/>
        <v>18.052270010657821</v>
      </c>
      <c r="BH6" s="58">
        <f t="shared" ca="1" si="45"/>
        <v>1.8950672250690561</v>
      </c>
      <c r="BI6" s="58">
        <f t="shared" ca="1" si="46"/>
        <v>1.6392392102076794</v>
      </c>
      <c r="BJ6" s="58">
        <f t="shared" ca="1" si="47"/>
        <v>6.043555735266505</v>
      </c>
      <c r="BK6" s="58">
        <f t="shared" ca="1" si="48"/>
        <v>9.976264410575979</v>
      </c>
      <c r="BL6" s="58">
        <f t="shared" ca="1" si="49"/>
        <v>6.043555735266505</v>
      </c>
      <c r="BM6" s="58">
        <f t="shared" ca="1" si="50"/>
        <v>6.1453843053186805</v>
      </c>
      <c r="BN6" s="58">
        <f t="shared" ca="1" si="51"/>
        <v>9.2173854157002779</v>
      </c>
      <c r="BO6" s="58">
        <f t="shared" ca="1" si="52"/>
        <v>6.1453843053186805</v>
      </c>
      <c r="BP6" s="58">
        <f t="shared" ca="1" si="53"/>
        <v>1.0093837501278813</v>
      </c>
    </row>
    <row r="7" spans="1:68" x14ac:dyDescent="0.25">
      <c r="B7" s="60">
        <v>41974</v>
      </c>
      <c r="C7" s="43">
        <v>6</v>
      </c>
      <c r="D7" s="44">
        <v>6</v>
      </c>
      <c r="E7" s="45">
        <v>0</v>
      </c>
      <c r="F7" s="45">
        <v>2</v>
      </c>
      <c r="G7" s="45">
        <v>14</v>
      </c>
      <c r="H7" s="45">
        <v>15</v>
      </c>
      <c r="I7" s="45">
        <v>7</v>
      </c>
      <c r="J7" s="45">
        <v>7</v>
      </c>
      <c r="K7" s="45">
        <v>10</v>
      </c>
      <c r="L7" s="45">
        <f t="shared" si="54"/>
        <v>2.375</v>
      </c>
      <c r="M7" s="45">
        <f t="shared" si="55"/>
        <v>0.65</v>
      </c>
      <c r="N7" s="45">
        <f t="shared" si="56"/>
        <v>0.38</v>
      </c>
      <c r="O7" s="45">
        <f t="shared" ca="1" si="0"/>
        <v>11.144591855189161</v>
      </c>
      <c r="P7" s="45">
        <f t="shared" ca="1" si="1"/>
        <v>12.028933688230312</v>
      </c>
      <c r="Q7" s="58">
        <f t="shared" ca="1" si="4"/>
        <v>2.3307680554465611</v>
      </c>
      <c r="R7" s="58">
        <f t="shared" ca="1" si="5"/>
        <v>3.4804576856603786</v>
      </c>
      <c r="S7" s="58">
        <f t="shared" ca="1" si="6"/>
        <v>2.3307680554465611</v>
      </c>
      <c r="T7" s="58">
        <f t="shared" ca="1" si="7"/>
        <v>2.0833680602639468</v>
      </c>
      <c r="U7" s="58">
        <f t="shared" ca="1" si="2"/>
        <v>4.0375350005115251</v>
      </c>
      <c r="V7" s="58">
        <f t="shared" ca="1" si="8"/>
        <v>1.0416840301319734</v>
      </c>
      <c r="W7" s="58">
        <f t="shared" ca="1" si="9"/>
        <v>3.816933330121743</v>
      </c>
      <c r="X7" s="58">
        <f t="shared" ca="1" si="3"/>
        <v>3.7145322004706034</v>
      </c>
      <c r="Y7" s="58">
        <f t="shared" ca="1" si="10"/>
        <v>1.6715394902117713</v>
      </c>
      <c r="Z7" s="58">
        <f t="shared" ca="1" si="11"/>
        <v>2.6782683450854248</v>
      </c>
      <c r="AA7" s="58">
        <f t="shared" ca="1" si="12"/>
        <v>10.018070580300776</v>
      </c>
      <c r="AB7" s="58">
        <f t="shared" ca="1" si="13"/>
        <v>3.0443013903856899</v>
      </c>
      <c r="AC7" s="58">
        <f t="shared" ca="1" si="14"/>
        <v>2.8585747803621597</v>
      </c>
      <c r="AD7" s="58">
        <f t="shared" ca="1" si="15"/>
        <v>2.0988763203497318</v>
      </c>
      <c r="AE7" s="58">
        <f t="shared" ca="1" si="16"/>
        <v>1.4236190434773814</v>
      </c>
      <c r="AF7" s="58">
        <f t="shared" ca="1" si="17"/>
        <v>1.9582044752480896</v>
      </c>
      <c r="AG7" s="58">
        <f t="shared" ca="1" si="18"/>
        <v>1.0659092401350427</v>
      </c>
      <c r="AH7" s="58">
        <f t="shared" ca="1" si="19"/>
        <v>6.1103008351948915</v>
      </c>
      <c r="AI7" s="58">
        <f t="shared" ca="1" si="20"/>
        <v>13.282805590447072</v>
      </c>
      <c r="AJ7" s="58">
        <f t="shared" ca="1" si="21"/>
        <v>0.4699518200265993</v>
      </c>
      <c r="AK7" s="58">
        <f t="shared" ca="1" si="22"/>
        <v>1.0901344501381118</v>
      </c>
      <c r="AL7" s="58">
        <f t="shared" ca="1" si="23"/>
        <v>2.398295790303846</v>
      </c>
      <c r="AM7" s="58">
        <f t="shared" ca="1" si="24"/>
        <v>0.54506722506905592</v>
      </c>
      <c r="AN7" s="58">
        <f t="shared" ca="1" si="25"/>
        <v>15.13943304048288</v>
      </c>
      <c r="AO7" s="58">
        <f t="shared" ca="1" si="26"/>
        <v>1.1748795500664984</v>
      </c>
      <c r="AP7" s="58">
        <f t="shared" ca="1" si="27"/>
        <v>2.6479977551498766</v>
      </c>
      <c r="AQ7" s="58">
        <f t="shared" ca="1" si="28"/>
        <v>0.58743977503324918</v>
      </c>
      <c r="AR7" s="58">
        <f t="shared" ca="1" si="29"/>
        <v>0.76309411509667824</v>
      </c>
      <c r="AS7" s="58">
        <f t="shared" ca="1" si="30"/>
        <v>0.76309411509667824</v>
      </c>
      <c r="AT7" s="58">
        <f t="shared" ca="1" si="31"/>
        <v>0.38154705754833912</v>
      </c>
      <c r="AU7" s="58">
        <f t="shared" ca="1" si="32"/>
        <v>16.037535000511525</v>
      </c>
      <c r="AV7" s="58">
        <f t="shared" ca="1" si="33"/>
        <v>2.2864963551294157</v>
      </c>
      <c r="AW7" s="58">
        <f t="shared" ca="1" si="34"/>
        <v>4.9796817852818505</v>
      </c>
      <c r="AX7" s="58">
        <f t="shared" ca="1" si="35"/>
        <v>1.1432481775647079</v>
      </c>
      <c r="AY7" s="58">
        <f t="shared" ca="1" si="36"/>
        <v>1.1749226851488537</v>
      </c>
      <c r="AZ7" s="58">
        <f t="shared" ca="1" si="37"/>
        <v>1.4050621801780105</v>
      </c>
      <c r="BA7" s="58">
        <f t="shared" ca="1" si="38"/>
        <v>14.129068335450654</v>
      </c>
      <c r="BB7" s="58">
        <f t="shared" ca="1" si="39"/>
        <v>12.626368615454744</v>
      </c>
      <c r="BC7" s="58">
        <f t="shared" ca="1" si="40"/>
        <v>2.1780459351232775</v>
      </c>
      <c r="BD7" s="58">
        <f t="shared" ca="1" si="41"/>
        <v>0.72675630009207448</v>
      </c>
      <c r="BE7" s="58">
        <f t="shared" ca="1" si="42"/>
        <v>0.27455238003478372</v>
      </c>
      <c r="BF7" s="58">
        <f t="shared" ca="1" si="43"/>
        <v>4.8914481751560155</v>
      </c>
      <c r="BG7" s="58">
        <f t="shared" ca="1" si="44"/>
        <v>19.622270010657822</v>
      </c>
      <c r="BH7" s="58">
        <f t="shared" ca="1" si="45"/>
        <v>1.2200672250690561</v>
      </c>
      <c r="BI7" s="58">
        <f t="shared" ca="1" si="46"/>
        <v>6.5112392102076795</v>
      </c>
      <c r="BJ7" s="58">
        <f t="shared" ca="1" si="47"/>
        <v>5.8605557352665052</v>
      </c>
      <c r="BK7" s="58">
        <f t="shared" ca="1" si="48"/>
        <v>10.176264410575978</v>
      </c>
      <c r="BL7" s="58">
        <f t="shared" ca="1" si="49"/>
        <v>5.8605557352665052</v>
      </c>
      <c r="BM7" s="58">
        <f t="shared" ca="1" si="50"/>
        <v>7.3983843053186806</v>
      </c>
      <c r="BN7" s="58">
        <f t="shared" ca="1" si="51"/>
        <v>12.372385415700277</v>
      </c>
      <c r="BO7" s="58">
        <f t="shared" ca="1" si="52"/>
        <v>7.3983843053186806</v>
      </c>
      <c r="BP7" s="58">
        <f t="shared" ca="1" si="53"/>
        <v>4.0093837501278813</v>
      </c>
    </row>
    <row r="8" spans="1:68" x14ac:dyDescent="0.25">
      <c r="B8" s="60">
        <v>41974</v>
      </c>
      <c r="C8" s="43">
        <v>6</v>
      </c>
      <c r="D8" s="44">
        <v>6</v>
      </c>
      <c r="E8" s="45">
        <v>0</v>
      </c>
      <c r="F8" s="45">
        <v>12</v>
      </c>
      <c r="G8" s="45">
        <v>14</v>
      </c>
      <c r="H8" s="45">
        <v>2</v>
      </c>
      <c r="I8" s="45">
        <v>12</v>
      </c>
      <c r="J8" s="45">
        <v>2</v>
      </c>
      <c r="K8" s="45">
        <v>10</v>
      </c>
      <c r="L8" s="45">
        <f t="shared" si="54"/>
        <v>4.875</v>
      </c>
      <c r="M8" s="45">
        <f t="shared" si="55"/>
        <v>0.4</v>
      </c>
      <c r="N8" s="45">
        <f t="shared" si="56"/>
        <v>0.78</v>
      </c>
      <c r="O8" s="45">
        <f t="shared" ca="1" si="0"/>
        <v>11.144591855189161</v>
      </c>
      <c r="P8" s="45">
        <f t="shared" ca="1" si="1"/>
        <v>12.028933688230312</v>
      </c>
      <c r="Q8" s="58">
        <f t="shared" ca="1" si="4"/>
        <v>5.0907680554465617</v>
      </c>
      <c r="R8" s="58">
        <f t="shared" ca="1" si="5"/>
        <v>7.7304576856603786</v>
      </c>
      <c r="S8" s="58">
        <f t="shared" ca="1" si="6"/>
        <v>5.0907680554465617</v>
      </c>
      <c r="T8" s="58">
        <f t="shared" ca="1" si="7"/>
        <v>7.243368060263947</v>
      </c>
      <c r="U8" s="58">
        <f t="shared" ca="1" si="2"/>
        <v>14.037535000511525</v>
      </c>
      <c r="V8" s="58">
        <f t="shared" ca="1" si="8"/>
        <v>3.6216840301319735</v>
      </c>
      <c r="W8" s="58">
        <f t="shared" ca="1" si="9"/>
        <v>3.816933330121743</v>
      </c>
      <c r="X8" s="58">
        <f t="shared" ca="1" si="3"/>
        <v>12.914532200470603</v>
      </c>
      <c r="Y8" s="58">
        <f t="shared" ca="1" si="10"/>
        <v>5.8115394902117714</v>
      </c>
      <c r="Z8" s="58">
        <f t="shared" ca="1" si="11"/>
        <v>2.6782683450854248</v>
      </c>
      <c r="AA8" s="58">
        <f t="shared" ca="1" si="12"/>
        <v>2.3740705803007764</v>
      </c>
      <c r="AB8" s="58">
        <f t="shared" ca="1" si="13"/>
        <v>10.58430139038569</v>
      </c>
      <c r="AC8" s="58">
        <f t="shared" ca="1" si="14"/>
        <v>9.9385747803621598</v>
      </c>
      <c r="AD8" s="58">
        <f t="shared" ca="1" si="15"/>
        <v>1.9040293457011799</v>
      </c>
      <c r="AE8" s="58">
        <f t="shared" ca="1" si="16"/>
        <v>1.8075955183349688</v>
      </c>
      <c r="AF8" s="58">
        <f t="shared" ca="1" si="17"/>
        <v>6.8082044752480897</v>
      </c>
      <c r="AG8" s="58">
        <f t="shared" ca="1" si="18"/>
        <v>3.7059092401350426</v>
      </c>
      <c r="AH8" s="58">
        <f t="shared" ca="1" si="19"/>
        <v>6.1103008351948915</v>
      </c>
      <c r="AI8" s="58">
        <f t="shared" ca="1" si="20"/>
        <v>5.5388055904470725</v>
      </c>
      <c r="AJ8" s="58">
        <f t="shared" ca="1" si="21"/>
        <v>0.72995182002659931</v>
      </c>
      <c r="AK8" s="58">
        <f t="shared" ca="1" si="22"/>
        <v>3.7901344501381122</v>
      </c>
      <c r="AL8" s="58">
        <f t="shared" ca="1" si="23"/>
        <v>8.3382957903038459</v>
      </c>
      <c r="AM8" s="58">
        <f t="shared" ca="1" si="24"/>
        <v>1.8950672250690561</v>
      </c>
      <c r="AN8" s="58">
        <f t="shared" ca="1" si="25"/>
        <v>15.13943304048288</v>
      </c>
      <c r="AO8" s="58">
        <f t="shared" ca="1" si="26"/>
        <v>1.8248795500664983</v>
      </c>
      <c r="AP8" s="58">
        <f t="shared" ca="1" si="27"/>
        <v>2.3829977551498769</v>
      </c>
      <c r="AQ8" s="58">
        <f t="shared" ca="1" si="28"/>
        <v>0.91243977503324913</v>
      </c>
      <c r="AR8" s="58">
        <f t="shared" ca="1" si="29"/>
        <v>2.6530941150966783</v>
      </c>
      <c r="AS8" s="58">
        <f t="shared" ca="1" si="30"/>
        <v>2.6530941150966783</v>
      </c>
      <c r="AT8" s="58">
        <f t="shared" ca="1" si="31"/>
        <v>1.3265470575483391</v>
      </c>
      <c r="AU8" s="58">
        <f t="shared" ca="1" si="32"/>
        <v>16.037535000511525</v>
      </c>
      <c r="AV8" s="58">
        <f t="shared" ca="1" si="33"/>
        <v>3.5514963551294159</v>
      </c>
      <c r="AW8" s="58">
        <f t="shared" ca="1" si="34"/>
        <v>5.6346817852818507</v>
      </c>
      <c r="AX8" s="58">
        <f t="shared" ca="1" si="35"/>
        <v>1.7757481775647079</v>
      </c>
      <c r="AY8" s="58">
        <f t="shared" ca="1" si="36"/>
        <v>4.0849226851488538</v>
      </c>
      <c r="AZ8" s="58">
        <f t="shared" ca="1" si="37"/>
        <v>4.8850621801780107</v>
      </c>
      <c r="BA8" s="58">
        <f t="shared" ca="1" si="38"/>
        <v>14.129068335450654</v>
      </c>
      <c r="BB8" s="58">
        <f t="shared" ca="1" si="39"/>
        <v>6.7393686154547456</v>
      </c>
      <c r="BC8" s="58">
        <f t="shared" ca="1" si="40"/>
        <v>3.3830459351232776</v>
      </c>
      <c r="BD8" s="58">
        <f t="shared" ca="1" si="41"/>
        <v>2.5267563000920745</v>
      </c>
      <c r="BE8" s="58">
        <f t="shared" ca="1" si="42"/>
        <v>0.95455238003478382</v>
      </c>
      <c r="BF8" s="58">
        <f t="shared" ca="1" si="43"/>
        <v>4.8914481751560155</v>
      </c>
      <c r="BG8" s="58">
        <f t="shared" ca="1" si="44"/>
        <v>8.0522700106578213</v>
      </c>
      <c r="BH8" s="58">
        <f t="shared" ca="1" si="45"/>
        <v>1.8950672250690561</v>
      </c>
      <c r="BI8" s="58">
        <f t="shared" ca="1" si="46"/>
        <v>6.5112392102076795</v>
      </c>
      <c r="BJ8" s="58">
        <f t="shared" ca="1" si="47"/>
        <v>4.6035557352665037</v>
      </c>
      <c r="BK8" s="58">
        <f t="shared" ca="1" si="48"/>
        <v>9.976264410575979</v>
      </c>
      <c r="BL8" s="58">
        <f t="shared" ca="1" si="49"/>
        <v>4.6035557352665037</v>
      </c>
      <c r="BM8" s="58">
        <f t="shared" ca="1" si="50"/>
        <v>3.9353843053186801</v>
      </c>
      <c r="BN8" s="58">
        <f t="shared" ca="1" si="51"/>
        <v>9.2173854157002779</v>
      </c>
      <c r="BO8" s="58">
        <f t="shared" ca="1" si="52"/>
        <v>3.9353843053186801</v>
      </c>
      <c r="BP8" s="58">
        <f t="shared" ca="1" si="53"/>
        <v>4.0093837501278813</v>
      </c>
    </row>
    <row r="9" spans="1:68" x14ac:dyDescent="0.25">
      <c r="B9" s="60">
        <v>41974</v>
      </c>
      <c r="C9" s="43">
        <v>6</v>
      </c>
      <c r="D9" s="44">
        <v>6</v>
      </c>
      <c r="E9" s="45">
        <v>0</v>
      </c>
      <c r="F9" s="45">
        <v>14</v>
      </c>
      <c r="G9" s="45">
        <v>12</v>
      </c>
      <c r="H9" s="45">
        <v>2</v>
      </c>
      <c r="I9" s="45">
        <v>12</v>
      </c>
      <c r="J9" s="45">
        <v>2</v>
      </c>
      <c r="K9" s="45">
        <v>10</v>
      </c>
      <c r="L9" s="45">
        <f t="shared" si="54"/>
        <v>5.125</v>
      </c>
      <c r="M9" s="45">
        <f t="shared" si="55"/>
        <v>0.4</v>
      </c>
      <c r="N9" s="45">
        <f t="shared" si="56"/>
        <v>0.8600000000000001</v>
      </c>
      <c r="O9" s="45">
        <f t="shared" ca="1" si="0"/>
        <v>11.144591855189161</v>
      </c>
      <c r="P9" s="45">
        <f t="shared" ca="1" si="1"/>
        <v>12.028933688230312</v>
      </c>
      <c r="Q9" s="58">
        <f t="shared" ca="1" si="4"/>
        <v>5.6427680554465613</v>
      </c>
      <c r="R9" s="58">
        <f t="shared" ca="1" si="5"/>
        <v>8.5804576856603791</v>
      </c>
      <c r="S9" s="58">
        <f t="shared" ca="1" si="6"/>
        <v>5.6427680554465613</v>
      </c>
      <c r="T9" s="58">
        <f t="shared" ca="1" si="7"/>
        <v>8.275368060263947</v>
      </c>
      <c r="U9" s="58">
        <f t="shared" ca="1" si="2"/>
        <v>16.037535000511525</v>
      </c>
      <c r="V9" s="58">
        <f t="shared" ca="1" si="8"/>
        <v>4.1376840301319735</v>
      </c>
      <c r="W9" s="58">
        <f t="shared" ca="1" si="9"/>
        <v>3.340933330121743</v>
      </c>
      <c r="X9" s="58">
        <f t="shared" ca="1" si="3"/>
        <v>14.754532200470603</v>
      </c>
      <c r="Y9" s="58">
        <f t="shared" ca="1" si="10"/>
        <v>6.6395394902117708</v>
      </c>
      <c r="Z9" s="58">
        <f t="shared" ca="1" si="11"/>
        <v>2.3442683450854247</v>
      </c>
      <c r="AA9" s="58">
        <f t="shared" ca="1" si="12"/>
        <v>2.3740705803007764</v>
      </c>
      <c r="AB9" s="58">
        <f t="shared" ca="1" si="13"/>
        <v>12.092301390385691</v>
      </c>
      <c r="AC9" s="58">
        <f t="shared" ca="1" si="14"/>
        <v>11.354574780362158</v>
      </c>
      <c r="AD9" s="58">
        <f t="shared" ca="1" si="15"/>
        <v>1.9040293457011799</v>
      </c>
      <c r="AE9" s="58">
        <f t="shared" ca="1" si="16"/>
        <v>1.8795955183349689</v>
      </c>
      <c r="AF9" s="58">
        <f t="shared" ca="1" si="17"/>
        <v>7.7782044752480894</v>
      </c>
      <c r="AG9" s="58">
        <f t="shared" ca="1" si="18"/>
        <v>4.2339092401350431</v>
      </c>
      <c r="AH9" s="58">
        <f t="shared" ca="1" si="19"/>
        <v>5.3483008351948911</v>
      </c>
      <c r="AI9" s="58">
        <f t="shared" ca="1" si="20"/>
        <v>5.5388055904470725</v>
      </c>
      <c r="AJ9" s="58">
        <f t="shared" ca="1" si="21"/>
        <v>0.72995182002659931</v>
      </c>
      <c r="AK9" s="58">
        <f t="shared" ca="1" si="22"/>
        <v>4.3301344501381118</v>
      </c>
      <c r="AL9" s="58">
        <f t="shared" ca="1" si="23"/>
        <v>9.5262957903038448</v>
      </c>
      <c r="AM9" s="58">
        <f t="shared" ca="1" si="24"/>
        <v>2.1650672250690559</v>
      </c>
      <c r="AN9" s="58">
        <f t="shared" ca="1" si="25"/>
        <v>13.25143304048288</v>
      </c>
      <c r="AO9" s="58">
        <f t="shared" ca="1" si="26"/>
        <v>1.8248795500664983</v>
      </c>
      <c r="AP9" s="58">
        <f t="shared" ca="1" si="27"/>
        <v>2.3829977551498769</v>
      </c>
      <c r="AQ9" s="58">
        <f t="shared" ca="1" si="28"/>
        <v>0.91243977503324913</v>
      </c>
      <c r="AR9" s="58">
        <f t="shared" ca="1" si="29"/>
        <v>3.0310941150966784</v>
      </c>
      <c r="AS9" s="58">
        <f t="shared" ca="1" si="30"/>
        <v>3.0310941150966784</v>
      </c>
      <c r="AT9" s="58">
        <f t="shared" ca="1" si="31"/>
        <v>1.5155470575483392</v>
      </c>
      <c r="AU9" s="58">
        <f t="shared" ca="1" si="32"/>
        <v>14.037535000511525</v>
      </c>
      <c r="AV9" s="58">
        <f t="shared" ca="1" si="33"/>
        <v>3.5514963551294159</v>
      </c>
      <c r="AW9" s="58">
        <f t="shared" ca="1" si="34"/>
        <v>5.6346817852818507</v>
      </c>
      <c r="AX9" s="58">
        <f t="shared" ca="1" si="35"/>
        <v>1.7757481775647079</v>
      </c>
      <c r="AY9" s="58">
        <f t="shared" ca="1" si="36"/>
        <v>4.6669226851488537</v>
      </c>
      <c r="AZ9" s="58">
        <f t="shared" ca="1" si="37"/>
        <v>5.5810621801780105</v>
      </c>
      <c r="BA9" s="58">
        <f t="shared" ca="1" si="38"/>
        <v>12.367068335450654</v>
      </c>
      <c r="BB9" s="58">
        <f t="shared" ca="1" si="39"/>
        <v>6.7393686154547456</v>
      </c>
      <c r="BC9" s="58">
        <f t="shared" ca="1" si="40"/>
        <v>3.3830459351232776</v>
      </c>
      <c r="BD9" s="58">
        <f t="shared" ca="1" si="41"/>
        <v>2.8867563000920744</v>
      </c>
      <c r="BE9" s="58">
        <f t="shared" ca="1" si="42"/>
        <v>1.0905523800347838</v>
      </c>
      <c r="BF9" s="58">
        <f t="shared" ca="1" si="43"/>
        <v>4.2814481751560152</v>
      </c>
      <c r="BG9" s="58">
        <f t="shared" ca="1" si="44"/>
        <v>8.0522700106578213</v>
      </c>
      <c r="BH9" s="58">
        <f t="shared" ca="1" si="45"/>
        <v>1.8950672250690561</v>
      </c>
      <c r="BI9" s="58">
        <f t="shared" ca="1" si="46"/>
        <v>5.6992392102076792</v>
      </c>
      <c r="BJ9" s="58">
        <f t="shared" ca="1" si="47"/>
        <v>4.6035557352665037</v>
      </c>
      <c r="BK9" s="58">
        <f t="shared" ca="1" si="48"/>
        <v>9.976264410575979</v>
      </c>
      <c r="BL9" s="58">
        <f t="shared" ca="1" si="49"/>
        <v>4.6035557352665037</v>
      </c>
      <c r="BM9" s="58">
        <f t="shared" ca="1" si="50"/>
        <v>3.9353843053186801</v>
      </c>
      <c r="BN9" s="58">
        <f t="shared" ca="1" si="51"/>
        <v>9.2173854157002779</v>
      </c>
      <c r="BO9" s="58">
        <f t="shared" ca="1" si="52"/>
        <v>3.9353843053186801</v>
      </c>
      <c r="BP9" s="58">
        <f t="shared" ca="1" si="53"/>
        <v>3.5093837501278813</v>
      </c>
    </row>
    <row r="10" spans="1:68" x14ac:dyDescent="0.25">
      <c r="B10" s="60">
        <v>41974</v>
      </c>
      <c r="C10" s="43">
        <v>6</v>
      </c>
      <c r="D10" s="44">
        <v>6</v>
      </c>
      <c r="E10" s="45">
        <v>0</v>
      </c>
      <c r="F10" s="45">
        <v>2</v>
      </c>
      <c r="G10" s="45">
        <v>14</v>
      </c>
      <c r="H10" s="45">
        <v>2</v>
      </c>
      <c r="I10" s="45">
        <v>14</v>
      </c>
      <c r="J10" s="45">
        <v>12</v>
      </c>
      <c r="K10" s="45">
        <v>10</v>
      </c>
      <c r="L10" s="45">
        <f t="shared" si="54"/>
        <v>4.125</v>
      </c>
      <c r="M10" s="45">
        <f t="shared" si="55"/>
        <v>0.9</v>
      </c>
      <c r="N10" s="45">
        <f t="shared" si="56"/>
        <v>0.38</v>
      </c>
      <c r="O10" s="45">
        <f t="shared" ca="1" si="0"/>
        <v>11.144591855189161</v>
      </c>
      <c r="P10" s="45">
        <f t="shared" ca="1" si="1"/>
        <v>12.028933688230312</v>
      </c>
      <c r="Q10" s="58">
        <f t="shared" ca="1" si="4"/>
        <v>2.3307680554465611</v>
      </c>
      <c r="R10" s="58">
        <f t="shared" ca="1" si="5"/>
        <v>3.4804576856603786</v>
      </c>
      <c r="S10" s="58">
        <f t="shared" ca="1" si="6"/>
        <v>2.3307680554465611</v>
      </c>
      <c r="T10" s="58">
        <f t="shared" ca="1" si="7"/>
        <v>2.0833680602639468</v>
      </c>
      <c r="U10" s="58">
        <f t="shared" ca="1" si="2"/>
        <v>4.0375350005115251</v>
      </c>
      <c r="V10" s="58">
        <f t="shared" ca="1" si="8"/>
        <v>1.0416840301319734</v>
      </c>
      <c r="W10" s="58">
        <f t="shared" ca="1" si="9"/>
        <v>3.816933330121743</v>
      </c>
      <c r="X10" s="58">
        <f t="shared" ca="1" si="3"/>
        <v>3.7145322004706034</v>
      </c>
      <c r="Y10" s="58">
        <f t="shared" ca="1" si="10"/>
        <v>1.6715394902117713</v>
      </c>
      <c r="Z10" s="58">
        <f t="shared" ca="1" si="11"/>
        <v>2.6782683450854248</v>
      </c>
      <c r="AA10" s="58">
        <f t="shared" ca="1" si="12"/>
        <v>2.3740705803007764</v>
      </c>
      <c r="AB10" s="58">
        <f t="shared" ca="1" si="13"/>
        <v>3.0443013903856899</v>
      </c>
      <c r="AC10" s="58">
        <f t="shared" ca="1" si="14"/>
        <v>2.8585747803621597</v>
      </c>
      <c r="AD10" s="58">
        <f t="shared" ca="1" si="15"/>
        <v>1.9040293457011799</v>
      </c>
      <c r="AE10" s="58">
        <f t="shared" ca="1" si="16"/>
        <v>1.5915955183349688</v>
      </c>
      <c r="AF10" s="58">
        <f t="shared" ca="1" si="17"/>
        <v>1.9582044752480896</v>
      </c>
      <c r="AG10" s="58">
        <f t="shared" ca="1" si="18"/>
        <v>1.0659092401350427</v>
      </c>
      <c r="AH10" s="58">
        <f t="shared" ca="1" si="19"/>
        <v>6.1103008351948915</v>
      </c>
      <c r="AI10" s="58">
        <f t="shared" ca="1" si="20"/>
        <v>5.9408055904470736</v>
      </c>
      <c r="AJ10" s="58">
        <f t="shared" ca="1" si="21"/>
        <v>0.83395182002659929</v>
      </c>
      <c r="AK10" s="58">
        <f t="shared" ca="1" si="22"/>
        <v>1.0901344501381118</v>
      </c>
      <c r="AL10" s="58">
        <f t="shared" ca="1" si="23"/>
        <v>2.398295790303846</v>
      </c>
      <c r="AM10" s="58">
        <f t="shared" ca="1" si="24"/>
        <v>0.54506722506905592</v>
      </c>
      <c r="AN10" s="58">
        <f t="shared" ca="1" si="25"/>
        <v>15.13943304048288</v>
      </c>
      <c r="AO10" s="58">
        <f t="shared" ca="1" si="26"/>
        <v>2.0848795500664985</v>
      </c>
      <c r="AP10" s="58">
        <f t="shared" ca="1" si="27"/>
        <v>4.3529977551498771</v>
      </c>
      <c r="AQ10" s="58">
        <f t="shared" ca="1" si="28"/>
        <v>1.0424397750332492</v>
      </c>
      <c r="AR10" s="58">
        <f t="shared" ca="1" si="29"/>
        <v>0.76309411509667824</v>
      </c>
      <c r="AS10" s="58">
        <f t="shared" ca="1" si="30"/>
        <v>0.76309411509667824</v>
      </c>
      <c r="AT10" s="58">
        <f t="shared" ca="1" si="31"/>
        <v>0.38154705754833912</v>
      </c>
      <c r="AU10" s="58">
        <f t="shared" ca="1" si="32"/>
        <v>16.037535000511525</v>
      </c>
      <c r="AV10" s="58">
        <f t="shared" ca="1" si="33"/>
        <v>4.0574963551294161</v>
      </c>
      <c r="AW10" s="58">
        <f t="shared" ca="1" si="34"/>
        <v>8.4166817852818507</v>
      </c>
      <c r="AX10" s="58">
        <f t="shared" ca="1" si="35"/>
        <v>2.028748177564708</v>
      </c>
      <c r="AY10" s="58">
        <f t="shared" ca="1" si="36"/>
        <v>1.1749226851488537</v>
      </c>
      <c r="AZ10" s="58">
        <f t="shared" ca="1" si="37"/>
        <v>1.4050621801780105</v>
      </c>
      <c r="BA10" s="58">
        <f t="shared" ca="1" si="38"/>
        <v>14.129068335450654</v>
      </c>
      <c r="BB10" s="58">
        <f t="shared" ca="1" si="39"/>
        <v>7.3693686154547455</v>
      </c>
      <c r="BC10" s="58">
        <f t="shared" ca="1" si="40"/>
        <v>3.8650459351232773</v>
      </c>
      <c r="BD10" s="58">
        <f t="shared" ca="1" si="41"/>
        <v>0.72675630009207448</v>
      </c>
      <c r="BE10" s="58">
        <f t="shared" ca="1" si="42"/>
        <v>0.27455238003478372</v>
      </c>
      <c r="BF10" s="58">
        <f t="shared" ca="1" si="43"/>
        <v>4.8914481751560155</v>
      </c>
      <c r="BG10" s="58">
        <f t="shared" ca="1" si="44"/>
        <v>8.6242700106578205</v>
      </c>
      <c r="BH10" s="58">
        <f t="shared" ca="1" si="45"/>
        <v>2.1650672250690559</v>
      </c>
      <c r="BI10" s="58">
        <f t="shared" ca="1" si="46"/>
        <v>6.5112392102076795</v>
      </c>
      <c r="BJ10" s="58">
        <f t="shared" ca="1" si="47"/>
        <v>6.3735557352665042</v>
      </c>
      <c r="BK10" s="58">
        <f t="shared" ca="1" si="48"/>
        <v>16.892264410575976</v>
      </c>
      <c r="BL10" s="58">
        <f t="shared" ca="1" si="49"/>
        <v>6.3735557352665042</v>
      </c>
      <c r="BM10" s="58">
        <f t="shared" ca="1" si="50"/>
        <v>6.81938430531868</v>
      </c>
      <c r="BN10" s="58">
        <f t="shared" ca="1" si="51"/>
        <v>19.955385415700277</v>
      </c>
      <c r="BO10" s="58">
        <f t="shared" ca="1" si="52"/>
        <v>6.81938430531868</v>
      </c>
      <c r="BP10" s="58">
        <f t="shared" ca="1" si="53"/>
        <v>4.0093837501278813</v>
      </c>
    </row>
    <row r="11" spans="1:68" x14ac:dyDescent="0.25">
      <c r="B11" s="60">
        <v>41974</v>
      </c>
      <c r="C11" s="43">
        <v>6</v>
      </c>
      <c r="D11" s="44">
        <v>6</v>
      </c>
      <c r="E11" s="45">
        <v>0</v>
      </c>
      <c r="F11" s="45">
        <v>2</v>
      </c>
      <c r="G11" s="45">
        <v>14</v>
      </c>
      <c r="H11" s="45">
        <v>15</v>
      </c>
      <c r="I11" s="45">
        <v>7</v>
      </c>
      <c r="J11" s="45">
        <v>7</v>
      </c>
      <c r="K11" s="45">
        <v>10</v>
      </c>
      <c r="L11" s="45">
        <f t="shared" si="54"/>
        <v>2.375</v>
      </c>
      <c r="M11" s="45">
        <f t="shared" si="55"/>
        <v>0.65</v>
      </c>
      <c r="N11" s="45">
        <f t="shared" si="56"/>
        <v>0.38</v>
      </c>
      <c r="O11" s="45">
        <f t="shared" ca="1" si="0"/>
        <v>11.144591855189161</v>
      </c>
      <c r="P11" s="45">
        <f t="shared" ca="1" si="1"/>
        <v>12.028933688230312</v>
      </c>
      <c r="Q11" s="58">
        <f t="shared" ca="1" si="4"/>
        <v>2.3307680554465611</v>
      </c>
      <c r="R11" s="58">
        <f t="shared" ca="1" si="5"/>
        <v>3.4804576856603786</v>
      </c>
      <c r="S11" s="58">
        <f t="shared" ca="1" si="6"/>
        <v>2.3307680554465611</v>
      </c>
      <c r="T11" s="58">
        <f t="shared" ca="1" si="7"/>
        <v>2.0833680602639468</v>
      </c>
      <c r="U11" s="58">
        <f t="shared" ca="1" si="2"/>
        <v>4.0375350005115251</v>
      </c>
      <c r="V11" s="58">
        <f t="shared" ca="1" si="8"/>
        <v>1.0416840301319734</v>
      </c>
      <c r="W11" s="58">
        <f t="shared" ca="1" si="9"/>
        <v>3.816933330121743</v>
      </c>
      <c r="X11" s="58">
        <f t="shared" ca="1" si="3"/>
        <v>3.7145322004706034</v>
      </c>
      <c r="Y11" s="58">
        <f t="shared" ca="1" si="10"/>
        <v>1.6715394902117713</v>
      </c>
      <c r="Z11" s="58">
        <f t="shared" ca="1" si="11"/>
        <v>2.6782683450854248</v>
      </c>
      <c r="AA11" s="58">
        <f t="shared" ca="1" si="12"/>
        <v>10.018070580300776</v>
      </c>
      <c r="AB11" s="58">
        <f t="shared" ca="1" si="13"/>
        <v>3.0443013903856899</v>
      </c>
      <c r="AC11" s="58">
        <f t="shared" ca="1" si="14"/>
        <v>2.8585747803621597</v>
      </c>
      <c r="AD11" s="58">
        <f t="shared" ca="1" si="15"/>
        <v>2.0988763203497318</v>
      </c>
      <c r="AE11" s="58">
        <f t="shared" ca="1" si="16"/>
        <v>1.4236190434773814</v>
      </c>
      <c r="AF11" s="58">
        <f t="shared" ca="1" si="17"/>
        <v>1.9582044752480896</v>
      </c>
      <c r="AG11" s="58">
        <f t="shared" ca="1" si="18"/>
        <v>1.0659092401350427</v>
      </c>
      <c r="AH11" s="58">
        <f t="shared" ca="1" si="19"/>
        <v>6.1103008351948915</v>
      </c>
      <c r="AI11" s="58">
        <f t="shared" ca="1" si="20"/>
        <v>13.282805590447072</v>
      </c>
      <c r="AJ11" s="58">
        <f t="shared" ca="1" si="21"/>
        <v>0.4699518200265993</v>
      </c>
      <c r="AK11" s="58">
        <f t="shared" ca="1" si="22"/>
        <v>1.0901344501381118</v>
      </c>
      <c r="AL11" s="58">
        <f t="shared" ca="1" si="23"/>
        <v>2.398295790303846</v>
      </c>
      <c r="AM11" s="58">
        <f t="shared" ca="1" si="24"/>
        <v>0.54506722506905592</v>
      </c>
      <c r="AN11" s="58">
        <f t="shared" ca="1" si="25"/>
        <v>15.13943304048288</v>
      </c>
      <c r="AO11" s="58">
        <f t="shared" ca="1" si="26"/>
        <v>1.1748795500664984</v>
      </c>
      <c r="AP11" s="58">
        <f t="shared" ca="1" si="27"/>
        <v>2.6479977551498766</v>
      </c>
      <c r="AQ11" s="58">
        <f t="shared" ca="1" si="28"/>
        <v>0.58743977503324918</v>
      </c>
      <c r="AR11" s="58">
        <f t="shared" ca="1" si="29"/>
        <v>0.76309411509667824</v>
      </c>
      <c r="AS11" s="58">
        <f t="shared" ca="1" si="30"/>
        <v>0.76309411509667824</v>
      </c>
      <c r="AT11" s="58">
        <f t="shared" ca="1" si="31"/>
        <v>0.38154705754833912</v>
      </c>
      <c r="AU11" s="58">
        <f t="shared" ca="1" si="32"/>
        <v>16.037535000511525</v>
      </c>
      <c r="AV11" s="58">
        <f t="shared" ca="1" si="33"/>
        <v>2.2864963551294157</v>
      </c>
      <c r="AW11" s="58">
        <f t="shared" ca="1" si="34"/>
        <v>4.9796817852818505</v>
      </c>
      <c r="AX11" s="58">
        <f t="shared" ca="1" si="35"/>
        <v>1.1432481775647079</v>
      </c>
      <c r="AY11" s="58">
        <f t="shared" ca="1" si="36"/>
        <v>1.1749226851488537</v>
      </c>
      <c r="AZ11" s="58">
        <f t="shared" ca="1" si="37"/>
        <v>1.4050621801780105</v>
      </c>
      <c r="BA11" s="58">
        <f t="shared" ca="1" si="38"/>
        <v>14.129068335450654</v>
      </c>
      <c r="BB11" s="58">
        <f t="shared" ca="1" si="39"/>
        <v>12.626368615454744</v>
      </c>
      <c r="BC11" s="58">
        <f t="shared" ca="1" si="40"/>
        <v>2.1780459351232775</v>
      </c>
      <c r="BD11" s="58">
        <f t="shared" ca="1" si="41"/>
        <v>0.72675630009207448</v>
      </c>
      <c r="BE11" s="58">
        <f t="shared" ca="1" si="42"/>
        <v>0.27455238003478372</v>
      </c>
      <c r="BF11" s="58">
        <f t="shared" ca="1" si="43"/>
        <v>4.8914481751560155</v>
      </c>
      <c r="BG11" s="58">
        <f t="shared" ca="1" si="44"/>
        <v>19.622270010657822</v>
      </c>
      <c r="BH11" s="58">
        <f t="shared" ca="1" si="45"/>
        <v>1.2200672250690561</v>
      </c>
      <c r="BI11" s="58">
        <f t="shared" ca="1" si="46"/>
        <v>6.5112392102076795</v>
      </c>
      <c r="BJ11" s="58">
        <f t="shared" ca="1" si="47"/>
        <v>5.8605557352665052</v>
      </c>
      <c r="BK11" s="58">
        <f t="shared" ca="1" si="48"/>
        <v>10.176264410575978</v>
      </c>
      <c r="BL11" s="58">
        <f t="shared" ca="1" si="49"/>
        <v>5.8605557352665052</v>
      </c>
      <c r="BM11" s="58">
        <f t="shared" ca="1" si="50"/>
        <v>7.3983843053186806</v>
      </c>
      <c r="BN11" s="58">
        <f t="shared" ca="1" si="51"/>
        <v>12.372385415700277</v>
      </c>
      <c r="BO11" s="58">
        <f t="shared" ca="1" si="52"/>
        <v>7.3983843053186806</v>
      </c>
      <c r="BP11" s="58">
        <f t="shared" ca="1" si="53"/>
        <v>4.0093837501278813</v>
      </c>
    </row>
    <row r="12" spans="1:68" x14ac:dyDescent="0.25">
      <c r="B12" s="60">
        <v>41974</v>
      </c>
      <c r="C12" s="43">
        <v>6</v>
      </c>
      <c r="D12" s="44">
        <v>6</v>
      </c>
      <c r="E12" s="45">
        <v>0</v>
      </c>
      <c r="F12" s="45">
        <v>2</v>
      </c>
      <c r="G12" s="45">
        <v>14</v>
      </c>
      <c r="H12" s="45">
        <v>2</v>
      </c>
      <c r="I12" s="45">
        <v>14</v>
      </c>
      <c r="J12" s="45">
        <v>12</v>
      </c>
      <c r="K12" s="45">
        <v>10</v>
      </c>
      <c r="L12" s="45">
        <f t="shared" si="54"/>
        <v>4.125</v>
      </c>
      <c r="M12" s="45">
        <f t="shared" si="55"/>
        <v>0.9</v>
      </c>
      <c r="N12" s="45">
        <f t="shared" si="56"/>
        <v>0.38</v>
      </c>
      <c r="O12" s="45">
        <f t="shared" ca="1" si="0"/>
        <v>11.144591855189161</v>
      </c>
      <c r="P12" s="45">
        <f t="shared" ca="1" si="1"/>
        <v>12.028933688230312</v>
      </c>
      <c r="Q12" s="58">
        <f t="shared" ca="1" si="4"/>
        <v>2.3307680554465611</v>
      </c>
      <c r="R12" s="58">
        <f t="shared" ca="1" si="5"/>
        <v>3.4804576856603786</v>
      </c>
      <c r="S12" s="58">
        <f t="shared" ca="1" si="6"/>
        <v>2.3307680554465611</v>
      </c>
      <c r="T12" s="58">
        <f t="shared" ca="1" si="7"/>
        <v>2.0833680602639468</v>
      </c>
      <c r="U12" s="58">
        <f t="shared" ca="1" si="2"/>
        <v>4.0375350005115251</v>
      </c>
      <c r="V12" s="58">
        <f t="shared" ca="1" si="8"/>
        <v>1.0416840301319734</v>
      </c>
      <c r="W12" s="58">
        <f t="shared" ca="1" si="9"/>
        <v>3.816933330121743</v>
      </c>
      <c r="X12" s="58">
        <f t="shared" ca="1" si="3"/>
        <v>3.7145322004706034</v>
      </c>
      <c r="Y12" s="58">
        <f t="shared" ca="1" si="10"/>
        <v>1.6715394902117713</v>
      </c>
      <c r="Z12" s="58">
        <f t="shared" ca="1" si="11"/>
        <v>2.6782683450854248</v>
      </c>
      <c r="AA12" s="58">
        <f t="shared" ca="1" si="12"/>
        <v>2.3740705803007764</v>
      </c>
      <c r="AB12" s="58">
        <f t="shared" ca="1" si="13"/>
        <v>3.0443013903856899</v>
      </c>
      <c r="AC12" s="58">
        <f t="shared" ca="1" si="14"/>
        <v>2.8585747803621597</v>
      </c>
      <c r="AD12" s="58">
        <f t="shared" ca="1" si="15"/>
        <v>1.9040293457011799</v>
      </c>
      <c r="AE12" s="58">
        <f t="shared" ca="1" si="16"/>
        <v>1.5915955183349688</v>
      </c>
      <c r="AF12" s="58">
        <f t="shared" ca="1" si="17"/>
        <v>1.9582044752480896</v>
      </c>
      <c r="AG12" s="58">
        <f t="shared" ca="1" si="18"/>
        <v>1.0659092401350427</v>
      </c>
      <c r="AH12" s="58">
        <f t="shared" ca="1" si="19"/>
        <v>6.1103008351948915</v>
      </c>
      <c r="AI12" s="58">
        <f t="shared" ca="1" si="20"/>
        <v>5.9408055904470736</v>
      </c>
      <c r="AJ12" s="58">
        <f t="shared" ca="1" si="21"/>
        <v>0.83395182002659929</v>
      </c>
      <c r="AK12" s="58">
        <f t="shared" ca="1" si="22"/>
        <v>1.0901344501381118</v>
      </c>
      <c r="AL12" s="58">
        <f t="shared" ca="1" si="23"/>
        <v>2.398295790303846</v>
      </c>
      <c r="AM12" s="58">
        <f t="shared" ca="1" si="24"/>
        <v>0.54506722506905592</v>
      </c>
      <c r="AN12" s="58">
        <f t="shared" ca="1" si="25"/>
        <v>15.13943304048288</v>
      </c>
      <c r="AO12" s="58">
        <f t="shared" ca="1" si="26"/>
        <v>2.0848795500664985</v>
      </c>
      <c r="AP12" s="58">
        <f t="shared" ca="1" si="27"/>
        <v>4.3529977551498771</v>
      </c>
      <c r="AQ12" s="58">
        <f t="shared" ca="1" si="28"/>
        <v>1.0424397750332492</v>
      </c>
      <c r="AR12" s="58">
        <f t="shared" ca="1" si="29"/>
        <v>0.76309411509667824</v>
      </c>
      <c r="AS12" s="58">
        <f t="shared" ca="1" si="30"/>
        <v>0.76309411509667824</v>
      </c>
      <c r="AT12" s="58">
        <f t="shared" ca="1" si="31"/>
        <v>0.38154705754833912</v>
      </c>
      <c r="AU12" s="58">
        <f t="shared" ca="1" si="32"/>
        <v>16.037535000511525</v>
      </c>
      <c r="AV12" s="58">
        <f t="shared" ca="1" si="33"/>
        <v>4.0574963551294161</v>
      </c>
      <c r="AW12" s="58">
        <f t="shared" ca="1" si="34"/>
        <v>8.4166817852818507</v>
      </c>
      <c r="AX12" s="58">
        <f t="shared" ca="1" si="35"/>
        <v>2.028748177564708</v>
      </c>
      <c r="AY12" s="58">
        <f t="shared" ca="1" si="36"/>
        <v>1.1749226851488537</v>
      </c>
      <c r="AZ12" s="58">
        <f t="shared" ca="1" si="37"/>
        <v>1.4050621801780105</v>
      </c>
      <c r="BA12" s="58">
        <f t="shared" ca="1" si="38"/>
        <v>14.129068335450654</v>
      </c>
      <c r="BB12" s="58">
        <f t="shared" ca="1" si="39"/>
        <v>7.3693686154547455</v>
      </c>
      <c r="BC12" s="58">
        <f t="shared" ca="1" si="40"/>
        <v>3.8650459351232773</v>
      </c>
      <c r="BD12" s="58">
        <f t="shared" ca="1" si="41"/>
        <v>0.72675630009207448</v>
      </c>
      <c r="BE12" s="58">
        <f t="shared" ca="1" si="42"/>
        <v>0.27455238003478372</v>
      </c>
      <c r="BF12" s="58">
        <f t="shared" ca="1" si="43"/>
        <v>4.8914481751560155</v>
      </c>
      <c r="BG12" s="58">
        <f t="shared" ca="1" si="44"/>
        <v>8.6242700106578205</v>
      </c>
      <c r="BH12" s="58">
        <f t="shared" ca="1" si="45"/>
        <v>2.1650672250690559</v>
      </c>
      <c r="BI12" s="58">
        <f t="shared" ca="1" si="46"/>
        <v>6.5112392102076795</v>
      </c>
      <c r="BJ12" s="58">
        <f t="shared" ca="1" si="47"/>
        <v>6.3735557352665042</v>
      </c>
      <c r="BK12" s="58">
        <f t="shared" ca="1" si="48"/>
        <v>16.892264410575976</v>
      </c>
      <c r="BL12" s="58">
        <f t="shared" ca="1" si="49"/>
        <v>6.3735557352665042</v>
      </c>
      <c r="BM12" s="58">
        <f t="shared" ca="1" si="50"/>
        <v>6.81938430531868</v>
      </c>
      <c r="BN12" s="58">
        <f t="shared" ca="1" si="51"/>
        <v>19.955385415700277</v>
      </c>
      <c r="BO12" s="58">
        <f t="shared" ca="1" si="52"/>
        <v>6.81938430531868</v>
      </c>
      <c r="BP12" s="58">
        <f t="shared" ca="1" si="53"/>
        <v>4.0093837501278813</v>
      </c>
    </row>
    <row r="13" spans="1:68" x14ac:dyDescent="0.25">
      <c r="B13" s="60">
        <v>41974</v>
      </c>
      <c r="C13" s="43">
        <v>6</v>
      </c>
      <c r="D13" s="44">
        <v>6</v>
      </c>
      <c r="E13" s="45">
        <v>0</v>
      </c>
      <c r="F13" s="45">
        <v>2</v>
      </c>
      <c r="G13" s="45">
        <v>14</v>
      </c>
      <c r="H13" s="45">
        <v>2</v>
      </c>
      <c r="I13" s="45">
        <v>14</v>
      </c>
      <c r="J13" s="45">
        <v>12</v>
      </c>
      <c r="K13" s="45">
        <v>10</v>
      </c>
      <c r="L13" s="45">
        <f t="shared" si="54"/>
        <v>4.125</v>
      </c>
      <c r="M13" s="45">
        <f t="shared" si="55"/>
        <v>0.9</v>
      </c>
      <c r="N13" s="45">
        <f t="shared" si="56"/>
        <v>0.38</v>
      </c>
      <c r="O13" s="45">
        <f t="shared" ca="1" si="0"/>
        <v>11.144591855189161</v>
      </c>
      <c r="P13" s="45">
        <f t="shared" ca="1" si="1"/>
        <v>12.028933688230312</v>
      </c>
      <c r="Q13" s="58">
        <f t="shared" ca="1" si="4"/>
        <v>2.3307680554465611</v>
      </c>
      <c r="R13" s="58">
        <f t="shared" ca="1" si="5"/>
        <v>3.4804576856603786</v>
      </c>
      <c r="S13" s="58">
        <f t="shared" ca="1" si="6"/>
        <v>2.3307680554465611</v>
      </c>
      <c r="T13" s="58">
        <f t="shared" ca="1" si="7"/>
        <v>2.0833680602639468</v>
      </c>
      <c r="U13" s="58">
        <f t="shared" ca="1" si="2"/>
        <v>4.0375350005115251</v>
      </c>
      <c r="V13" s="58">
        <f t="shared" ca="1" si="8"/>
        <v>1.0416840301319734</v>
      </c>
      <c r="W13" s="58">
        <f t="shared" ca="1" si="9"/>
        <v>3.816933330121743</v>
      </c>
      <c r="X13" s="58">
        <f t="shared" ca="1" si="3"/>
        <v>3.7145322004706034</v>
      </c>
      <c r="Y13" s="58">
        <f t="shared" ca="1" si="10"/>
        <v>1.6715394902117713</v>
      </c>
      <c r="Z13" s="58">
        <f t="shared" ca="1" si="11"/>
        <v>2.6782683450854248</v>
      </c>
      <c r="AA13" s="58">
        <f t="shared" ca="1" si="12"/>
        <v>2.3740705803007764</v>
      </c>
      <c r="AB13" s="58">
        <f t="shared" ca="1" si="13"/>
        <v>3.0443013903856899</v>
      </c>
      <c r="AC13" s="58">
        <f t="shared" ca="1" si="14"/>
        <v>2.8585747803621597</v>
      </c>
      <c r="AD13" s="58">
        <f t="shared" ca="1" si="15"/>
        <v>1.9040293457011799</v>
      </c>
      <c r="AE13" s="58">
        <f t="shared" ca="1" si="16"/>
        <v>1.5915955183349688</v>
      </c>
      <c r="AF13" s="58">
        <f t="shared" ca="1" si="17"/>
        <v>1.9582044752480896</v>
      </c>
      <c r="AG13" s="58">
        <f t="shared" ca="1" si="18"/>
        <v>1.0659092401350427</v>
      </c>
      <c r="AH13" s="58">
        <f t="shared" ca="1" si="19"/>
        <v>6.1103008351948915</v>
      </c>
      <c r="AI13" s="58">
        <f t="shared" ca="1" si="20"/>
        <v>5.9408055904470736</v>
      </c>
      <c r="AJ13" s="58">
        <f t="shared" ca="1" si="21"/>
        <v>0.83395182002659929</v>
      </c>
      <c r="AK13" s="58">
        <f t="shared" ca="1" si="22"/>
        <v>1.0901344501381118</v>
      </c>
      <c r="AL13" s="58">
        <f t="shared" ca="1" si="23"/>
        <v>2.398295790303846</v>
      </c>
      <c r="AM13" s="58">
        <f t="shared" ca="1" si="24"/>
        <v>0.54506722506905592</v>
      </c>
      <c r="AN13" s="58">
        <f t="shared" ca="1" si="25"/>
        <v>15.13943304048288</v>
      </c>
      <c r="AO13" s="58">
        <f t="shared" ca="1" si="26"/>
        <v>2.0848795500664985</v>
      </c>
      <c r="AP13" s="58">
        <f t="shared" ca="1" si="27"/>
        <v>4.3529977551498771</v>
      </c>
      <c r="AQ13" s="58">
        <f t="shared" ca="1" si="28"/>
        <v>1.0424397750332492</v>
      </c>
      <c r="AR13" s="58">
        <f t="shared" ca="1" si="29"/>
        <v>0.76309411509667824</v>
      </c>
      <c r="AS13" s="58">
        <f t="shared" ca="1" si="30"/>
        <v>0.76309411509667824</v>
      </c>
      <c r="AT13" s="58">
        <f t="shared" ca="1" si="31"/>
        <v>0.38154705754833912</v>
      </c>
      <c r="AU13" s="58">
        <f t="shared" ca="1" si="32"/>
        <v>16.037535000511525</v>
      </c>
      <c r="AV13" s="58">
        <f t="shared" ca="1" si="33"/>
        <v>4.0574963551294161</v>
      </c>
      <c r="AW13" s="58">
        <f t="shared" ca="1" si="34"/>
        <v>8.4166817852818507</v>
      </c>
      <c r="AX13" s="58">
        <f t="shared" ca="1" si="35"/>
        <v>2.028748177564708</v>
      </c>
      <c r="AY13" s="58">
        <f t="shared" ca="1" si="36"/>
        <v>1.1749226851488537</v>
      </c>
      <c r="AZ13" s="58">
        <f t="shared" ca="1" si="37"/>
        <v>1.4050621801780105</v>
      </c>
      <c r="BA13" s="58">
        <f t="shared" ca="1" si="38"/>
        <v>14.129068335450654</v>
      </c>
      <c r="BB13" s="58">
        <f t="shared" ca="1" si="39"/>
        <v>7.3693686154547455</v>
      </c>
      <c r="BC13" s="58">
        <f t="shared" ca="1" si="40"/>
        <v>3.8650459351232773</v>
      </c>
      <c r="BD13" s="58">
        <f t="shared" ca="1" si="41"/>
        <v>0.72675630009207448</v>
      </c>
      <c r="BE13" s="58">
        <f t="shared" ca="1" si="42"/>
        <v>0.27455238003478372</v>
      </c>
      <c r="BF13" s="58">
        <f t="shared" ca="1" si="43"/>
        <v>4.8914481751560155</v>
      </c>
      <c r="BG13" s="58">
        <f t="shared" ca="1" si="44"/>
        <v>8.6242700106578205</v>
      </c>
      <c r="BH13" s="58">
        <f t="shared" ca="1" si="45"/>
        <v>2.1650672250690559</v>
      </c>
      <c r="BI13" s="58">
        <f t="shared" ca="1" si="46"/>
        <v>6.5112392102076795</v>
      </c>
      <c r="BJ13" s="58">
        <f t="shared" ca="1" si="47"/>
        <v>6.3735557352665042</v>
      </c>
      <c r="BK13" s="58">
        <f t="shared" ca="1" si="48"/>
        <v>16.892264410575976</v>
      </c>
      <c r="BL13" s="58">
        <f t="shared" ca="1" si="49"/>
        <v>6.3735557352665042</v>
      </c>
      <c r="BM13" s="58">
        <f t="shared" ca="1" si="50"/>
        <v>6.81938430531868</v>
      </c>
      <c r="BN13" s="58">
        <f t="shared" ca="1" si="51"/>
        <v>19.955385415700277</v>
      </c>
      <c r="BO13" s="58">
        <f t="shared" ca="1" si="52"/>
        <v>6.81938430531868</v>
      </c>
      <c r="BP13" s="58">
        <f t="shared" ca="1" si="53"/>
        <v>4.0093837501278813</v>
      </c>
    </row>
    <row r="15" spans="1:68" x14ac:dyDescent="0.25">
      <c r="A15" s="61" t="s">
        <v>130</v>
      </c>
      <c r="B15" s="46" t="s">
        <v>89</v>
      </c>
      <c r="C15" s="47" t="s">
        <v>90</v>
      </c>
      <c r="D15" s="47" t="s">
        <v>91</v>
      </c>
      <c r="E15" s="47" t="s">
        <v>90</v>
      </c>
      <c r="F15" s="47" t="s">
        <v>92</v>
      </c>
      <c r="G15" s="47" t="s">
        <v>93</v>
      </c>
      <c r="H15" s="47" t="s">
        <v>94</v>
      </c>
      <c r="I15" s="47" t="s">
        <v>95</v>
      </c>
      <c r="J15" s="47" t="s">
        <v>96</v>
      </c>
      <c r="K15" s="47" t="s">
        <v>97</v>
      </c>
      <c r="L15" s="47" t="s">
        <v>98</v>
      </c>
    </row>
    <row r="16" spans="1:68" x14ac:dyDescent="0.25">
      <c r="A16" s="48" t="s">
        <v>82</v>
      </c>
      <c r="B16" s="54">
        <v>1</v>
      </c>
      <c r="C16" s="49">
        <f ca="1">Q3</f>
        <v>13.769768055446562</v>
      </c>
      <c r="D16" s="49">
        <f ca="1">R3</f>
        <v>20.295457685660377</v>
      </c>
      <c r="E16" s="49">
        <f ca="1">S3</f>
        <v>13.769768055446562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63">
        <f>M3</f>
        <v>0.52</v>
      </c>
      <c r="L16" s="63">
        <f>N3</f>
        <v>0.8600000000000001</v>
      </c>
    </row>
    <row r="17" spans="1:20" x14ac:dyDescent="0.25">
      <c r="A17" s="48" t="s">
        <v>99</v>
      </c>
      <c r="B17" s="54">
        <v>1</v>
      </c>
      <c r="C17" s="49">
        <f ca="1">X4</f>
        <v>14.754532200470603</v>
      </c>
      <c r="D17" s="49">
        <f ca="1">Y4</f>
        <v>6.6395394902117708</v>
      </c>
      <c r="E17" s="49">
        <v>0</v>
      </c>
      <c r="F17" s="49">
        <f ca="1">Z4</f>
        <v>0.67426834508542477</v>
      </c>
      <c r="G17" s="49">
        <f ca="1">AA4</f>
        <v>8.2540705803007768</v>
      </c>
      <c r="H17" s="49">
        <v>0</v>
      </c>
      <c r="I17" s="49">
        <v>0</v>
      </c>
      <c r="J17" s="49">
        <f>L4</f>
        <v>5.125</v>
      </c>
      <c r="K17" s="49">
        <f t="shared" ref="K17:L24" si="57">M4</f>
        <v>0.4</v>
      </c>
      <c r="L17" s="49">
        <f t="shared" si="57"/>
        <v>0.8600000000000001</v>
      </c>
    </row>
    <row r="18" spans="1:20" x14ac:dyDescent="0.25">
      <c r="A18" s="48" t="s">
        <v>100</v>
      </c>
      <c r="B18" s="54">
        <f>1-0.036</f>
        <v>0.96399999999999997</v>
      </c>
      <c r="C18" s="49">
        <f ca="1">T5*B18</f>
        <v>7.9774548100944447</v>
      </c>
      <c r="D18" s="49">
        <f ca="1">U5*B18</f>
        <v>15.460183740493109</v>
      </c>
      <c r="E18" s="49">
        <f ca="1">C18/2</f>
        <v>3.9887274050472223</v>
      </c>
      <c r="F18" s="49">
        <f ca="1">W5*B18</f>
        <v>3.2206597302373603</v>
      </c>
      <c r="G18" s="49">
        <v>0</v>
      </c>
      <c r="H18" s="49">
        <v>0</v>
      </c>
      <c r="I18" s="49">
        <v>0</v>
      </c>
      <c r="J18" s="49">
        <f>L5*B18</f>
        <v>4.9405000000000001</v>
      </c>
      <c r="K18" s="49">
        <f>M5*B18</f>
        <v>0.3856</v>
      </c>
      <c r="L18" s="49">
        <f>N5*B18</f>
        <v>0.82904000000000011</v>
      </c>
    </row>
    <row r="19" spans="1:20" x14ac:dyDescent="0.25">
      <c r="A19" s="48" t="s">
        <v>99</v>
      </c>
      <c r="B19" s="54">
        <v>1</v>
      </c>
      <c r="C19" s="49">
        <v>0</v>
      </c>
      <c r="D19" s="49">
        <f ca="1">Y6</f>
        <v>6.6395394902117708</v>
      </c>
      <c r="E19" s="49">
        <f ca="1">X6</f>
        <v>14.754532200470603</v>
      </c>
      <c r="F19" s="49">
        <f ca="1">Z6</f>
        <v>0.67426834508542477</v>
      </c>
      <c r="G19" s="49">
        <v>0</v>
      </c>
      <c r="H19" s="49">
        <f>0</f>
        <v>0</v>
      </c>
      <c r="I19" s="49">
        <f ca="1">AA6</f>
        <v>8.2540705803007768</v>
      </c>
      <c r="J19" s="49">
        <f>L6</f>
        <v>5.125</v>
      </c>
      <c r="K19" s="49">
        <f t="shared" si="57"/>
        <v>0.4</v>
      </c>
      <c r="L19" s="49">
        <f t="shared" si="57"/>
        <v>0.8600000000000001</v>
      </c>
    </row>
    <row r="20" spans="1:20" x14ac:dyDescent="0.25">
      <c r="A20" s="48" t="s">
        <v>101</v>
      </c>
      <c r="B20" s="54">
        <v>1</v>
      </c>
      <c r="C20" s="49">
        <f ca="1">BD7</f>
        <v>0.72675630009207448</v>
      </c>
      <c r="D20" s="49">
        <f ca="1">BE7</f>
        <v>0.27455238003478372</v>
      </c>
      <c r="E20" s="49">
        <v>0</v>
      </c>
      <c r="F20" s="49">
        <f ca="1">BF7</f>
        <v>4.8914481751560155</v>
      </c>
      <c r="G20" s="49">
        <f t="shared" ref="G20:H20" ca="1" si="58">BG7</f>
        <v>19.622270010657822</v>
      </c>
      <c r="H20" s="49">
        <f t="shared" ca="1" si="58"/>
        <v>1.2200672250690561</v>
      </c>
      <c r="I20" s="49">
        <v>0</v>
      </c>
      <c r="J20" s="49">
        <v>0</v>
      </c>
      <c r="K20" s="49">
        <f t="shared" si="57"/>
        <v>0.65</v>
      </c>
      <c r="L20" s="49">
        <f t="shared" si="57"/>
        <v>0.38</v>
      </c>
    </row>
    <row r="21" spans="1:20" x14ac:dyDescent="0.25">
      <c r="A21" s="48" t="s">
        <v>131</v>
      </c>
      <c r="B21" s="54">
        <f>1-0.065</f>
        <v>0.93500000000000005</v>
      </c>
      <c r="C21" s="49">
        <f ca="1">AR8*B21</f>
        <v>2.4806429976153943</v>
      </c>
      <c r="D21" s="49">
        <f ca="1">AS8*B21</f>
        <v>2.4806429976153943</v>
      </c>
      <c r="E21" s="49">
        <v>0</v>
      </c>
      <c r="F21" s="49">
        <f ca="1">AU8*B21</f>
        <v>14.995095225478277</v>
      </c>
      <c r="G21" s="49">
        <f ca="1">AV8*B21</f>
        <v>3.3206490920460041</v>
      </c>
      <c r="H21" s="49">
        <f ca="1">AW8*B21</f>
        <v>5.2684274692385307</v>
      </c>
      <c r="I21" s="49">
        <f ca="1">G21/2</f>
        <v>1.6603245460230021</v>
      </c>
      <c r="J21" s="49">
        <v>0</v>
      </c>
      <c r="K21" s="49">
        <f>M8*B21</f>
        <v>0.37400000000000005</v>
      </c>
      <c r="L21" s="49">
        <f>N8*B21</f>
        <v>0.72930000000000006</v>
      </c>
      <c r="T21" s="62"/>
    </row>
    <row r="22" spans="1:20" x14ac:dyDescent="0.25">
      <c r="A22" s="48" t="s">
        <v>100</v>
      </c>
      <c r="B22" s="54">
        <f>1-0.036</f>
        <v>0.96399999999999997</v>
      </c>
      <c r="C22" s="49">
        <f ca="1">E22/2</f>
        <v>3.9887274050472223</v>
      </c>
      <c r="D22" s="49">
        <f ca="1">U9*B22</f>
        <v>15.460183740493109</v>
      </c>
      <c r="E22" s="49">
        <f ca="1">T9*B22</f>
        <v>7.9774548100944447</v>
      </c>
      <c r="F22" s="49">
        <f ca="1">W9*B22</f>
        <v>3.2206597302373603</v>
      </c>
      <c r="G22" s="49">
        <v>0</v>
      </c>
      <c r="H22" s="49">
        <v>0</v>
      </c>
      <c r="I22" s="49">
        <v>0</v>
      </c>
      <c r="J22" s="49">
        <f>L9*B22</f>
        <v>4.9405000000000001</v>
      </c>
      <c r="K22" s="49">
        <f>M9*B22</f>
        <v>0.3856</v>
      </c>
      <c r="L22" s="49">
        <f>N9*B22</f>
        <v>0.82904000000000011</v>
      </c>
    </row>
    <row r="23" spans="1:20" x14ac:dyDescent="0.25">
      <c r="A23" s="48" t="s">
        <v>131</v>
      </c>
      <c r="B23" s="54">
        <f>1-0.065</f>
        <v>0.93500000000000005</v>
      </c>
      <c r="C23" s="49">
        <v>0</v>
      </c>
      <c r="D23" s="49">
        <f ca="1">AS10*B23</f>
        <v>0.7134929976153942</v>
      </c>
      <c r="E23" s="49">
        <f ca="1">AR10*B23</f>
        <v>0.7134929976153942</v>
      </c>
      <c r="F23" s="49">
        <f ca="1">AU10*B23</f>
        <v>14.995095225478277</v>
      </c>
      <c r="G23" s="49">
        <f ca="1">I23/2</f>
        <v>1.8968795460230021</v>
      </c>
      <c r="H23" s="49">
        <f ca="1">AW10*B23</f>
        <v>7.8695974692385313</v>
      </c>
      <c r="I23" s="49">
        <f ca="1">AV10*B23</f>
        <v>3.7937590920460043</v>
      </c>
      <c r="J23" s="49">
        <v>0</v>
      </c>
      <c r="K23" s="49">
        <f>M10*B23</f>
        <v>0.84150000000000003</v>
      </c>
      <c r="L23" s="49">
        <f>N10*B23</f>
        <v>0.3553</v>
      </c>
    </row>
    <row r="24" spans="1:20" x14ac:dyDescent="0.25">
      <c r="A24" s="48" t="s">
        <v>101</v>
      </c>
      <c r="B24" s="54">
        <v>1</v>
      </c>
      <c r="C24" s="49">
        <v>0</v>
      </c>
      <c r="D24" s="49">
        <f ca="1">BE11</f>
        <v>0.27455238003478372</v>
      </c>
      <c r="E24" s="49">
        <f ca="1">AY11</f>
        <v>1.1749226851488537</v>
      </c>
      <c r="F24" s="49">
        <f ca="1">BF11</f>
        <v>4.8914481751560155</v>
      </c>
      <c r="G24" s="49">
        <v>0</v>
      </c>
      <c r="H24" s="49">
        <f ca="1">BH11</f>
        <v>1.2200672250690561</v>
      </c>
      <c r="I24" s="49">
        <f ca="1">BG11</f>
        <v>19.622270010657822</v>
      </c>
      <c r="J24" s="49">
        <v>0</v>
      </c>
      <c r="K24" s="49">
        <f t="shared" si="57"/>
        <v>0.65</v>
      </c>
      <c r="L24" s="49">
        <f t="shared" si="57"/>
        <v>0.38</v>
      </c>
    </row>
    <row r="25" spans="1:20" x14ac:dyDescent="0.25">
      <c r="A25" s="48" t="s">
        <v>118</v>
      </c>
      <c r="B25" s="54">
        <f>1-0.055</f>
        <v>0.94499999999999995</v>
      </c>
      <c r="C25" s="49">
        <v>0</v>
      </c>
      <c r="D25" s="49">
        <v>0</v>
      </c>
      <c r="E25" s="49">
        <v>0</v>
      </c>
      <c r="F25" s="49">
        <f ca="1">BP12*B25</f>
        <v>3.7888676438708475</v>
      </c>
      <c r="G25" s="49">
        <f ca="1">BM12*B25</f>
        <v>6.4443181685261521</v>
      </c>
      <c r="H25" s="49">
        <f ca="1">BN12*B25</f>
        <v>18.857839217836762</v>
      </c>
      <c r="I25" s="49">
        <f ca="1">BO12*B25</f>
        <v>6.4443181685261521</v>
      </c>
      <c r="J25" s="49">
        <v>0</v>
      </c>
      <c r="K25" s="49">
        <f>M12*B25</f>
        <v>0.85049999999999992</v>
      </c>
      <c r="L25" s="49">
        <f>N12*B25</f>
        <v>0.35909999999999997</v>
      </c>
    </row>
    <row r="26" spans="1:20" x14ac:dyDescent="0.25">
      <c r="A26" s="48" t="s">
        <v>118</v>
      </c>
      <c r="B26" s="54">
        <f>1-0.055</f>
        <v>0.94499999999999995</v>
      </c>
      <c r="C26" s="49">
        <v>0</v>
      </c>
      <c r="D26" s="49">
        <v>0</v>
      </c>
      <c r="E26" s="49">
        <v>0</v>
      </c>
      <c r="F26" s="49">
        <f ca="1">BP13*B26</f>
        <v>3.7888676438708475</v>
      </c>
      <c r="G26" s="49">
        <f ca="1">BM13*B26</f>
        <v>6.4443181685261521</v>
      </c>
      <c r="H26" s="49">
        <f ca="1">BN13*B26</f>
        <v>18.857839217836762</v>
      </c>
      <c r="I26" s="49">
        <f ca="1">BO13*B26</f>
        <v>6.4443181685261521</v>
      </c>
      <c r="J26" s="49">
        <v>1</v>
      </c>
      <c r="K26" s="49">
        <f>M13*B26</f>
        <v>0.85049999999999992</v>
      </c>
      <c r="L26" s="49">
        <f>N13*B26</f>
        <v>0.35909999999999997</v>
      </c>
    </row>
    <row r="27" spans="1:20" x14ac:dyDescent="0.25">
      <c r="A27" s="50"/>
      <c r="B27" s="46"/>
      <c r="C27" s="51">
        <f ca="1">SUM(C16:C26)</f>
        <v>43.697881768766301</v>
      </c>
      <c r="D27" s="51">
        <f t="shared" ref="D27:L27" ca="1" si="59">SUM(D16:D26)</f>
        <v>68.238144902370479</v>
      </c>
      <c r="E27" s="51">
        <f t="shared" ca="1" si="59"/>
        <v>42.378898153823073</v>
      </c>
      <c r="F27" s="51">
        <f t="shared" ca="1" si="59"/>
        <v>55.140678239655841</v>
      </c>
      <c r="G27" s="51">
        <f t="shared" ca="1" si="59"/>
        <v>45.982505566079908</v>
      </c>
      <c r="H27" s="51">
        <f t="shared" ca="1" si="59"/>
        <v>53.293837824288694</v>
      </c>
      <c r="I27" s="51">
        <f t="shared" ca="1" si="59"/>
        <v>46.219060566079911</v>
      </c>
      <c r="J27" s="52">
        <f t="shared" si="59"/>
        <v>21.131</v>
      </c>
      <c r="K27" s="52">
        <f t="shared" si="59"/>
        <v>6.3077000000000005</v>
      </c>
      <c r="L27" s="52">
        <f t="shared" si="59"/>
        <v>6.8008799999999994</v>
      </c>
    </row>
    <row r="28" spans="1:20" ht="15.75" x14ac:dyDescent="0.25">
      <c r="A28" s="50"/>
      <c r="B28" s="50" t="s">
        <v>105</v>
      </c>
      <c r="C28" s="53">
        <f ca="1">C27*0.34</f>
        <v>14.857279801380544</v>
      </c>
      <c r="D28" s="53">
        <f ca="1">D27*0.245</f>
        <v>16.718345501080766</v>
      </c>
      <c r="E28" s="53">
        <f ca="1">E27*0.34</f>
        <v>14.408825372299846</v>
      </c>
      <c r="F28" s="53">
        <f ca="1">F27*0.125</f>
        <v>6.8925847799569802</v>
      </c>
      <c r="G28" s="53">
        <f ca="1">G27*0.25</f>
        <v>11.495626391519977</v>
      </c>
      <c r="H28" s="53">
        <f ca="1">H27*0.19</f>
        <v>10.125829186614853</v>
      </c>
      <c r="I28" s="53">
        <f ca="1">I27*0.25</f>
        <v>11.554765141519978</v>
      </c>
    </row>
    <row r="29" spans="1:20" ht="15.75" x14ac:dyDescent="0.25">
      <c r="A29" s="50"/>
      <c r="B29" s="50" t="s">
        <v>106</v>
      </c>
      <c r="C29" s="53">
        <f ca="1">C28*1.2/1.05</f>
        <v>16.979748344434906</v>
      </c>
      <c r="D29" s="53">
        <f t="shared" ref="D29:E29" ca="1" si="60">D28*1.2/1.05</f>
        <v>19.106680572663731</v>
      </c>
      <c r="E29" s="53">
        <f t="shared" ca="1" si="60"/>
        <v>16.467228996914109</v>
      </c>
      <c r="F29" s="53">
        <f ca="1">F28</f>
        <v>6.8925847799569802</v>
      </c>
      <c r="G29" s="53">
        <f ca="1">G28*0.925/1.05</f>
        <v>10.127099440148552</v>
      </c>
      <c r="H29" s="53">
        <f t="shared" ref="H29:I29" ca="1" si="61">H28*0.925/1.05</f>
        <v>8.9203733310654663</v>
      </c>
      <c r="I29" s="53">
        <f t="shared" ca="1" si="61"/>
        <v>10.1791978627676</v>
      </c>
    </row>
    <row r="30" spans="1:20" ht="15.75" x14ac:dyDescent="0.25">
      <c r="A30" s="50"/>
      <c r="B30" s="50" t="s">
        <v>107</v>
      </c>
      <c r="C30" s="53">
        <f ca="1">C28*0.925/1.05</f>
        <v>13.088556015501908</v>
      </c>
      <c r="D30" s="53">
        <f t="shared" ref="D30:E30" ca="1" si="62">D28*0.925/1.05</f>
        <v>14.728066274761627</v>
      </c>
      <c r="E30" s="53">
        <f t="shared" ca="1" si="62"/>
        <v>12.693489018454626</v>
      </c>
      <c r="F30" s="53">
        <f ca="1">F29</f>
        <v>6.8925847799569802</v>
      </c>
      <c r="G30" s="53">
        <f ca="1">G28*1.135/1.05</f>
        <v>12.426224718452547</v>
      </c>
      <c r="H30" s="53">
        <f t="shared" ref="H30:I30" ca="1" si="63">H28*1.135/1.05</f>
        <v>10.945539168388436</v>
      </c>
      <c r="I30" s="53">
        <f t="shared" ca="1" si="63"/>
        <v>12.490150891071595</v>
      </c>
    </row>
  </sheetData>
  <conditionalFormatting sqref="O3:P13">
    <cfRule type="cellIs" dxfId="86" priority="15" operator="greaterThan">
      <formula>15</formula>
    </cfRule>
  </conditionalFormatting>
  <conditionalFormatting sqref="L3:L13">
    <cfRule type="cellIs" dxfId="85" priority="14" operator="greaterThan">
      <formula>3.2</formula>
    </cfRule>
  </conditionalFormatting>
  <conditionalFormatting sqref="M3:N13">
    <cfRule type="cellIs" dxfId="84" priority="13" operator="greaterThan">
      <formula>0.6</formula>
    </cfRule>
  </conditionalFormatting>
  <conditionalFormatting sqref="Q3:V13 X3:Y13 AF3:AG13 AK3:AM13 AY3:AY13 BD3:BE13">
    <cfRule type="cellIs" dxfId="83" priority="12" operator="greaterThan">
      <formula>12.5</formula>
    </cfRule>
  </conditionalFormatting>
  <conditionalFormatting sqref="W3:W13 AH3:AH13 AN3:AN13 BA3:BA13 BF3:BF13 BI3:BI13">
    <cfRule type="cellIs" dxfId="82" priority="11" operator="greaterThan">
      <formula>12.5</formula>
    </cfRule>
  </conditionalFormatting>
  <conditionalFormatting sqref="AA3:AA13 AI3:AJ13 AO3:AQ13 BB3:BC13 BG3:BH13 BJ3:BO13">
    <cfRule type="cellIs" dxfId="81" priority="10" operator="greaterThan">
      <formula>12.5</formula>
    </cfRule>
  </conditionalFormatting>
  <conditionalFormatting sqref="D3:D13">
    <cfRule type="cellIs" dxfId="80" priority="9" operator="greaterThan">
      <formula>7</formula>
    </cfRule>
  </conditionalFormatting>
  <conditionalFormatting sqref="E12:E13 E3:K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AB3:AC13">
    <cfRule type="cellIs" dxfId="79" priority="8" operator="greaterThan">
      <formula>12.5</formula>
    </cfRule>
  </conditionalFormatting>
  <conditionalFormatting sqref="AE3:AE13">
    <cfRule type="cellIs" dxfId="78" priority="7" operator="greaterThan">
      <formula>12.5</formula>
    </cfRule>
  </conditionalFormatting>
  <conditionalFormatting sqref="BP3:BP13">
    <cfRule type="cellIs" dxfId="77" priority="6" operator="greaterThan">
      <formula>12.5</formula>
    </cfRule>
  </conditionalFormatting>
  <conditionalFormatting sqref="F12:K12">
    <cfRule type="colorScale" priority="5">
      <colorScale>
        <cfvo type="min"/>
        <cfvo type="max"/>
        <color rgb="FFFCFCFF"/>
        <color rgb="FFF8696B"/>
      </colorScale>
    </cfRule>
  </conditionalFormatting>
  <conditionalFormatting sqref="F13:K13">
    <cfRule type="colorScale" priority="4">
      <colorScale>
        <cfvo type="min"/>
        <cfvo type="max"/>
        <color rgb="FFFCFCFF"/>
        <color rgb="FFF8696B"/>
      </colorScale>
    </cfRule>
  </conditionalFormatting>
  <conditionalFormatting sqref="AR3:AT13">
    <cfRule type="cellIs" dxfId="76" priority="3" operator="greaterThan">
      <formula>12.5</formula>
    </cfRule>
  </conditionalFormatting>
  <conditionalFormatting sqref="AU3:AU13">
    <cfRule type="cellIs" dxfId="75" priority="2" operator="greaterThan">
      <formula>12.5</formula>
    </cfRule>
  </conditionalFormatting>
  <conditionalFormatting sqref="AV3:AX13">
    <cfRule type="cellIs" dxfId="74" priority="1" operator="greaterThan">
      <formula>12.5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Apo_ManualNOEscrito&lt;T60</vt:lpstr>
      <vt:lpstr>Aportaciones_ManualNOEscrito</vt:lpstr>
      <vt:lpstr>Aglomeraciones</vt:lpstr>
      <vt:lpstr>Formaciones</vt:lpstr>
      <vt:lpstr>Reposicionamiento</vt:lpstr>
      <vt:lpstr>532CenBan</vt:lpstr>
      <vt:lpstr>541bibanda</vt:lpstr>
      <vt:lpstr>433CenBan</vt:lpstr>
      <vt:lpstr>442Simetrica</vt:lpstr>
      <vt:lpstr>442Bibanda</vt:lpstr>
      <vt:lpstr>253CenBan</vt:lpstr>
      <vt:lpstr>343CenBan</vt:lpstr>
      <vt:lpstr>352CenBan</vt:lpstr>
      <vt:lpstr>352bibanda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2021-02-25T15:09:26Z</dcterms:modified>
</cp:coreProperties>
</file>