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74BF500C-740A-4035-BBF1-B893012A4596}" xr6:coauthVersionLast="33" xr6:coauthVersionMax="33" xr10:uidLastSave="{00000000-0000-0000-0000-000000000000}"/>
  <bookViews>
    <workbookView xWindow="1680" yWindow="300" windowWidth="14880" windowHeight="7815" activeTab="2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Calculadora_Tactica" sheetId="83" r:id="rId8"/>
    <sheet name="Capitan" sheetId="76" r:id="rId9"/>
    <sheet name="Entrenador" sheetId="85" r:id="rId10"/>
    <sheet name="Entrenamiento" sheetId="86" r:id="rId11"/>
    <sheet name="Resumen_Rend" sheetId="96" r:id="rId12"/>
    <sheet name="352" sheetId="105" r:id="rId13"/>
    <sheet name="541" sheetId="106" r:id="rId14"/>
    <sheet name="DEF" sheetId="108" r:id="rId15"/>
    <sheet name="JUG" sheetId="107" r:id="rId16"/>
    <sheet name="PAS" sheetId="110" r:id="rId17"/>
    <sheet name="LAT" sheetId="111" r:id="rId18"/>
    <sheet name="El Desierto de Tattoine" sheetId="3" r:id="rId19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W12" i="116" l="1"/>
  <c r="Z11" i="32" l="1"/>
  <c r="Z13" i="32"/>
  <c r="Z15" i="32"/>
  <c r="Z12" i="32"/>
  <c r="Z16" i="32"/>
  <c r="Z14" i="32"/>
  <c r="Z17" i="32"/>
  <c r="Z18" i="32"/>
  <c r="T21" i="118" l="1"/>
  <c r="U21" i="118"/>
  <c r="W32" i="118"/>
  <c r="W31" i="118"/>
  <c r="W30" i="118"/>
  <c r="W28" i="118"/>
  <c r="W24" i="118"/>
  <c r="W23" i="118"/>
  <c r="W22" i="118"/>
  <c r="T28" i="118" l="1"/>
  <c r="T29" i="118"/>
  <c r="U29" i="118"/>
  <c r="T30" i="118"/>
  <c r="T31" i="118"/>
  <c r="T32" i="118"/>
  <c r="U24" i="118"/>
  <c r="T23" i="118"/>
  <c r="T24" i="118"/>
  <c r="T27" i="118"/>
  <c r="T22" i="118"/>
  <c r="N23" i="118"/>
  <c r="N24" i="118"/>
  <c r="N22" i="118"/>
  <c r="O21" i="118"/>
  <c r="M34" i="118"/>
  <c r="L34" i="118"/>
  <c r="K34" i="118"/>
  <c r="G34" i="118"/>
  <c r="M33" i="118"/>
  <c r="L33" i="118"/>
  <c r="K33" i="118"/>
  <c r="G33" i="118"/>
  <c r="M26" i="118"/>
  <c r="L26" i="118"/>
  <c r="K26" i="118"/>
  <c r="G26" i="118"/>
  <c r="L25" i="118"/>
  <c r="AA25" i="118" s="1"/>
  <c r="M25" i="118"/>
  <c r="T15" i="118"/>
  <c r="E32" i="118" s="1"/>
  <c r="U15" i="118"/>
  <c r="F32" i="118" s="1"/>
  <c r="T14" i="118"/>
  <c r="U14" i="118"/>
  <c r="T11" i="118"/>
  <c r="E28" i="118" s="1"/>
  <c r="U11" i="118"/>
  <c r="F28" i="118"/>
  <c r="U12" i="118"/>
  <c r="F29" i="118" s="1"/>
  <c r="U13" i="118"/>
  <c r="T12" i="118"/>
  <c r="E29" i="118" s="1"/>
  <c r="T13" i="118"/>
  <c r="T10" i="118"/>
  <c r="E27" i="118" s="1"/>
  <c r="U10" i="118"/>
  <c r="F27" i="118"/>
  <c r="F31" i="118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AC10" i="118"/>
  <c r="N27" i="118" s="1"/>
  <c r="AD10" i="118"/>
  <c r="AC11" i="118"/>
  <c r="AD11" i="118"/>
  <c r="O28" i="118" s="1"/>
  <c r="AC12" i="118"/>
  <c r="AD12" i="118" s="1"/>
  <c r="O29" i="118" s="1"/>
  <c r="AC13" i="118"/>
  <c r="AD13" i="118"/>
  <c r="AC14" i="118"/>
  <c r="N31" i="118" s="1"/>
  <c r="AD14" i="118"/>
  <c r="O31" i="118" s="1"/>
  <c r="AC15" i="118"/>
  <c r="N32" i="118" s="1"/>
  <c r="AD15" i="118"/>
  <c r="AA10" i="118"/>
  <c r="AA11" i="118"/>
  <c r="AA12" i="118"/>
  <c r="AA13" i="118"/>
  <c r="AA14" i="118"/>
  <c r="AA15" i="118"/>
  <c r="L32" i="118" s="1"/>
  <c r="AA32" i="118" s="1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B31" i="118"/>
  <c r="R31" i="118" s="1"/>
  <c r="A31" i="118"/>
  <c r="AC30" i="118"/>
  <c r="AD30" i="118" s="1"/>
  <c r="B30" i="118"/>
  <c r="R30" i="118" s="1"/>
  <c r="A30" i="118"/>
  <c r="AD29" i="118"/>
  <c r="AC29" i="118"/>
  <c r="D29" i="118"/>
  <c r="S29" i="118" s="1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C26" i="118"/>
  <c r="AD26" i="118" s="1"/>
  <c r="AA26" i="118"/>
  <c r="X26" i="118"/>
  <c r="W26" i="118"/>
  <c r="V26" i="118"/>
  <c r="A26" i="118"/>
  <c r="AC25" i="118"/>
  <c r="AD25" i="118" s="1"/>
  <c r="X25" i="118"/>
  <c r="W25" i="118"/>
  <c r="A25" i="118"/>
  <c r="AG24" i="118"/>
  <c r="AG25" i="118" s="1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S17" i="118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S16" i="118"/>
  <c r="R16" i="118"/>
  <c r="S15" i="118"/>
  <c r="R15" i="118"/>
  <c r="N15" i="118"/>
  <c r="O15" i="118" s="1"/>
  <c r="M15" i="118"/>
  <c r="AB15" i="118" s="1"/>
  <c r="M32" i="118" s="1"/>
  <c r="L15" i="118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L31" i="118"/>
  <c r="AA31" i="118" s="1"/>
  <c r="I31" i="118"/>
  <c r="X31" i="118" s="1"/>
  <c r="R14" i="118"/>
  <c r="N14" i="118"/>
  <c r="O14" i="118" s="1"/>
  <c r="M14" i="118"/>
  <c r="AB14" i="118" s="1"/>
  <c r="M31" i="118" s="1"/>
  <c r="L14" i="118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L30" i="118"/>
  <c r="AA30" i="118" s="1"/>
  <c r="F30" i="118"/>
  <c r="E30" i="118"/>
  <c r="S13" i="118"/>
  <c r="R13" i="118"/>
  <c r="N13" i="118"/>
  <c r="O13" i="118" s="1"/>
  <c r="M13" i="118"/>
  <c r="AB13" i="118" s="1"/>
  <c r="M30" i="118" s="1"/>
  <c r="L13" i="118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L29" i="118"/>
  <c r="AA29" i="118" s="1"/>
  <c r="Z12" i="118"/>
  <c r="K29" i="118" s="1"/>
  <c r="Z29" i="118" s="1"/>
  <c r="S12" i="118"/>
  <c r="R12" i="118"/>
  <c r="N12" i="118"/>
  <c r="O12" i="118" s="1"/>
  <c r="M12" i="118"/>
  <c r="AB12" i="118" s="1"/>
  <c r="M29" i="118" s="1"/>
  <c r="L12" i="118"/>
  <c r="K12" i="118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C12" i="118"/>
  <c r="C29" i="118" s="1"/>
  <c r="L28" i="118"/>
  <c r="AA28" i="118" s="1"/>
  <c r="R11" i="118"/>
  <c r="N11" i="118"/>
  <c r="O11" i="118" s="1"/>
  <c r="M11" i="118"/>
  <c r="AB11" i="118" s="1"/>
  <c r="M28" i="118" s="1"/>
  <c r="L11" i="118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L27" i="118"/>
  <c r="AA27" i="118" s="1"/>
  <c r="Z10" i="118"/>
  <c r="K27" i="118" s="1"/>
  <c r="Z27" i="118" s="1"/>
  <c r="W10" i="118"/>
  <c r="H27" i="118" s="1"/>
  <c r="R10" i="118"/>
  <c r="N10" i="118"/>
  <c r="N2" i="118" s="1"/>
  <c r="M10" i="118"/>
  <c r="AB10" i="118" s="1"/>
  <c r="M27" i="118" s="1"/>
  <c r="L10" i="118"/>
  <c r="K10" i="118"/>
  <c r="J10" i="118"/>
  <c r="Y10" i="118" s="1"/>
  <c r="J27" i="118" s="1"/>
  <c r="Y27" i="118" s="1"/>
  <c r="I10" i="118"/>
  <c r="H10" i="118"/>
  <c r="G10" i="118"/>
  <c r="V10" i="118" s="1"/>
  <c r="G27" i="118" s="1"/>
  <c r="V27" i="118" s="1"/>
  <c r="D10" i="118"/>
  <c r="D27" i="118" s="1"/>
  <c r="S27" i="118" s="1"/>
  <c r="C10" i="118"/>
  <c r="C27" i="118" s="1"/>
  <c r="AC9" i="118"/>
  <c r="AD9" i="118" s="1"/>
  <c r="AB9" i="118"/>
  <c r="AA9" i="118"/>
  <c r="Z9" i="118"/>
  <c r="Z26" i="118" s="1"/>
  <c r="Y9" i="118"/>
  <c r="Y26" i="118" s="1"/>
  <c r="X9" i="118"/>
  <c r="W9" i="118"/>
  <c r="V9" i="118"/>
  <c r="S9" i="118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S8" i="118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S7" i="118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S6" i="118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S5" i="118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U23" i="118" l="1"/>
  <c r="U32" i="118"/>
  <c r="U28" i="118"/>
  <c r="U31" i="118"/>
  <c r="U22" i="118"/>
  <c r="U30" i="118"/>
  <c r="U27" i="118"/>
  <c r="V33" i="118"/>
  <c r="O27" i="118"/>
  <c r="AC19" i="118"/>
  <c r="AC2" i="118"/>
  <c r="S14" i="118"/>
  <c r="AD5" i="118"/>
  <c r="AD19" i="118"/>
  <c r="O2" i="118"/>
  <c r="N28" i="118"/>
  <c r="S10" i="118"/>
  <c r="S11" i="118"/>
  <c r="N29" i="118"/>
  <c r="O32" i="118"/>
  <c r="AD23" i="118"/>
  <c r="O30" i="118"/>
  <c r="O19" i="118" s="1"/>
  <c r="BI21" i="32"/>
  <c r="N19" i="118" l="1"/>
  <c r="AD2" i="118"/>
  <c r="F28" i="116" l="1"/>
  <c r="F27" i="116"/>
  <c r="F26" i="116"/>
  <c r="H13" i="117" l="1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5" i="116" l="1"/>
  <c r="F24" i="116"/>
  <c r="F23" i="116"/>
  <c r="F22" i="116"/>
  <c r="F21" i="116"/>
  <c r="R6" i="117" l="1"/>
  <c r="L47" i="49" l="1"/>
  <c r="Q6" i="117" l="1"/>
  <c r="W20" i="116"/>
  <c r="BI12" i="32" l="1"/>
  <c r="BI13" i="32"/>
  <c r="BI14" i="32"/>
  <c r="BI19" i="32"/>
  <c r="BI16" i="32"/>
  <c r="BI15" i="32"/>
  <c r="BI11" i="32"/>
  <c r="BI17" i="32" l="1"/>
  <c r="BI18" i="32"/>
  <c r="BI20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X7" i="117" s="1"/>
  <c r="Y7" i="117" s="1"/>
  <c r="Z7" i="117" s="1"/>
  <c r="AA7" i="117" s="1"/>
  <c r="AB7" i="117" s="1"/>
  <c r="AC7" i="117" s="1"/>
  <c r="AD7" i="117" s="1"/>
  <c r="W21" i="116" l="1"/>
  <c r="W22" i="116"/>
  <c r="W23" i="116"/>
  <c r="W24" i="116"/>
  <c r="W25" i="116"/>
  <c r="W26" i="116"/>
  <c r="W27" i="116"/>
  <c r="W28" i="116"/>
  <c r="W18" i="116"/>
  <c r="W6" i="116"/>
  <c r="W8" i="116"/>
  <c r="W29" i="116"/>
  <c r="W19" i="116"/>
  <c r="W17" i="116"/>
  <c r="W7" i="116"/>
  <c r="W16" i="116"/>
  <c r="E19" i="117" l="1"/>
  <c r="E18" i="117"/>
  <c r="O20" i="117"/>
  <c r="P17" i="32"/>
  <c r="U20" i="32" l="1"/>
  <c r="U17" i="32" l="1"/>
  <c r="O6" i="117" l="1"/>
  <c r="T15" i="117" l="1"/>
  <c r="U15" i="117" s="1"/>
  <c r="V15" i="117" s="1"/>
  <c r="W15" i="117" s="1"/>
  <c r="X15" i="117" s="1"/>
  <c r="Y15" i="117" s="1"/>
  <c r="Z15" i="117" s="1"/>
  <c r="AA15" i="117" s="1"/>
  <c r="AB15" i="117" s="1"/>
  <c r="AC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H14" i="117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Y20" i="117" s="1"/>
  <c r="Z20" i="117" s="1"/>
  <c r="AA20" i="117" s="1"/>
  <c r="AB20" i="117" s="1"/>
  <c r="AC20" i="117" s="1"/>
  <c r="AD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B13" i="117" s="1"/>
  <c r="AC13" i="117" s="1"/>
  <c r="AD13" i="117" s="1"/>
  <c r="U10" i="117"/>
  <c r="V10" i="117" s="1"/>
  <c r="W10" i="117" s="1"/>
  <c r="X10" i="117" s="1"/>
  <c r="Y10" i="117" s="1"/>
  <c r="Z10" i="117" s="1"/>
  <c r="AA10" i="117" s="1"/>
  <c r="AB10" i="117" s="1"/>
  <c r="AC10" i="117" s="1"/>
  <c r="AD10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AB23" i="117" s="1"/>
  <c r="AC23" i="117" s="1"/>
  <c r="AD23" i="117" s="1"/>
  <c r="S22" i="117"/>
  <c r="T22" i="117" s="1"/>
  <c r="U22" i="117" s="1"/>
  <c r="V22" i="117" s="1"/>
  <c r="W22" i="117" s="1"/>
  <c r="X22" i="117" s="1"/>
  <c r="Y22" i="117" s="1"/>
  <c r="Z22" i="117" s="1"/>
  <c r="AA22" i="117" s="1"/>
  <c r="AB22" i="117" s="1"/>
  <c r="AC22" i="117" s="1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3" i="116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P3" i="83"/>
  <c r="Z3" i="83" s="1"/>
  <c r="Y3" i="83"/>
  <c r="M4" i="83"/>
  <c r="W2" i="83" s="1"/>
  <c r="O4" i="83"/>
  <c r="Y4" i="83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E17" i="116" l="1"/>
  <c r="E12" i="116"/>
  <c r="C12" i="116"/>
  <c r="C25" i="116"/>
  <c r="C17" i="116"/>
  <c r="C8" i="116"/>
  <c r="AF109" i="116"/>
  <c r="C7" i="116"/>
  <c r="C28" i="116"/>
  <c r="C20" i="116"/>
  <c r="C24" i="116"/>
  <c r="C26" i="116"/>
  <c r="C23" i="116"/>
  <c r="Y9" i="83"/>
  <c r="C22" i="116"/>
  <c r="C6" i="116"/>
  <c r="E20" i="116"/>
  <c r="W8" i="83"/>
  <c r="Y12" i="83"/>
  <c r="C21" i="116"/>
  <c r="C16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8" i="116"/>
  <c r="E6" i="116"/>
  <c r="E29" i="116"/>
  <c r="E8" i="116"/>
  <c r="E7" i="116"/>
  <c r="E16" i="116"/>
  <c r="C18" i="116"/>
  <c r="C27" i="116"/>
  <c r="C19" i="116"/>
  <c r="C29" i="116"/>
  <c r="Z9" i="83"/>
  <c r="P25" i="117" l="1"/>
  <c r="Q25" i="117"/>
  <c r="E13" i="117"/>
  <c r="E27" i="117"/>
  <c r="E12" i="117"/>
  <c r="E26" i="117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T3" i="117" s="1"/>
  <c r="U3" i="117" s="1"/>
  <c r="V3" i="117" s="1"/>
  <c r="W3" i="117" s="1"/>
  <c r="X3" i="117" s="1"/>
  <c r="Y3" i="117" s="1"/>
  <c r="Z3" i="117" s="1"/>
  <c r="AA3" i="117" s="1"/>
  <c r="AB3" i="117" s="1"/>
  <c r="AC3" i="117" s="1"/>
  <c r="AD3" i="117" s="1"/>
  <c r="E10" i="117"/>
  <c r="E24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s="1"/>
  <c r="AB14" i="117" l="1"/>
  <c r="AD18" i="117"/>
  <c r="AC25" i="117"/>
  <c r="Z26" i="117"/>
  <c r="AA5" i="117" s="1"/>
  <c r="AD25" i="117" l="1"/>
  <c r="M18" i="117"/>
  <c r="H29" i="117" s="1"/>
  <c r="AD14" i="117"/>
  <c r="AC14" i="117"/>
  <c r="AA26" i="117"/>
  <c r="AB5" i="117" s="1"/>
  <c r="AB26" i="117" l="1"/>
  <c r="AC5" i="117" s="1"/>
  <c r="M14" i="117"/>
  <c r="M7" i="117"/>
  <c r="B7" i="117" l="1"/>
  <c r="B10" i="117"/>
  <c r="B11" i="117"/>
  <c r="B8" i="117"/>
  <c r="B12" i="117"/>
  <c r="B13" i="117"/>
  <c r="B9" i="117"/>
  <c r="AC26" i="117"/>
  <c r="AD5" i="117" s="1"/>
  <c r="E33" i="117"/>
  <c r="A15" i="117"/>
  <c r="B6" i="117"/>
  <c r="M25" i="117"/>
  <c r="M15" i="117"/>
  <c r="A35" i="117" l="1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D11" i="76"/>
  <c r="E11" i="76" s="1"/>
  <c r="G11" i="76"/>
  <c r="H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R47" i="94" l="1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W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2" i="32"/>
  <c r="AV12" i="32"/>
  <c r="AW12" i="32"/>
  <c r="AX12" i="32"/>
  <c r="AY12" i="32"/>
  <c r="AZ12" i="32"/>
  <c r="BA12" i="32"/>
  <c r="BB12" i="32"/>
  <c r="BC12" i="32"/>
  <c r="BD12" i="32"/>
  <c r="BE12" i="32"/>
  <c r="BF12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9" i="32"/>
  <c r="AW19" i="32"/>
  <c r="AX19" i="32"/>
  <c r="AY19" i="32"/>
  <c r="AZ19" i="32"/>
  <c r="BA19" i="32"/>
  <c r="BB19" i="32"/>
  <c r="BC19" i="32"/>
  <c r="BD19" i="32"/>
  <c r="BE19" i="32"/>
  <c r="BF19" i="32"/>
  <c r="AV16" i="32"/>
  <c r="AW16" i="32"/>
  <c r="AX16" i="32"/>
  <c r="AY16" i="32"/>
  <c r="AZ16" i="32"/>
  <c r="BA16" i="32"/>
  <c r="BB16" i="32"/>
  <c r="BC16" i="32"/>
  <c r="BD16" i="32"/>
  <c r="BE16" i="32"/>
  <c r="BF16" i="32"/>
  <c r="AQ12" i="32"/>
  <c r="W12" i="32"/>
  <c r="R12" i="32"/>
  <c r="S12" i="32"/>
  <c r="P12" i="32"/>
  <c r="N12" i="32"/>
  <c r="J12" i="32"/>
  <c r="N12" i="83" s="1"/>
  <c r="K12" i="32"/>
  <c r="L12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2" i="32"/>
  <c r="AG12" i="32"/>
  <c r="AF12" i="32"/>
  <c r="AK12" i="32"/>
  <c r="S12" i="83" s="1"/>
  <c r="AI12" i="32"/>
  <c r="Q12" i="83" s="1"/>
  <c r="AM12" i="32"/>
  <c r="AJ12" i="32"/>
  <c r="R12" i="83" s="1"/>
  <c r="AN12" i="32"/>
  <c r="AL12" i="32"/>
  <c r="T12" i="83" s="1"/>
  <c r="U13" i="32"/>
  <c r="AQ13" i="32"/>
  <c r="W13" i="32"/>
  <c r="R13" i="32"/>
  <c r="S13" i="32"/>
  <c r="P13" i="32"/>
  <c r="N13" i="32"/>
  <c r="J13" i="32"/>
  <c r="N13" i="83" s="1"/>
  <c r="K13" i="32"/>
  <c r="L13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3" i="32"/>
  <c r="AX18" i="32"/>
  <c r="BF18" i="32"/>
  <c r="BA18" i="32"/>
  <c r="BB18" i="32"/>
  <c r="AY18" i="32"/>
  <c r="BC18" i="32"/>
  <c r="AZ18" i="32"/>
  <c r="AW18" i="32"/>
  <c r="BE18" i="32"/>
  <c r="AV18" i="32"/>
  <c r="BD18" i="32"/>
  <c r="BA17" i="32"/>
  <c r="BD17" i="32"/>
  <c r="AZ17" i="32"/>
  <c r="BB17" i="32"/>
  <c r="BE17" i="32"/>
  <c r="AX17" i="32"/>
  <c r="BC17" i="32"/>
  <c r="AV17" i="32"/>
  <c r="AW17" i="32"/>
  <c r="BF17" i="32"/>
  <c r="AY17" i="32"/>
  <c r="BC15" i="32"/>
  <c r="AX15" i="32"/>
  <c r="BF15" i="32"/>
  <c r="AY15" i="32"/>
  <c r="AV15" i="32"/>
  <c r="BD15" i="32"/>
  <c r="AW15" i="32"/>
  <c r="BE15" i="32"/>
  <c r="AZ15" i="32"/>
  <c r="BA15" i="32"/>
  <c r="BB15" i="32"/>
  <c r="AZ20" i="32"/>
  <c r="BC20" i="32"/>
  <c r="AW20" i="32"/>
  <c r="AY20" i="32"/>
  <c r="BA20" i="32"/>
  <c r="BD20" i="32"/>
  <c r="BE20" i="32"/>
  <c r="BB20" i="32"/>
  <c r="AV20" i="32"/>
  <c r="AX20" i="32"/>
  <c r="BF20" i="32"/>
  <c r="AK13" i="32"/>
  <c r="S13" i="83" s="1"/>
  <c r="AL13" i="32"/>
  <c r="T13" i="83" s="1"/>
  <c r="AJ13" i="32"/>
  <c r="R13" i="83" s="1"/>
  <c r="AN13" i="32"/>
  <c r="AM13" i="32"/>
  <c r="AI13" i="32"/>
  <c r="Q13" i="83" s="1"/>
  <c r="AH13" i="32"/>
  <c r="AG13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4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4" i="32"/>
  <c r="W14" i="32"/>
  <c r="R14" i="32"/>
  <c r="S14" i="32"/>
  <c r="P14" i="32"/>
  <c r="N14" i="32"/>
  <c r="J14" i="32"/>
  <c r="N14" i="83" s="1"/>
  <c r="K14" i="32"/>
  <c r="L14" i="32"/>
  <c r="I15" i="94" l="1"/>
  <c r="C14" i="83"/>
  <c r="B14" i="83"/>
  <c r="AG14" i="32"/>
  <c r="AL14" i="32"/>
  <c r="T14" i="83" s="1"/>
  <c r="AM14" i="32"/>
  <c r="AK14" i="32"/>
  <c r="S14" i="83" s="1"/>
  <c r="AI14" i="32"/>
  <c r="Q14" i="83" s="1"/>
  <c r="AN14" i="32"/>
  <c r="AJ14" i="32"/>
  <c r="R14" i="83" s="1"/>
  <c r="AH14" i="32"/>
  <c r="AF14" i="32"/>
  <c r="BF11" i="32"/>
  <c r="BE11" i="32"/>
  <c r="BD11" i="32"/>
  <c r="BC11" i="32"/>
  <c r="BB11" i="32"/>
  <c r="BA11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1" i="32"/>
  <c r="AZ11" i="32"/>
  <c r="AX11" i="32"/>
  <c r="AW11" i="32"/>
  <c r="AV11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6" i="32"/>
  <c r="AQ16" i="32"/>
  <c r="W16" i="32"/>
  <c r="R16" i="32"/>
  <c r="S16" i="32"/>
  <c r="P16" i="32"/>
  <c r="N16" i="32"/>
  <c r="J16" i="32"/>
  <c r="N16" i="83" s="1"/>
  <c r="K16" i="32"/>
  <c r="L16" i="32"/>
  <c r="AQ20" i="32"/>
  <c r="W20" i="32"/>
  <c r="R20" i="32"/>
  <c r="S20" i="32"/>
  <c r="P20" i="32"/>
  <c r="N20" i="32"/>
  <c r="J20" i="32"/>
  <c r="N20" i="83" s="1"/>
  <c r="K20" i="32"/>
  <c r="L20" i="32"/>
  <c r="U15" i="32"/>
  <c r="AQ15" i="32"/>
  <c r="W15" i="32"/>
  <c r="R15" i="32"/>
  <c r="S15" i="32"/>
  <c r="P15" i="32"/>
  <c r="N15" i="32"/>
  <c r="J15" i="32"/>
  <c r="N19" i="83" s="1"/>
  <c r="K15" i="32"/>
  <c r="L15" i="32"/>
  <c r="AQ17" i="32"/>
  <c r="AQ18" i="32"/>
  <c r="U18" i="32"/>
  <c r="W18" i="32"/>
  <c r="R18" i="32"/>
  <c r="S18" i="32"/>
  <c r="P18" i="32"/>
  <c r="N18" i="32"/>
  <c r="J18" i="32"/>
  <c r="N18" i="83" s="1"/>
  <c r="K18" i="32"/>
  <c r="L18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5" i="32"/>
  <c r="AF20" i="32"/>
  <c r="AG18" i="32"/>
  <c r="AG16" i="32"/>
  <c r="AI16" i="32"/>
  <c r="Q16" i="83" s="1"/>
  <c r="AL16" i="32"/>
  <c r="T16" i="83" s="1"/>
  <c r="AK16" i="32"/>
  <c r="S16" i="83" s="1"/>
  <c r="AN16" i="32"/>
  <c r="AM16" i="32"/>
  <c r="AJ16" i="32"/>
  <c r="R16" i="83" s="1"/>
  <c r="AH16" i="32"/>
  <c r="AF16" i="32"/>
  <c r="AN20" i="32"/>
  <c r="AM20" i="32"/>
  <c r="AL20" i="32"/>
  <c r="T20" i="83" s="1"/>
  <c r="AK20" i="32"/>
  <c r="S20" i="83" s="1"/>
  <c r="AJ20" i="32"/>
  <c r="R20" i="83" s="1"/>
  <c r="AI20" i="32"/>
  <c r="Q20" i="83" s="1"/>
  <c r="AH20" i="32"/>
  <c r="AG20" i="32"/>
  <c r="AN15" i="32"/>
  <c r="AL15" i="32"/>
  <c r="T19" i="83" s="1"/>
  <c r="AM15" i="32"/>
  <c r="AK15" i="32"/>
  <c r="S19" i="83" s="1"/>
  <c r="AJ15" i="32"/>
  <c r="R19" i="83" s="1"/>
  <c r="AI15" i="32"/>
  <c r="Q19" i="83" s="1"/>
  <c r="AH15" i="32"/>
  <c r="AG15" i="32"/>
  <c r="AN18" i="32"/>
  <c r="AM18" i="32"/>
  <c r="AL18" i="32"/>
  <c r="T18" i="83" s="1"/>
  <c r="AK18" i="32"/>
  <c r="S18" i="83" s="1"/>
  <c r="AI18" i="32"/>
  <c r="Q18" i="83" s="1"/>
  <c r="AJ18" i="32"/>
  <c r="R18" i="83" s="1"/>
  <c r="AH18" i="32"/>
  <c r="AF18" i="32"/>
  <c r="W17" i="32"/>
  <c r="R17" i="32"/>
  <c r="S17" i="32"/>
  <c r="N17" i="32"/>
  <c r="J17" i="32"/>
  <c r="N17" i="83" s="1"/>
  <c r="K17" i="32"/>
  <c r="L17" i="32"/>
  <c r="AQ11" i="32"/>
  <c r="W11" i="32"/>
  <c r="U11" i="32"/>
  <c r="R11" i="32"/>
  <c r="S11" i="32"/>
  <c r="P11" i="32"/>
  <c r="N11" i="32"/>
  <c r="J11" i="32"/>
  <c r="N11" i="83" s="1"/>
  <c r="K11" i="32"/>
  <c r="L11" i="32"/>
  <c r="X4" i="32"/>
  <c r="B26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1" i="32"/>
  <c r="AF17" i="32"/>
  <c r="AN17" i="32"/>
  <c r="AI17" i="32"/>
  <c r="Q17" i="83" s="1"/>
  <c r="AM17" i="32"/>
  <c r="AL17" i="32"/>
  <c r="T17" i="83" s="1"/>
  <c r="AK17" i="32"/>
  <c r="S17" i="83" s="1"/>
  <c r="AJ17" i="32"/>
  <c r="R17" i="83" s="1"/>
  <c r="AH17" i="32"/>
  <c r="AG17" i="32"/>
  <c r="AI11" i="32"/>
  <c r="Q11" i="83" s="1"/>
  <c r="AN11" i="32"/>
  <c r="AL11" i="32"/>
  <c r="T11" i="83" s="1"/>
  <c r="AJ11" i="32"/>
  <c r="R11" i="83" s="1"/>
  <c r="AM11" i="32"/>
  <c r="AK11" i="32"/>
  <c r="S11" i="83" s="1"/>
  <c r="AH11" i="32"/>
  <c r="AG11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6" i="49"/>
  <c r="O20" i="49"/>
  <c r="AD4" i="32" l="1"/>
  <c r="P2" i="83" s="1"/>
  <c r="Z2" i="83" s="1"/>
  <c r="AD24" i="32" l="1"/>
  <c r="P24" i="83" s="1"/>
  <c r="AD10" i="32"/>
  <c r="P10" i="83" s="1"/>
  <c r="Z11" i="83" s="1"/>
  <c r="AD8" i="32"/>
  <c r="P7" i="83" s="1"/>
  <c r="Z7" i="83" s="1"/>
  <c r="AD6" i="32"/>
  <c r="P4" i="83" s="1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AA9" i="32"/>
  <c r="AA7" i="32"/>
  <c r="AA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24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Y10" i="32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10" i="32"/>
  <c r="AN10" i="32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J10" i="32"/>
  <c r="N10" i="83" s="1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D6" i="83" s="1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AG10" i="32"/>
  <c r="AH10" i="32"/>
  <c r="AF10" i="32"/>
  <c r="AL10" i="32"/>
  <c r="T10" i="83" s="1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23" i="83" l="1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AI10" i="32"/>
  <c r="Q10" i="83" s="1"/>
  <c r="AK10" i="32"/>
  <c r="S10" i="83" s="1"/>
  <c r="AJ10" i="32"/>
  <c r="R10" i="83" s="1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10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10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P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S37" i="94" l="1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R10" i="32"/>
  <c r="E10" i="83" s="1"/>
  <c r="S10" i="32"/>
  <c r="F10" i="83" s="1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10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10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10" i="32"/>
  <c r="L10" i="32"/>
  <c r="K7" i="32"/>
  <c r="L7" i="32"/>
  <c r="K21" i="32"/>
  <c r="L21" i="32"/>
  <c r="K24" i="32"/>
  <c r="L24" i="32"/>
  <c r="L5" i="32"/>
  <c r="K5" i="32"/>
  <c r="D1" i="32" l="1"/>
  <c r="F23" i="32" l="1"/>
  <c r="E25" i="86" s="1"/>
  <c r="F9" i="32"/>
  <c r="F15" i="32"/>
  <c r="E21" i="86" s="1"/>
  <c r="F22" i="32"/>
  <c r="E24" i="86" s="1"/>
  <c r="F11" i="32"/>
  <c r="F13" i="32"/>
  <c r="F14" i="32"/>
  <c r="F20" i="32"/>
  <c r="E22" i="86" s="1"/>
  <c r="F24" i="32"/>
  <c r="E26" i="86" s="1"/>
  <c r="F8" i="32"/>
  <c r="F17" i="32"/>
  <c r="E19" i="86" s="1"/>
  <c r="F18" i="32"/>
  <c r="E20" i="86" s="1"/>
  <c r="F4" i="32"/>
  <c r="F10" i="32"/>
  <c r="F25" i="32"/>
  <c r="F12" i="32"/>
  <c r="F19" i="32"/>
  <c r="F5" i="32"/>
  <c r="F6" i="32"/>
  <c r="F16" i="32"/>
  <c r="F21" i="32"/>
  <c r="E23" i="86" s="1"/>
  <c r="F7" i="32"/>
  <c r="D15" i="111"/>
  <c r="E17" i="86" l="1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Q20" i="86"/>
  <c r="E11" i="86"/>
  <c r="E27" i="86"/>
  <c r="Q24" i="86"/>
  <c r="Q22" i="86"/>
  <c r="Q19" i="86"/>
  <c r="E6" i="86"/>
  <c r="E10" i="86"/>
  <c r="Q21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1" i="32"/>
  <c r="C5" i="32"/>
  <c r="C17" i="32"/>
  <c r="C19" i="32"/>
  <c r="C15" i="32"/>
  <c r="C13" i="32"/>
  <c r="D12" i="111"/>
  <c r="C14" i="32"/>
  <c r="C18" i="32"/>
  <c r="C20" i="32"/>
  <c r="C16" i="32"/>
  <c r="C12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10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<sst xmlns="http://schemas.openxmlformats.org/spreadsheetml/2006/main" count="2170" uniqueCount="674">
  <si>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</si>
  <si>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</si>
  <si>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</si>
  <si>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</si>
  <si>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</si>
  <si>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</si>
  <si>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</si>
  <si>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</si>
  <si>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</si>
  <si>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</si>
  <si>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</si>
  <si>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</si>
  <si>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</si>
  <si>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</si>
  <si>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</si>
  <si>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</si>
  <si>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</si>
  <si>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</si>
  <si>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</si>
  <si>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</si>
  <si>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</si>
  <si>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</si>
  <si>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</si>
  <si>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</si>
  <si>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</si>
  <si>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</si>
  <si>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</si>
  <si>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</si>
  <si>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</si>
  <si>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</si>
  <si>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</si>
  <si>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</si>
  <si>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</si>
  <si>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</si>
  <si>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</si>
  <si>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</si>
  <si>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</si>
  <si>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</si>
  <si>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</si>
  <si>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</si>
  <si>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</si>
  <si>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</si>
  <si>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</si>
  <si>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</si>
  <si>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</si>
  <si>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</si>
  <si>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</si>
  <si>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</si>
  <si>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</si>
  <si>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</si>
  <si>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</si>
  <si>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</si>
  <si>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</si>
  <si>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</si>
  <si>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</si>
  <si>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</si>
  <si>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</si>
  <si>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</si>
  <si>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</si>
  <si>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</si>
  <si>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</si>
  <si>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</si>
  <si>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</si>
  <si>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</si>
  <si>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</si>
  <si>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</si>
  <si>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</si>
  <si>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</si>
  <si>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</si>
  <si>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</si>
  <si>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</si>
  <si>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</si>
  <si>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</si>
  <si>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</si>
  <si>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</si>
  <si>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</si>
  <si>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</si>
  <si>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</si>
  <si>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</si>
  <si>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</si>
  <si>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</si>
  <si>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</si>
  <si>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</si>
  <si>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</si>
  <si>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</si>
  <si>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</si>
  <si>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</si>
  <si>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</si>
  <si>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</si>
  <si>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</si>
  <si>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</si>
  <si>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</si>
  <si>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</si>
  <si>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</si>
  <si>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</si>
  <si>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</si>
  <si>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</si>
  <si>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</si>
  <si>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</si>
  <si>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</si>
  <si>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</si>
  <si>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</si>
  <si>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</si>
  <si>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</si>
  <si>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</si>
  <si>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</si>
  <si>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</si>
  <si>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</si>
  <si>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</si>
  <si>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</si>
  <si>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</si>
  <si>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</si>
  <si>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</si>
  <si>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</si>
  <si>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</si>
  <si>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</si>
  <si>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</si>
  <si>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</si>
  <si>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</si>
  <si>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</si>
  <si>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</si>
  <si>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</si>
  <si>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</si>
  <si>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</si>
  <si>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</si>
  <si>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</si>
  <si>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</si>
  <si>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</si>
  <si>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</si>
  <si>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</si>
  <si>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</si>
  <si>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</si>
  <si>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</si>
  <si>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</si>
  <si>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</si>
  <si>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</si>
  <si>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</si>
  <si>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</si>
  <si>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</si>
  <si>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</si>
  <si>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</si>
  <si>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</si>
  <si>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</si>
  <si>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</si>
  <si>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</si>
  <si>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</si>
  <si>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</si>
  <si>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</si>
  <si>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</si>
  <si>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</si>
  <si>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</si>
  <si>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</si>
  <si>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</si>
  <si>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</si>
  <si>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</si>
  <si>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</si>
  <si>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</si>
  <si>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</si>
  <si>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</si>
  <si>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</si>
  <si>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</si>
  <si>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</si>
  <si>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</si>
  <si>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</si>
  <si>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</si>
  <si>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</si>
  <si>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</si>
  <si>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</si>
  <si>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</si>
  <si>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</si>
  <si>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</si>
  <si>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</si>
  <si>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</si>
  <si>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</si>
  <si>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</si>
  <si>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</si>
  <si>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</si>
  <si>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</si>
  <si>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</si>
  <si>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</si>
  <si>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</si>
  <si>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</si>
  <si>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</si>
  <si>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</si>
  <si>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</si>
  <si>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</si>
  <si>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</si>
  <si>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</si>
  <si>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</si>
  <si>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</si>
  <si>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</si>
  <si>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</si>
  <si>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</si>
  <si>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</si>
  <si>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</si>
  <si>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</si>
  <si>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</si>
  <si>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</si>
  <si>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</si>
  <si>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</si>
  <si>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</si>
  <si>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</si>
  <si>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</si>
  <si>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</si>
  <si>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</si>
  <si>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</si>
  <si>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</si>
  <si>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</si>
  <si>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</si>
  <si>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</si>
  <si>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</si>
  <si>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</si>
  <si>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</si>
  <si>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</si>
  <si>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</si>
  <si>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</si>
  <si>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</si>
  <si>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</si>
  <si>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</si>
  <si>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</si>
  <si>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</si>
  <si>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</si>
  <si>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</si>
  <si>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</si>
  <si>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</si>
  <si>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</si>
  <si>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</si>
  <si>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</si>
  <si>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</si>
  <si>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</si>
  <si>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</si>
  <si>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</si>
  <si>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</si>
  <si>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</si>
  <si>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</si>
  <si>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</si>
  <si>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</si>
  <si>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</si>
  <si>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</si>
  <si>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</si>
  <si>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</si>
  <si>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</si>
  <si>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</si>
  <si>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</si>
  <si>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</si>
  <si>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</si>
  <si>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</si>
  <si>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</si>
  <si>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</si>
  <si>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</si>
  <si>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</si>
  <si>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</si>
  <si>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</si>
  <si>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</si>
  <si>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</si>
  <si>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</si>
  <si>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</si>
  <si>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</si>
  <si>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</si>
  <si>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</si>
  <si>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</si>
  <si>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</si>
  <si>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</si>
  <si>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</si>
  <si>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</si>
  <si>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</si>
  <si>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</si>
  <si>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</si>
  <si>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</si>
  <si>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</si>
  <si>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</si>
  <si>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</si>
  <si>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</si>
  <si>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</si>
  <si>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</si>
  <si>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</si>
  <si>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</si>
  <si>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</si>
  <si>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</si>
  <si>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</si>
  <si>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</si>
  <si>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</si>
  <si>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</si>
  <si>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</si>
  <si>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</si>
  <si>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</si>
  <si>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</si>
  <si>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</si>
  <si>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</si>
  <si>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</si>
  <si>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</si>
  <si>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</si>
  <si>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</si>
  <si>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</si>
  <si>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</si>
  <si>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</si>
  <si>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</si>
  <si>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</si>
  <si>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</si>
  <si>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</si>
  <si>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</si>
  <si>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</si>
  <si>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</si>
  <si>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</si>
  <si>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</si>
  <si>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</si>
  <si>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</si>
  <si>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</si>
  <si>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</si>
  <si>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</si>
  <si>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</si>
  <si>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</si>
  <si>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</si>
  <si>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</si>
  <si>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</si>
  <si>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</si>
  <si>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</si>
  <si>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</si>
  <si>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</si>
  <si>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</si>
  <si>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</si>
  <si>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</si>
  <si>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</si>
  <si>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</si>
  <si>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</si>
  <si>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</si>
  <si>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</si>
  <si>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</si>
  <si>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</si>
  <si>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</si>
  <si>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</si>
  <si>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</si>
  <si>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</si>
  <si>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</si>
  <si>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</si>
  <si>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</si>
  <si>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</si>
  <si>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</si>
  <si>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</si>
  <si>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</si>
  <si>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</si>
  <si>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</si>
  <si>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</si>
  <si>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</si>
  <si>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</si>
  <si>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</si>
  <si>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</si>
  <si>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</si>
  <si>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</si>
  <si>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</si>
  <si>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</si>
  <si>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</si>
  <si>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</si>
  <si>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</si>
  <si>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</si>
  <si>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</si>
  <si>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</si>
  <si>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</si>
  <si>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</si>
  <si>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</si>
  <si>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</si>
  <si>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</si>
  <si>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</si>
  <si>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</si>
  <si>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</si>
  <si>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</si>
  <si>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</si>
  <si>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</si>
  <si>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</si>
  <si>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</si>
  <si>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</si>
  <si>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</si>
  <si>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</si>
  <si>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</si>
  <si>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</si>
  <si>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</si>
  <si>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</si>
  <si>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</si>
  <si>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</si>
  <si>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</si>
  <si>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</si>
  <si>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</si>
  <si>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</si>
  <si>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</si>
  <si>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</si>
  <si>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</si>
  <si>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</si>
  <si>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</si>
  <si>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</si>
  <si>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</si>
  <si>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</si>
  <si>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</si>
  <si>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</si>
  <si>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</si>
  <si>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</si>
  <si>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</si>
  <si>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</si>
  <si>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</si>
  <si>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</si>
  <si>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</si>
  <si>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</si>
  <si>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</si>
  <si>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</si>
  <si>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</si>
  <si>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</si>
  <si>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</si>
  <si>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</si>
  <si>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</si>
  <si>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</si>
  <si>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</si>
  <si>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</si>
  <si>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</si>
  <si>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</si>
  <si>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</si>
  <si>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</si>
  <si>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</si>
  <si>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</si>
  <si>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</si>
  <si>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</si>
  <si>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</si>
  <si>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</si>
  <si>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J. Vartiainen</t>
  </si>
  <si>
    <t>Coste (m€)</t>
  </si>
  <si>
    <t>G. Piscaer</t>
  </si>
  <si>
    <t>I. Stone</t>
  </si>
  <si>
    <t>#20</t>
  </si>
  <si>
    <t>#21</t>
  </si>
  <si>
    <t>#23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</si>
  <si>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</si>
  <si>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</si>
  <si>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</si>
  <si>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</si>
  <si>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</si>
  <si>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</si>
  <si>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</si>
  <si>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</si>
  <si>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</si>
  <si>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</si>
  <si>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</si>
  <si>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</si>
  <si>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</si>
  <si>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V. Godoi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</si>
  <si>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</si>
  <si>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</si>
  <si>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</si>
  <si>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</si>
  <si>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</si>
  <si>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</si>
  <si>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</si>
  <si>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</si>
  <si>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</si>
  <si>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</si>
  <si>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</si>
  <si>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HTMS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</si>
  <si>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</si>
  <si>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</si>
  <si>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</si>
  <si>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</si>
  <si>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</si>
  <si>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</si>
  <si>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</si>
  <si>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</si>
  <si>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</si>
  <si>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</si>
  <si>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</si>
  <si>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</si>
  <si>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</si>
  <si>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</si>
  <si>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</si>
  <si>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</si>
  <si>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</si>
  <si>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</si>
  <si>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</si>
  <si>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</si>
  <si>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</si>
  <si>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</si>
  <si>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</si>
  <si>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</si>
  <si>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</si>
  <si>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</si>
  <si>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</si>
  <si>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</si>
  <si>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</si>
  <si>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</si>
  <si>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</si>
  <si>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</si>
  <si>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</si>
  <si>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</si>
  <si>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</si>
  <si>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</si>
  <si>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</si>
  <si>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</si>
  <si>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</si>
  <si>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</si>
  <si>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</si>
  <si>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</si>
  <si>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</si>
  <si>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</si>
  <si>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</si>
  <si>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</si>
  <si>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</si>
  <si>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</si>
  <si>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</si>
  <si>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</si>
  <si>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</si>
  <si>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</si>
  <si>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</si>
  <si>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</si>
  <si>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</si>
  <si>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</si>
  <si>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</si>
  <si>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</si>
  <si>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</si>
  <si>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</si>
  <si>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</si>
  <si>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</si>
  <si>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</si>
  <si>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</si>
  <si>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</si>
  <si>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</si>
  <si>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</si>
  <si>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</si>
  <si>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</si>
  <si>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</si>
  <si>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</si>
  <si>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</si>
  <si>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</si>
  <si>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</si>
  <si>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</si>
  <si>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</si>
  <si>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</si>
  <si>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</si>
  <si>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</si>
  <si>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</si>
  <si>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</si>
  <si>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</si>
  <si>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</si>
  <si>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</si>
  <si>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</si>
  <si>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</si>
  <si>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</si>
  <si>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</si>
  <si>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</si>
  <si>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</si>
  <si>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</si>
  <si>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</si>
  <si>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</si>
  <si>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</si>
  <si>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</si>
  <si>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</si>
  <si>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</si>
  <si>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</si>
  <si>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</si>
  <si>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</si>
  <si>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</si>
  <si>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</si>
  <si>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</si>
  <si>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</si>
  <si>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</si>
  <si>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</si>
  <si>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</si>
  <si>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</si>
  <si>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</si>
  <si>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</si>
  <si>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</si>
  <si>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</si>
  <si>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</si>
  <si>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</si>
  <si>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</si>
  <si>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</si>
  <si>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</si>
  <si>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</si>
  <si>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</si>
  <si>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</si>
  <si>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</si>
  <si>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</si>
  <si>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</si>
  <si>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</si>
  <si>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</si>
  <si>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</si>
  <si>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</si>
  <si>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</si>
  <si>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</si>
  <si>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</si>
  <si>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</si>
  <si>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</si>
  <si>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</si>
  <si>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</si>
  <si>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</si>
  <si>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</si>
  <si>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</si>
  <si>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</si>
  <si>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</si>
  <si>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</si>
  <si>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</si>
  <si>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</si>
  <si>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</si>
  <si>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</si>
  <si>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</si>
  <si>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</si>
  <si>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</si>
  <si>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</si>
  <si>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</si>
  <si>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</si>
  <si>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</si>
  <si>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</si>
  <si>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</si>
  <si>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</si>
  <si>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</si>
  <si>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</si>
  <si>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</si>
  <si>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</si>
  <si>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</si>
  <si>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</si>
  <si>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</si>
  <si>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</si>
  <si>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</si>
  <si>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</si>
  <si>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</si>
  <si>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</si>
  <si>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</si>
  <si>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</si>
  <si>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</si>
  <si>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</si>
  <si>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</si>
  <si>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</si>
  <si>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</si>
  <si>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</si>
  <si>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</si>
  <si>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</si>
  <si>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</si>
  <si>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</si>
  <si>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</si>
  <si>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</si>
  <si>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</si>
  <si>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</si>
  <si>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</si>
  <si>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</si>
  <si>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</si>
  <si>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</si>
  <si>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</si>
  <si>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</si>
  <si>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</si>
  <si>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</si>
  <si>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</si>
  <si>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</si>
  <si>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</si>
  <si>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</si>
  <si>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</si>
  <si>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G. Stoychev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</si>
  <si>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</si>
  <si>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</si>
  <si>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</si>
  <si>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</si>
  <si>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</si>
  <si>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</si>
  <si>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</si>
  <si>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</si>
  <si>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</si>
  <si>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</si>
  <si>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</si>
  <si>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</si>
  <si>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</si>
  <si>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</si>
  <si>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</si>
  <si>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</si>
  <si>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</si>
  <si>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Jarkko Vartiainen</t>
  </si>
  <si>
    <t>Valério Godoi</t>
  </si>
  <si>
    <t>27(90)</t>
  </si>
  <si>
    <t>Brendon Hackler</t>
  </si>
  <si>
    <t>Coby Shaw</t>
  </si>
  <si>
    <t>CAB/IMP</t>
  </si>
  <si>
    <t>DeAndre O'Grady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</si>
</sst>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0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1" borderId="0" xfId="4" applyNumberFormat="1" applyFont="1" applyFill="1" applyBorder="1" applyAlignment="1">
      <alignment horizontal="center"/>
    </xf>
    <xf numFmtId="169" fontId="63" fillId="42" borderId="0" xfId="4" applyNumberFormat="1" applyFont="1" applyFill="1" applyBorder="1" applyAlignment="1">
      <alignment horizontal="center"/>
    </xf>
    <xf numFmtId="2" fontId="64" fillId="42" borderId="0" xfId="4" applyNumberFormat="1" applyFont="1" applyFill="1" applyBorder="1" applyAlignment="1">
      <alignment horizontal="right"/>
    </xf>
    <xf numFmtId="2" fontId="65" fillId="43" borderId="0" xfId="4" applyNumberFormat="1" applyFont="1" applyFill="1" applyBorder="1" applyAlignment="1">
      <alignment horizontal="right"/>
    </xf>
    <xf numFmtId="2" fontId="63" fillId="42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1" borderId="0" xfId="4" applyNumberFormat="1" applyFont="1" applyFill="1" applyBorder="1" applyAlignment="1">
      <alignment horizontal="right"/>
    </xf>
    <xf numFmtId="169" fontId="63" fillId="41" borderId="0" xfId="4" applyNumberFormat="1" applyFont="1" applyFill="1" applyBorder="1" applyAlignment="1">
      <alignment horizontal="center"/>
    </xf>
    <xf numFmtId="2" fontId="63" fillId="41" borderId="0" xfId="4" applyNumberFormat="1" applyFont="1" applyFill="1" applyBorder="1" applyAlignment="1">
      <alignment horizontal="right"/>
    </xf>
    <xf numFmtId="0" fontId="15" fillId="41" borderId="0" xfId="4" applyFont="1" applyFill="1" applyBorder="1" applyAlignment="1">
      <alignment horizontal="center"/>
    </xf>
    <xf numFmtId="169" fontId="67" fillId="41" borderId="0" xfId="4" applyNumberFormat="1" applyFont="1" applyFill="1" applyBorder="1" applyAlignment="1">
      <alignment horizontal="center"/>
    </xf>
    <xf numFmtId="2" fontId="67" fillId="41" borderId="0" xfId="4" applyNumberFormat="1" applyFont="1" applyFill="1" applyBorder="1" applyAlignment="1">
      <alignment horizontal="right"/>
    </xf>
    <xf numFmtId="0" fontId="32" fillId="40" borderId="0" xfId="4" applyFont="1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59" fillId="44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5" borderId="0" xfId="5" applyFill="1" applyBorder="1"/>
    <xf numFmtId="0" fontId="55" fillId="49" borderId="0" xfId="4" applyFont="1" applyFill="1" applyBorder="1" applyAlignment="1">
      <alignment horizontal="left"/>
    </xf>
    <xf numFmtId="0" fontId="55" fillId="49" borderId="0" xfId="4" applyFont="1" applyFill="1" applyBorder="1" applyAlignment="1">
      <alignment horizontal="center"/>
    </xf>
    <xf numFmtId="0" fontId="56" fillId="49" borderId="0" xfId="4" applyFont="1" applyFill="1" applyBorder="1" applyAlignment="1">
      <alignment horizontal="center"/>
    </xf>
    <xf numFmtId="0" fontId="58" fillId="49" borderId="0" xfId="4" applyFont="1" applyFill="1" applyBorder="1" applyAlignment="1">
      <alignment horizontal="left"/>
    </xf>
    <xf numFmtId="0" fontId="58" fillId="49" borderId="0" xfId="4" applyFont="1" applyFill="1" applyBorder="1" applyAlignment="1">
      <alignment horizontal="center"/>
    </xf>
    <xf numFmtId="0" fontId="59" fillId="49" borderId="0" xfId="4" applyFont="1" applyFill="1" applyBorder="1" applyAlignment="1">
      <alignment horizontal="center"/>
    </xf>
    <xf numFmtId="0" fontId="58" fillId="50" borderId="0" xfId="4" applyFont="1" applyFill="1" applyBorder="1" applyAlignment="1">
      <alignment horizontal="left"/>
    </xf>
    <xf numFmtId="0" fontId="37" fillId="51" borderId="0" xfId="4" applyFont="1" applyFill="1" applyBorder="1" applyAlignment="1">
      <alignment horizontal="right"/>
    </xf>
    <xf numFmtId="0" fontId="15" fillId="51" borderId="0" xfId="4" applyFill="1" applyAlignment="1">
      <alignment horizontal="right"/>
    </xf>
    <xf numFmtId="0" fontId="23" fillId="51" borderId="0" xfId="4" applyFont="1" applyFill="1" applyBorder="1" applyAlignment="1">
      <alignment horizontal="right"/>
    </xf>
    <xf numFmtId="0" fontId="51" fillId="51" borderId="0" xfId="4" applyFont="1" applyFill="1" applyBorder="1" applyAlignment="1">
      <alignment horizontal="right"/>
    </xf>
    <xf numFmtId="0" fontId="68" fillId="51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1" borderId="1" xfId="4" applyNumberFormat="1" applyFont="1" applyFill="1" applyBorder="1" applyAlignment="1">
      <alignment horizontal="right"/>
    </xf>
    <xf numFmtId="2" fontId="15" fillId="42" borderId="1" xfId="4" applyNumberFormat="1" applyFill="1" applyBorder="1" applyAlignment="1">
      <alignment horizontal="right"/>
    </xf>
    <xf numFmtId="2" fontId="23" fillId="42" borderId="1" xfId="4" applyNumberFormat="1" applyFon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68" fillId="41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2" fillId="41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1" fillId="41" borderId="1" xfId="4" applyNumberFormat="1" applyFont="1" applyFill="1" applyBorder="1" applyAlignment="1">
      <alignment horizontal="right"/>
    </xf>
    <xf numFmtId="2" fontId="62" fillId="41" borderId="1" xfId="4" applyNumberFormat="1" applyFont="1" applyFill="1" applyBorder="1" applyAlignment="1">
      <alignment horizontal="right"/>
    </xf>
    <xf numFmtId="2" fontId="64" fillId="42" borderId="1" xfId="4" applyNumberFormat="1" applyFont="1" applyFill="1" applyBorder="1" applyAlignment="1">
      <alignment horizontal="right"/>
    </xf>
    <xf numFmtId="2" fontId="63" fillId="42" borderId="1" xfId="4" applyNumberFormat="1" applyFont="1" applyFill="1" applyBorder="1" applyAlignment="1">
      <alignment horizontal="right"/>
    </xf>
    <xf numFmtId="2" fontId="65" fillId="43" borderId="1" xfId="4" applyNumberFormat="1" applyFont="1" applyFill="1" applyBorder="1" applyAlignment="1">
      <alignment horizontal="right"/>
    </xf>
    <xf numFmtId="2" fontId="74" fillId="41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1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1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6" borderId="1" xfId="4" applyNumberFormat="1" applyFont="1" applyFill="1" applyBorder="1" applyAlignment="1">
      <alignment horizontal="right"/>
    </xf>
    <xf numFmtId="2" fontId="65" fillId="46" borderId="1" xfId="4" applyNumberFormat="1" applyFont="1" applyFill="1" applyBorder="1" applyAlignment="1">
      <alignment horizontal="right"/>
    </xf>
    <xf numFmtId="2" fontId="75" fillId="42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1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169" fontId="63" fillId="42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1" borderId="1" xfId="4" applyNumberFormat="1" applyFont="1" applyFill="1" applyBorder="1" applyAlignment="1">
      <alignment horizontal="center"/>
    </xf>
    <xf numFmtId="2" fontId="67" fillId="41" borderId="1" xfId="4" applyNumberFormat="1" applyFont="1" applyFill="1" applyBorder="1" applyAlignment="1">
      <alignment horizontal="right"/>
    </xf>
    <xf numFmtId="169" fontId="63" fillId="47" borderId="1" xfId="4" applyNumberFormat="1" applyFont="1" applyFill="1" applyBorder="1" applyAlignment="1">
      <alignment horizontal="center"/>
    </xf>
    <xf numFmtId="2" fontId="65" fillId="48" borderId="1" xfId="4" applyNumberFormat="1" applyFont="1" applyFill="1" applyBorder="1" applyAlignment="1">
      <alignment horizontal="right"/>
    </xf>
    <xf numFmtId="2" fontId="64" fillId="47" borderId="1" xfId="4" applyNumberFormat="1" applyFont="1" applyFill="1" applyBorder="1" applyAlignment="1">
      <alignment horizontal="right"/>
    </xf>
    <xf numFmtId="0" fontId="37" fillId="52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3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3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5" borderId="28" xfId="0" applyFont="1" applyFill="1" applyBorder="1"/>
    <xf numFmtId="175" fontId="81" fillId="55" borderId="28" xfId="0" applyNumberFormat="1" applyFont="1" applyFill="1" applyBorder="1"/>
    <xf numFmtId="175" fontId="81" fillId="55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7" borderId="27" xfId="0" applyFont="1" applyFill="1" applyBorder="1" applyAlignment="1">
      <alignment wrapText="1"/>
    </xf>
    <xf numFmtId="164" fontId="77" fillId="56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8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8" borderId="27" xfId="0" applyNumberFormat="1" applyFont="1" applyFill="1" applyBorder="1"/>
    <xf numFmtId="0" fontId="84" fillId="0" borderId="0" xfId="0" applyFont="1"/>
    <xf numFmtId="0" fontId="77" fillId="59" borderId="27" xfId="0" applyFont="1" applyFill="1" applyBorder="1"/>
    <xf numFmtId="164" fontId="77" fillId="58" borderId="27" xfId="2" applyNumberFormat="1" applyFont="1" applyFill="1" applyBorder="1" applyAlignment="1" applyProtection="1"/>
    <xf numFmtId="0" fontId="81" fillId="55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60" borderId="27" xfId="0" applyFont="1" applyFill="1" applyBorder="1" applyAlignment="1">
      <alignment horizontal="center"/>
    </xf>
    <xf numFmtId="177" fontId="77" fillId="60" borderId="27" xfId="3" applyNumberFormat="1" applyFont="1" applyFill="1" applyBorder="1" applyAlignment="1" applyProtection="1">
      <alignment horizontal="center" wrapText="1"/>
    </xf>
    <xf numFmtId="0" fontId="77" fillId="60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60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60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1" borderId="27" xfId="0" applyFont="1" applyFill="1" applyBorder="1" applyAlignment="1">
      <alignment wrapText="1"/>
    </xf>
    <xf numFmtId="175" fontId="0" fillId="61" borderId="27" xfId="0" applyNumberFormat="1" applyFill="1" applyBorder="1"/>
    <xf numFmtId="175" fontId="0" fillId="61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2" borderId="27" xfId="0" applyNumberFormat="1" applyFont="1" applyFill="1" applyBorder="1" applyAlignment="1">
      <alignment horizontal="center" wrapText="1"/>
    </xf>
    <xf numFmtId="175" fontId="0" fillId="63" borderId="27" xfId="0" applyNumberFormat="1" applyFill="1" applyBorder="1"/>
    <xf numFmtId="175" fontId="84" fillId="63" borderId="27" xfId="0" applyNumberFormat="1" applyFont="1" applyFill="1" applyBorder="1"/>
    <xf numFmtId="0" fontId="77" fillId="63" borderId="27" xfId="0" applyFont="1" applyFill="1" applyBorder="1" applyAlignment="1">
      <alignment wrapText="1"/>
    </xf>
    <xf numFmtId="0" fontId="77" fillId="63" borderId="27" xfId="0" applyFont="1" applyFill="1" applyBorder="1"/>
    <xf numFmtId="0" fontId="84" fillId="63" borderId="27" xfId="0" applyFont="1" applyFill="1" applyBorder="1" applyAlignment="1">
      <alignment wrapText="1"/>
    </xf>
    <xf numFmtId="0" fontId="84" fillId="63" borderId="27" xfId="0" applyFont="1" applyFill="1" applyBorder="1"/>
    <xf numFmtId="0" fontId="86" fillId="61" borderId="27" xfId="0" applyFont="1" applyFill="1" applyBorder="1"/>
    <xf numFmtId="0" fontId="86" fillId="61" borderId="27" xfId="0" applyFont="1" applyFill="1" applyBorder="1" applyAlignment="1">
      <alignment wrapText="1"/>
    </xf>
    <xf numFmtId="175" fontId="86" fillId="61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4" borderId="27" xfId="0" applyNumberFormat="1" applyFont="1" applyFill="1" applyBorder="1"/>
    <xf numFmtId="175" fontId="86" fillId="64" borderId="27" xfId="0" applyNumberFormat="1" applyFont="1" applyFill="1" applyBorder="1"/>
    <xf numFmtId="0" fontId="77" fillId="62" borderId="27" xfId="0" applyFont="1" applyFill="1" applyBorder="1" applyAlignment="1">
      <alignment horizontal="center" wrapText="1"/>
    </xf>
    <xf numFmtId="0" fontId="81" fillId="65" borderId="28" xfId="0" applyFont="1" applyFill="1" applyBorder="1"/>
    <xf numFmtId="175" fontId="81" fillId="65" borderId="28" xfId="0" applyNumberFormat="1" applyFont="1" applyFill="1" applyBorder="1"/>
    <xf numFmtId="175" fontId="81" fillId="65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7" borderId="0" xfId="4" applyNumberFormat="1" applyFont="1" applyFill="1" applyBorder="1" applyAlignment="1">
      <alignment horizontal="center"/>
    </xf>
    <xf numFmtId="2" fontId="63" fillId="47" borderId="0" xfId="4" applyNumberFormat="1" applyFont="1" applyFill="1" applyBorder="1" applyAlignment="1">
      <alignment horizontal="right"/>
    </xf>
    <xf numFmtId="169" fontId="88" fillId="41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6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1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7" borderId="1" xfId="4" applyNumberFormat="1" applyFont="1" applyFill="1" applyBorder="1" applyAlignment="1">
      <alignment horizontal="center"/>
    </xf>
    <xf numFmtId="2" fontId="68" fillId="48" borderId="1" xfId="4" applyNumberFormat="1" applyFont="1" applyFill="1" applyBorder="1" applyAlignment="1">
      <alignment horizontal="right"/>
    </xf>
    <xf numFmtId="169" fontId="73" fillId="41" borderId="1" xfId="4" applyNumberFormat="1" applyFont="1" applyFill="1" applyBorder="1" applyAlignment="1">
      <alignment horizontal="center"/>
    </xf>
    <xf numFmtId="2" fontId="100" fillId="41" borderId="1" xfId="4" applyNumberFormat="1" applyFont="1" applyFill="1" applyBorder="1" applyAlignment="1">
      <alignment horizontal="right"/>
    </xf>
    <xf numFmtId="2" fontId="73" fillId="41" borderId="1" xfId="4" applyNumberFormat="1" applyFont="1" applyFill="1" applyBorder="1" applyAlignment="1">
      <alignment horizontal="right"/>
    </xf>
    <xf numFmtId="169" fontId="23" fillId="41" borderId="1" xfId="4" applyNumberFormat="1" applyFont="1" applyFill="1" applyBorder="1" applyAlignment="1">
      <alignment horizontal="center"/>
    </xf>
    <xf numFmtId="175" fontId="2" fillId="61" borderId="27" xfId="0" applyNumberFormat="1" applyFont="1" applyFill="1" applyBorder="1"/>
    <xf numFmtId="175" fontId="2" fillId="61" borderId="27" xfId="0" applyNumberFormat="1" applyFont="1" applyFill="1" applyBorder="1" applyAlignment="1">
      <alignment horizontal="center"/>
    </xf>
    <xf numFmtId="175" fontId="2" fillId="63" borderId="27" xfId="0" applyNumberFormat="1" applyFont="1" applyFill="1" applyBorder="1"/>
    <xf numFmtId="2" fontId="64" fillId="47" borderId="0" xfId="4" applyNumberFormat="1" applyFont="1" applyFill="1" applyBorder="1" applyAlignment="1">
      <alignment horizontal="right"/>
    </xf>
    <xf numFmtId="169" fontId="88" fillId="41" borderId="1" xfId="4" applyNumberFormat="1" applyFont="1" applyFill="1" applyBorder="1" applyAlignment="1">
      <alignment horizontal="center"/>
    </xf>
    <xf numFmtId="2" fontId="89" fillId="41" borderId="1" xfId="4" applyNumberFormat="1" applyFont="1" applyFill="1" applyBorder="1" applyAlignment="1">
      <alignment horizontal="right"/>
    </xf>
    <xf numFmtId="2" fontId="88" fillId="41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9" fontId="88" fillId="47" borderId="1" xfId="4" applyNumberFormat="1" applyFont="1" applyFill="1" applyBorder="1" applyAlignment="1">
      <alignment horizontal="center"/>
    </xf>
    <xf numFmtId="2" fontId="88" fillId="47" borderId="1" xfId="4" applyNumberFormat="1" applyFont="1" applyFill="1" applyBorder="1" applyAlignment="1">
      <alignment horizontal="right"/>
    </xf>
    <xf numFmtId="2" fontId="63" fillId="47" borderId="1" xfId="4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49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4" borderId="34" xfId="0" applyFont="1" applyFill="1" applyBorder="1" applyAlignment="1">
      <alignment horizontal="center"/>
    </xf>
    <xf numFmtId="0" fontId="10" fillId="54" borderId="30" xfId="0" applyFont="1" applyFill="1" applyBorder="1" applyAlignment="1">
      <alignment horizontal="center"/>
    </xf>
    <xf numFmtId="175" fontId="83" fillId="56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1" borderId="31" xfId="0" applyFont="1" applyFill="1" applyBorder="1" applyAlignment="1">
      <alignment horizontal="center" vertical="top" wrapText="1"/>
    </xf>
    <xf numFmtId="0" fontId="77" fillId="61" borderId="13" xfId="0" applyFont="1" applyFill="1" applyBorder="1" applyAlignment="1">
      <alignment horizontal="center" vertical="top" wrapText="1"/>
    </xf>
    <xf numFmtId="0" fontId="77" fillId="61" borderId="28" xfId="0" applyFont="1" applyFill="1" applyBorder="1" applyAlignment="1">
      <alignment horizontal="center" vertical="top" wrapText="1"/>
    </xf>
    <xf numFmtId="0" fontId="77" fillId="63" borderId="31" xfId="0" applyFont="1" applyFill="1" applyBorder="1" applyAlignment="1">
      <alignment horizontal="center" vertical="top" wrapText="1"/>
    </xf>
    <xf numFmtId="0" fontId="77" fillId="63" borderId="13" xfId="0" applyFont="1" applyFill="1" applyBorder="1" applyAlignment="1">
      <alignment horizontal="center" vertical="top" wrapText="1"/>
    </xf>
    <xf numFmtId="0" fontId="77" fillId="63" borderId="28" xfId="0" applyFont="1" applyFill="1" applyBorder="1" applyAlignment="1">
      <alignment horizontal="center" vertical="top" wrapText="1"/>
    </xf>
    <xf numFmtId="0" fontId="77" fillId="60" borderId="16" xfId="0" applyFont="1" applyFill="1" applyBorder="1" applyAlignment="1">
      <alignment horizontal="center" vertical="top" wrapText="1"/>
    </xf>
    <xf numFmtId="175" fontId="84" fillId="58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8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7"/>
  <sheetViews>
    <sheetView zoomScaleNormal="100" workbookViewId="0">
      <selection activeCell="F5" sqref="F5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62" t="s">
        <v>186</v>
      </c>
      <c r="B1" s="662"/>
      <c r="C1" s="662"/>
      <c r="E1" s="661" t="s">
        <v>184</v>
      </c>
      <c r="F1" s="661"/>
      <c r="G1" s="661"/>
      <c r="H1" s="661"/>
    </row>
    <row r="2" spans="1:21" x14ac:dyDescent="0.25">
      <c r="A2" s="663">
        <v>43671</v>
      </c>
      <c r="B2" s="663"/>
      <c r="C2" s="663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654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60" t="s">
        <v>187</v>
      </c>
      <c r="C5" s="660"/>
      <c r="D5"/>
      <c r="G5" s="660" t="s">
        <v>387</v>
      </c>
      <c r="H5" s="660"/>
      <c r="I5" s="660"/>
      <c r="J5" s="103"/>
      <c r="K5" s="103"/>
      <c r="L5" s="660" t="s">
        <v>189</v>
      </c>
      <c r="M5" s="660"/>
      <c r="N5"/>
      <c r="O5" s="2" t="s">
        <v>392</v>
      </c>
      <c r="S5" s="660" t="s">
        <v>386</v>
      </c>
      <c r="T5" s="660"/>
    </row>
    <row r="6" spans="1:21" x14ac:dyDescent="0.25">
      <c r="A6" s="3">
        <v>1</v>
      </c>
      <c r="B6" s="359">
        <v>102</v>
      </c>
      <c r="C6" s="360" t="s">
        <v>345</v>
      </c>
      <c r="D6" s="360" t="s">
        <v>1</v>
      </c>
      <c r="F6" s="77">
        <v>1</v>
      </c>
      <c r="G6" s="359">
        <v>392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L6/G10</f>
        <v>0.88118811881188119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382</v>
      </c>
      <c r="H7" s="360" t="s">
        <v>199</v>
      </c>
      <c r="I7" s="360" t="s">
        <v>198</v>
      </c>
      <c r="K7" s="77">
        <v>2</v>
      </c>
      <c r="L7" s="359">
        <v>127</v>
      </c>
      <c r="M7" s="360" t="s">
        <v>199</v>
      </c>
      <c r="N7" s="360" t="s">
        <v>198</v>
      </c>
      <c r="O7" s="367">
        <f>L7/G7</f>
        <v>0.33246073298429318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324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0.4306049822064057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45">
        <v>313</v>
      </c>
      <c r="H9" s="622" t="s">
        <v>192</v>
      </c>
      <c r="I9" s="623" t="s">
        <v>62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L9/G9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50">
        <v>303</v>
      </c>
      <c r="H10" s="351" t="s">
        <v>217</v>
      </c>
      <c r="I10" s="352" t="s">
        <v>91</v>
      </c>
      <c r="K10" s="308">
        <v>5</v>
      </c>
      <c r="L10" s="350">
        <v>91</v>
      </c>
      <c r="M10" s="351" t="s">
        <v>219</v>
      </c>
      <c r="N10" s="352" t="s">
        <v>62</v>
      </c>
      <c r="O10" s="357">
        <f>L10/G8</f>
        <v>0.28086419753086422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5">
        <v>6</v>
      </c>
      <c r="G11" s="350">
        <v>295</v>
      </c>
      <c r="H11" s="351" t="s">
        <v>196</v>
      </c>
      <c r="I11" s="352" t="s">
        <v>62</v>
      </c>
      <c r="K11" s="625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5"/>
      <c r="F12" s="625">
        <v>7</v>
      </c>
      <c r="G12" s="353">
        <v>281</v>
      </c>
      <c r="H12" s="351" t="s">
        <v>253</v>
      </c>
      <c r="I12" s="351" t="s">
        <v>63</v>
      </c>
      <c r="K12" s="625">
        <v>7</v>
      </c>
      <c r="L12" s="350">
        <v>85</v>
      </c>
      <c r="M12" s="351" t="s">
        <v>218</v>
      </c>
      <c r="N12" s="352" t="s">
        <v>63</v>
      </c>
      <c r="O12" s="357">
        <f>L12/G13</f>
        <v>0.30357142857142855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6" t="s">
        <v>188</v>
      </c>
      <c r="C13" s="626"/>
      <c r="E13" s="88"/>
      <c r="F13" s="625">
        <v>8</v>
      </c>
      <c r="G13" s="350">
        <v>280</v>
      </c>
      <c r="H13" s="351" t="s">
        <v>218</v>
      </c>
      <c r="I13" s="352" t="s">
        <v>63</v>
      </c>
      <c r="J13" s="88"/>
      <c r="K13" s="625">
        <v>8</v>
      </c>
      <c r="L13" s="350">
        <v>84</v>
      </c>
      <c r="M13" s="351" t="s">
        <v>211</v>
      </c>
      <c r="N13" s="352" t="s">
        <v>62</v>
      </c>
      <c r="O13" s="357">
        <f>L13/G15</f>
        <v>0.3146067415730337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221</v>
      </c>
      <c r="C14" s="360" t="s">
        <v>345</v>
      </c>
      <c r="D14" s="360" t="s">
        <v>1</v>
      </c>
      <c r="F14" s="625">
        <v>9</v>
      </c>
      <c r="G14" s="350">
        <v>272</v>
      </c>
      <c r="H14" s="351" t="s">
        <v>200</v>
      </c>
      <c r="I14" s="352" t="s">
        <v>183</v>
      </c>
      <c r="K14" s="625">
        <v>9</v>
      </c>
      <c r="L14" s="354">
        <v>83</v>
      </c>
      <c r="M14" s="351" t="s">
        <v>210</v>
      </c>
      <c r="N14" s="352" t="s">
        <v>183</v>
      </c>
      <c r="O14" s="357">
        <f>L14/G6</f>
        <v>0.21173469387755103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5">
        <v>10</v>
      </c>
      <c r="G15" s="350">
        <v>267</v>
      </c>
      <c r="H15" s="351" t="s">
        <v>211</v>
      </c>
      <c r="I15" s="352" t="s">
        <v>62</v>
      </c>
      <c r="K15" s="625">
        <v>10</v>
      </c>
      <c r="L15" s="354">
        <v>68</v>
      </c>
      <c r="M15" s="351" t="s">
        <v>200</v>
      </c>
      <c r="N15" s="352" t="s">
        <v>183</v>
      </c>
      <c r="O15" s="357">
        <f>L15/G14</f>
        <v>0.25</v>
      </c>
      <c r="P15" s="351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5">
        <v>11</v>
      </c>
      <c r="G16" s="353">
        <v>241</v>
      </c>
      <c r="H16" s="351" t="s">
        <v>345</v>
      </c>
      <c r="I16" s="351" t="s">
        <v>1</v>
      </c>
      <c r="K16" s="625">
        <v>11</v>
      </c>
      <c r="L16" s="354">
        <v>61</v>
      </c>
      <c r="M16" s="351" t="s">
        <v>196</v>
      </c>
      <c r="N16" s="351" t="s">
        <v>62</v>
      </c>
      <c r="O16" s="357">
        <f>L16/G11</f>
        <v>0.20677966101694914</v>
      </c>
      <c r="P16" s="351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5">
        <v>12</v>
      </c>
      <c r="G17" s="344">
        <v>202</v>
      </c>
      <c r="H17" s="347" t="s">
        <v>191</v>
      </c>
      <c r="I17" s="348" t="s">
        <v>183</v>
      </c>
      <c r="K17" s="625">
        <v>11</v>
      </c>
      <c r="L17" s="350">
        <v>61</v>
      </c>
      <c r="M17" s="351" t="s">
        <v>255</v>
      </c>
      <c r="N17" s="352" t="s">
        <v>91</v>
      </c>
      <c r="O17" s="357">
        <f>L17/G22</f>
        <v>0.48412698412698413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5">
        <v>13</v>
      </c>
      <c r="G18" s="354">
        <v>199</v>
      </c>
      <c r="H18" s="351" t="s">
        <v>89</v>
      </c>
      <c r="I18" s="352" t="s">
        <v>1</v>
      </c>
      <c r="K18" s="625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350" t="s">
        <v>365</v>
      </c>
      <c r="T18" s="351" t="s">
        <v>196</v>
      </c>
      <c r="U18" s="352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5">
        <v>14</v>
      </c>
      <c r="G19" s="344">
        <v>172</v>
      </c>
      <c r="H19" s="347" t="s">
        <v>382</v>
      </c>
      <c r="I19" s="347" t="s">
        <v>2</v>
      </c>
      <c r="K19" s="625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5">
        <v>15</v>
      </c>
      <c r="G20" s="344">
        <v>146</v>
      </c>
      <c r="H20" s="347" t="s">
        <v>87</v>
      </c>
      <c r="I20" s="348" t="s">
        <v>1</v>
      </c>
      <c r="K20" s="625">
        <v>15</v>
      </c>
      <c r="L20" s="344">
        <v>32</v>
      </c>
      <c r="M20" s="347" t="s">
        <v>395</v>
      </c>
      <c r="N20" s="347" t="s">
        <v>64</v>
      </c>
      <c r="O20" s="349">
        <f>L20/G24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5">
        <v>15</v>
      </c>
      <c r="G21" s="344">
        <v>146</v>
      </c>
      <c r="H21" s="347" t="s">
        <v>385</v>
      </c>
      <c r="I21" s="347" t="s">
        <v>64</v>
      </c>
      <c r="K21" s="625">
        <v>16</v>
      </c>
      <c r="L21" s="350">
        <v>27</v>
      </c>
      <c r="M21" s="351" t="s">
        <v>230</v>
      </c>
      <c r="N21" s="351" t="s">
        <v>62</v>
      </c>
      <c r="O21" s="357">
        <f>L21/G23</f>
        <v>0.24545454545454545</v>
      </c>
      <c r="P21" s="351"/>
      <c r="R21" s="81">
        <v>16</v>
      </c>
      <c r="S21" s="350" t="s">
        <v>390</v>
      </c>
      <c r="T21" s="351" t="s">
        <v>200</v>
      </c>
      <c r="U21" s="352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5">
        <v>17</v>
      </c>
      <c r="G22" s="353">
        <v>126</v>
      </c>
      <c r="H22" s="355" t="s">
        <v>294</v>
      </c>
      <c r="I22" s="356" t="s">
        <v>91</v>
      </c>
      <c r="K22" s="625">
        <v>17</v>
      </c>
      <c r="L22" s="350">
        <v>24</v>
      </c>
      <c r="M22" s="351" t="s">
        <v>295</v>
      </c>
      <c r="N22" s="351" t="s">
        <v>2</v>
      </c>
      <c r="O22" s="357">
        <f>L22/G25</f>
        <v>0.26373626373626374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44">
        <v>1</v>
      </c>
      <c r="C23" s="347" t="s">
        <v>88</v>
      </c>
      <c r="D23" s="348" t="s">
        <v>91</v>
      </c>
      <c r="F23" s="625">
        <v>18</v>
      </c>
      <c r="G23" s="353">
        <v>110</v>
      </c>
      <c r="H23" s="351" t="s">
        <v>230</v>
      </c>
      <c r="I23" s="351" t="s">
        <v>62</v>
      </c>
      <c r="K23" s="625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191</v>
      </c>
      <c r="D24" s="347" t="s">
        <v>2</v>
      </c>
      <c r="F24" s="625">
        <v>19</v>
      </c>
      <c r="G24" s="344">
        <v>96</v>
      </c>
      <c r="H24" s="347" t="s">
        <v>395</v>
      </c>
      <c r="I24" s="347" t="s">
        <v>64</v>
      </c>
      <c r="K24" s="625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350" t="s">
        <v>261</v>
      </c>
      <c r="T24" s="351" t="s">
        <v>230</v>
      </c>
      <c r="U24" s="351" t="s">
        <v>62</v>
      </c>
    </row>
    <row r="25" spans="1:21" x14ac:dyDescent="0.25">
      <c r="A25">
        <v>10</v>
      </c>
      <c r="B25" s="344">
        <v>1</v>
      </c>
      <c r="C25" s="347" t="s">
        <v>403</v>
      </c>
      <c r="D25" s="348" t="s">
        <v>2</v>
      </c>
      <c r="F25" s="625">
        <v>20</v>
      </c>
      <c r="G25" s="350">
        <v>91</v>
      </c>
      <c r="H25" s="351" t="s">
        <v>295</v>
      </c>
      <c r="I25" s="351" t="s">
        <v>183</v>
      </c>
      <c r="K25" s="625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20</v>
      </c>
      <c r="S25" s="344" t="s">
        <v>197</v>
      </c>
      <c r="T25" s="347" t="s">
        <v>167</v>
      </c>
      <c r="U25" s="348" t="s">
        <v>91</v>
      </c>
    </row>
    <row r="26" spans="1:21" x14ac:dyDescent="0.25">
      <c r="B26" s="296">
        <f>SUM(B14:B25)</f>
        <v>438</v>
      </c>
      <c r="F26" s="625">
        <v>21</v>
      </c>
      <c r="G26" s="344">
        <v>89</v>
      </c>
      <c r="H26" s="347" t="s">
        <v>201</v>
      </c>
      <c r="I26" s="348" t="s">
        <v>183</v>
      </c>
      <c r="K26" s="625">
        <v>21</v>
      </c>
      <c r="L26" s="354">
        <v>11</v>
      </c>
      <c r="M26" s="351" t="s">
        <v>89</v>
      </c>
      <c r="N26" s="352" t="s">
        <v>1</v>
      </c>
      <c r="O26" s="357">
        <f>L26/G18</f>
        <v>5.5276381909547742E-2</v>
      </c>
      <c r="P26" s="351"/>
      <c r="R26" s="81">
        <v>20</v>
      </c>
      <c r="S26" s="350" t="s">
        <v>197</v>
      </c>
      <c r="T26" s="351" t="s">
        <v>191</v>
      </c>
      <c r="U26" s="352" t="s">
        <v>2</v>
      </c>
    </row>
    <row r="27" spans="1:21" x14ac:dyDescent="0.25">
      <c r="B27" s="625"/>
      <c r="F27" s="625">
        <v>22</v>
      </c>
      <c r="G27" s="344">
        <v>55</v>
      </c>
      <c r="H27" s="347" t="s">
        <v>88</v>
      </c>
      <c r="I27" s="348" t="s">
        <v>91</v>
      </c>
      <c r="K27" s="625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20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5"/>
      <c r="F28" s="642">
        <v>23</v>
      </c>
      <c r="G28" s="344">
        <v>38</v>
      </c>
      <c r="H28" s="347" t="s">
        <v>83</v>
      </c>
      <c r="I28" s="348" t="s">
        <v>2</v>
      </c>
      <c r="K28" s="625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44" t="s">
        <v>384</v>
      </c>
      <c r="T28" s="347" t="s">
        <v>347</v>
      </c>
      <c r="U28" s="347" t="s">
        <v>64</v>
      </c>
    </row>
    <row r="29" spans="1:21" x14ac:dyDescent="0.25">
      <c r="B29" s="625"/>
      <c r="F29" s="642">
        <v>24</v>
      </c>
      <c r="G29" s="344">
        <v>34</v>
      </c>
      <c r="H29" s="347" t="s">
        <v>85</v>
      </c>
      <c r="I29" s="348" t="s">
        <v>260</v>
      </c>
      <c r="K29" s="625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24</v>
      </c>
      <c r="S29" s="344" t="s">
        <v>229</v>
      </c>
      <c r="T29" s="347" t="s">
        <v>254</v>
      </c>
      <c r="U29" s="348" t="s">
        <v>91</v>
      </c>
    </row>
    <row r="30" spans="1:21" x14ac:dyDescent="0.25">
      <c r="B30" s="625"/>
      <c r="F30" s="642">
        <v>25</v>
      </c>
      <c r="G30" s="344">
        <v>32</v>
      </c>
      <c r="H30" s="347" t="s">
        <v>248</v>
      </c>
      <c r="I30" s="348" t="s">
        <v>64</v>
      </c>
      <c r="K30" s="625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24</v>
      </c>
      <c r="S30" s="344" t="s">
        <v>229</v>
      </c>
      <c r="T30" s="347" t="s">
        <v>248</v>
      </c>
      <c r="U30" s="347" t="s">
        <v>91</v>
      </c>
    </row>
    <row r="31" spans="1:21" x14ac:dyDescent="0.25">
      <c r="B31" s="625"/>
      <c r="G31"/>
      <c r="K31" s="625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/>
    </row>
    <row r="32" spans="1:21" x14ac:dyDescent="0.25">
      <c r="B32" s="625"/>
      <c r="G32"/>
      <c r="K32" s="625">
        <v>27</v>
      </c>
      <c r="L32" s="344">
        <v>6</v>
      </c>
      <c r="M32" s="347" t="s">
        <v>87</v>
      </c>
      <c r="N32" s="348" t="s">
        <v>1</v>
      </c>
      <c r="O32" s="349"/>
      <c r="P32" s="347"/>
    </row>
    <row r="33" spans="2:16" x14ac:dyDescent="0.25">
      <c r="B33" s="625"/>
      <c r="G33"/>
      <c r="K33" s="625">
        <v>28</v>
      </c>
      <c r="L33" s="344">
        <v>3</v>
      </c>
      <c r="M33" s="347" t="s">
        <v>347</v>
      </c>
      <c r="N33" s="347" t="s">
        <v>64</v>
      </c>
      <c r="O33" s="349"/>
      <c r="P33" s="347"/>
    </row>
    <row r="34" spans="2:16" x14ac:dyDescent="0.25">
      <c r="B34" s="625"/>
      <c r="G34"/>
      <c r="K34" s="625">
        <v>28</v>
      </c>
      <c r="L34" s="344">
        <v>3</v>
      </c>
      <c r="M34" s="347" t="s">
        <v>297</v>
      </c>
      <c r="N34" s="347" t="s">
        <v>62</v>
      </c>
      <c r="O34" s="349"/>
      <c r="P34" s="347"/>
    </row>
    <row r="35" spans="2:16" x14ac:dyDescent="0.25">
      <c r="B35" s="625"/>
      <c r="G35"/>
      <c r="K35" s="625">
        <v>28</v>
      </c>
      <c r="L35" s="344">
        <v>3</v>
      </c>
      <c r="M35" s="347" t="s">
        <v>403</v>
      </c>
      <c r="N35" s="347" t="s">
        <v>183</v>
      </c>
      <c r="O35" s="349"/>
      <c r="P35" s="347">
        <v>49</v>
      </c>
    </row>
    <row r="36" spans="2:16" x14ac:dyDescent="0.25">
      <c r="B36" s="625"/>
      <c r="G36"/>
      <c r="K36" s="625">
        <v>31</v>
      </c>
      <c r="L36" s="353">
        <v>2</v>
      </c>
      <c r="M36" s="351" t="s">
        <v>345</v>
      </c>
      <c r="N36" s="355" t="s">
        <v>1</v>
      </c>
      <c r="O36" s="357">
        <f>L36/G16</f>
        <v>8.2987551867219917E-3</v>
      </c>
      <c r="P36" s="355">
        <v>3</v>
      </c>
    </row>
    <row r="37" spans="2:16" x14ac:dyDescent="0.25">
      <c r="B37" s="642"/>
      <c r="G37"/>
      <c r="K37" s="642">
        <v>32</v>
      </c>
      <c r="L37" s="353">
        <v>2</v>
      </c>
      <c r="M37" s="351" t="s">
        <v>661</v>
      </c>
      <c r="N37" s="355" t="s">
        <v>62</v>
      </c>
      <c r="O37" s="357"/>
      <c r="P37" s="355"/>
    </row>
    <row r="38" spans="2:16" x14ac:dyDescent="0.25">
      <c r="B38" s="642"/>
      <c r="G38"/>
      <c r="K38" s="642">
        <v>33</v>
      </c>
      <c r="L38" s="353">
        <v>2</v>
      </c>
      <c r="M38" s="351" t="s">
        <v>663</v>
      </c>
      <c r="N38" s="355" t="s">
        <v>62</v>
      </c>
      <c r="O38" s="357"/>
      <c r="P38" s="355"/>
    </row>
    <row r="39" spans="2:16" x14ac:dyDescent="0.25">
      <c r="B39" s="642"/>
      <c r="G39"/>
      <c r="K39" s="642">
        <v>34</v>
      </c>
      <c r="L39" s="353">
        <v>2</v>
      </c>
      <c r="M39" s="351" t="s">
        <v>664</v>
      </c>
      <c r="N39" s="355" t="s">
        <v>62</v>
      </c>
      <c r="O39" s="357"/>
      <c r="P39" s="355"/>
    </row>
    <row r="40" spans="2:16" x14ac:dyDescent="0.25">
      <c r="B40" s="642"/>
      <c r="G40"/>
      <c r="K40" s="642">
        <v>35</v>
      </c>
      <c r="L40" s="353">
        <v>2</v>
      </c>
      <c r="M40" s="351" t="s">
        <v>668</v>
      </c>
      <c r="N40" s="355" t="s">
        <v>63</v>
      </c>
      <c r="O40" s="357"/>
      <c r="P40" s="355"/>
    </row>
    <row r="41" spans="2:16" x14ac:dyDescent="0.25">
      <c r="B41" s="642"/>
      <c r="G41"/>
      <c r="K41" s="642">
        <v>36</v>
      </c>
      <c r="L41" s="353">
        <v>1</v>
      </c>
      <c r="M41" s="351" t="s">
        <v>666</v>
      </c>
      <c r="N41" s="355" t="s">
        <v>62</v>
      </c>
      <c r="O41" s="357"/>
      <c r="P41" s="355"/>
    </row>
    <row r="42" spans="2:16" x14ac:dyDescent="0.25">
      <c r="B42" s="642"/>
      <c r="G42"/>
      <c r="K42" s="642">
        <v>37</v>
      </c>
      <c r="L42" s="353">
        <v>0</v>
      </c>
      <c r="M42" s="351" t="s">
        <v>667</v>
      </c>
      <c r="N42" s="355" t="s">
        <v>62</v>
      </c>
      <c r="O42" s="357"/>
      <c r="P42" s="355"/>
    </row>
    <row r="43" spans="2:16" x14ac:dyDescent="0.25">
      <c r="B43" s="642"/>
      <c r="G43"/>
      <c r="K43" s="642">
        <v>38</v>
      </c>
      <c r="L43" s="353">
        <v>0</v>
      </c>
      <c r="M43" s="351" t="s">
        <v>665</v>
      </c>
      <c r="N43" s="355" t="s">
        <v>63</v>
      </c>
      <c r="O43" s="357"/>
      <c r="P43" s="355"/>
    </row>
    <row r="44" spans="2:16" x14ac:dyDescent="0.25">
      <c r="B44" s="642"/>
      <c r="G44"/>
      <c r="K44" s="642">
        <v>39</v>
      </c>
      <c r="L44" s="353">
        <v>0</v>
      </c>
      <c r="M44" s="351" t="s">
        <v>662</v>
      </c>
      <c r="N44" s="355" t="s">
        <v>62</v>
      </c>
      <c r="O44" s="357"/>
      <c r="P44" s="355"/>
    </row>
    <row r="45" spans="2:16" x14ac:dyDescent="0.25">
      <c r="B45" s="642"/>
      <c r="G45"/>
      <c r="K45" s="642">
        <v>40</v>
      </c>
      <c r="L45" s="353">
        <v>0</v>
      </c>
      <c r="M45" s="351" t="s">
        <v>660</v>
      </c>
      <c r="N45" s="355" t="s">
        <v>63</v>
      </c>
      <c r="O45" s="357"/>
      <c r="P45" s="355"/>
    </row>
    <row r="46" spans="2:16" x14ac:dyDescent="0.25">
      <c r="B46" s="642"/>
      <c r="G46"/>
      <c r="K46" s="642">
        <v>41</v>
      </c>
      <c r="L46" s="353">
        <v>0</v>
      </c>
      <c r="M46" s="351" t="s">
        <v>659</v>
      </c>
      <c r="N46" s="355" t="s">
        <v>62</v>
      </c>
      <c r="O46" s="357"/>
      <c r="P46" s="355"/>
    </row>
    <row r="47" spans="2:16" x14ac:dyDescent="0.25">
      <c r="B47" s="625"/>
      <c r="G47"/>
      <c r="L47" s="297">
        <f>SUM(L6:L37)</f>
        <v>1529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M38" sqref="M38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84942.857142857145</v>
      </c>
      <c r="S2" s="63">
        <v>2068800</v>
      </c>
      <c r="T2" s="63">
        <f ca="1">S2+Q2+P2+R2</f>
        <v>2932385.7142857146</v>
      </c>
      <c r="U2" s="67">
        <f ca="1">T2/((O2-N2)/112)</f>
        <v>572172.82229965157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60342.857142857145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12.571428571428571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43713</v>
      </c>
    </row>
    <row r="8" spans="1:22" x14ac:dyDescent="0.25">
      <c r="A8" s="53">
        <v>41757</v>
      </c>
    </row>
    <row r="9" spans="1:22" x14ac:dyDescent="0.25">
      <c r="A9" s="55">
        <f ca="1">A7-A8</f>
        <v>1956</v>
      </c>
    </row>
    <row r="10" spans="1:22" x14ac:dyDescent="0.25">
      <c r="A10" s="149">
        <f ca="1">A9/112</f>
        <v>17.464285714285715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43713</v>
      </c>
      <c r="P13" s="267">
        <v>1800000</v>
      </c>
      <c r="Q13" s="63">
        <v>372</v>
      </c>
      <c r="R13" s="63">
        <f t="shared" ref="R13" ca="1" si="4">((TODAY()-N13)/7)*L13</f>
        <v>99360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605686.53913043474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43713</v>
      </c>
      <c r="B18" s="87"/>
      <c r="C18">
        <v>400</v>
      </c>
      <c r="D18">
        <v>1</v>
      </c>
    </row>
    <row r="19" spans="1:22" x14ac:dyDescent="0.25">
      <c r="A19">
        <f ca="1">A18-A17</f>
        <v>805</v>
      </c>
      <c r="C19">
        <f>C18-C17</f>
        <v>288</v>
      </c>
      <c r="D19" s="254">
        <f ca="1">(A19-C17)/C19</f>
        <v>2.40625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696" t="s">
        <v>108</v>
      </c>
      <c r="B28" s="696"/>
      <c r="C28" s="696"/>
      <c r="D28" s="696"/>
    </row>
    <row r="29" spans="1:22" x14ac:dyDescent="0.25">
      <c r="A29" s="697" t="s">
        <v>92</v>
      </c>
      <c r="B29" s="698" t="s">
        <v>109</v>
      </c>
      <c r="C29" s="698" t="s">
        <v>110</v>
      </c>
      <c r="D29" s="698" t="s">
        <v>111</v>
      </c>
    </row>
    <row r="30" spans="1:22" x14ac:dyDescent="0.25">
      <c r="A30" s="697"/>
      <c r="B30" s="698"/>
      <c r="C30" s="698"/>
      <c r="D30" s="698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699" t="s">
        <v>278</v>
      </c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43713</v>
      </c>
      <c r="D2" s="664">
        <v>41471</v>
      </c>
      <c r="E2" s="664"/>
      <c r="F2" s="664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00">
        <v>451</v>
      </c>
      <c r="AI3" s="701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35</v>
      </c>
      <c r="E4" s="138">
        <f ca="1">Plantilla!F4</f>
        <v>75</v>
      </c>
      <c r="F4" s="134"/>
      <c r="G4" s="327">
        <f>Plantilla!H4</f>
        <v>6</v>
      </c>
      <c r="H4" s="102">
        <f>Plantilla!I4</f>
        <v>24</v>
      </c>
      <c r="I4" s="184">
        <f>Plantilla!X4</f>
        <v>16.666666666666668</v>
      </c>
      <c r="J4" s="184">
        <f>Plantilla!Y4</f>
        <v>11.95</v>
      </c>
      <c r="K4" s="184">
        <f>Plantilla!Z4</f>
        <v>2.0699999999999985</v>
      </c>
      <c r="L4" s="184">
        <f>Plantilla!AA4</f>
        <v>2.149999999999999</v>
      </c>
      <c r="M4" s="184">
        <f>Plantilla!AB4</f>
        <v>0.95</v>
      </c>
      <c r="N4" s="184">
        <f>Plantilla!AC4</f>
        <v>0</v>
      </c>
      <c r="O4" s="184">
        <f>Plantilla!AD4</f>
        <v>18.2</v>
      </c>
      <c r="P4" s="146">
        <f t="shared" ref="P4:P5" si="3">D4</f>
        <v>35</v>
      </c>
      <c r="Q4" s="147">
        <f t="shared" ref="Q4:Q5" ca="1" si="4">E4+7</f>
        <v>82</v>
      </c>
      <c r="R4" s="92">
        <f t="shared" ref="R4:R27" si="5">H4+$R$2</f>
        <v>24</v>
      </c>
      <c r="S4" s="200">
        <f>I4</f>
        <v>16.666666666666668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2.149999999999999</v>
      </c>
      <c r="W4" s="200">
        <f t="shared" si="6"/>
        <v>0.95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39</v>
      </c>
      <c r="E5" s="138">
        <f ca="1">Plantilla!F5</f>
        <v>84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6.95</v>
      </c>
      <c r="J5" s="184">
        <f>Plantilla!Y5</f>
        <v>6.95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39</v>
      </c>
      <c r="Q5" s="147">
        <f t="shared" ca="1" si="4"/>
        <v>91</v>
      </c>
      <c r="R5" s="92">
        <f t="shared" si="5"/>
        <v>8.4</v>
      </c>
      <c r="S5" s="200">
        <f t="shared" ref="S5:S12" si="14">I5</f>
        <v>6.95</v>
      </c>
      <c r="T5" s="200">
        <f t="shared" ref="T5:T12" si="15">J5</f>
        <v>6.95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36</v>
      </c>
      <c r="E6" s="138">
        <f ca="1">Plantilla!F6</f>
        <v>86</v>
      </c>
      <c r="F6" s="134"/>
      <c r="G6" s="327">
        <f>Plantilla!H6</f>
        <v>4</v>
      </c>
      <c r="H6" s="102">
        <f>Plantilla!I6</f>
        <v>18.3</v>
      </c>
      <c r="I6" s="184">
        <f>Plantilla!X6</f>
        <v>0</v>
      </c>
      <c r="J6" s="184">
        <f>Plantilla!Y6</f>
        <v>11.95</v>
      </c>
      <c r="K6" s="184">
        <f>Plantilla!Z6</f>
        <v>11.75</v>
      </c>
      <c r="L6" s="184">
        <f>Plantilla!AA6</f>
        <v>8.9499999999999993</v>
      </c>
      <c r="M6" s="184">
        <f>Plantilla!AB6</f>
        <v>7.95</v>
      </c>
      <c r="N6" s="184">
        <f>Plantilla!AC6</f>
        <v>0.95</v>
      </c>
      <c r="O6" s="184">
        <f>Plantilla!AD6</f>
        <v>17.177777777777774</v>
      </c>
      <c r="P6" s="146">
        <f t="shared" ref="P6:P27" si="21">D6</f>
        <v>36</v>
      </c>
      <c r="Q6" s="147">
        <f t="shared" ref="Q6:Q27" ca="1" si="22">E6+7</f>
        <v>93</v>
      </c>
      <c r="R6" s="92">
        <f t="shared" si="5"/>
        <v>18.3</v>
      </c>
      <c r="S6" s="200">
        <f t="shared" si="14"/>
        <v>0</v>
      </c>
      <c r="T6" s="200">
        <f t="shared" si="15"/>
        <v>11.95</v>
      </c>
      <c r="U6" s="200">
        <f t="shared" si="16"/>
        <v>11.75</v>
      </c>
      <c r="V6" s="200">
        <f t="shared" si="17"/>
        <v>8.9499999999999993</v>
      </c>
      <c r="W6" s="200">
        <f t="shared" si="18"/>
        <v>7.95</v>
      </c>
      <c r="X6" s="200">
        <f t="shared" si="19"/>
        <v>0.95</v>
      </c>
      <c r="Y6" s="200">
        <f t="shared" si="20"/>
        <v>17.177777777777774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32</v>
      </c>
      <c r="E8" s="138">
        <f ca="1">Plantilla!F7</f>
        <v>94</v>
      </c>
      <c r="F8" s="134"/>
      <c r="G8" s="327">
        <f>Plantilla!H7</f>
        <v>4</v>
      </c>
      <c r="H8" s="102">
        <f>Plantilla!I7</f>
        <v>6.4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6.1599999999999984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32</v>
      </c>
      <c r="Q8" s="147">
        <f t="shared" ca="1" si="22"/>
        <v>101</v>
      </c>
      <c r="R8" s="92">
        <f t="shared" si="5"/>
        <v>6.4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6.1599999999999984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48</v>
      </c>
      <c r="F9" s="134" t="str">
        <f>Plantilla!G8</f>
        <v>IMP</v>
      </c>
      <c r="G9" s="327">
        <f>Plantilla!H8</f>
        <v>0</v>
      </c>
      <c r="H9" s="102">
        <f>Plantilla!I8</f>
        <v>17.399999999999999</v>
      </c>
      <c r="I9" s="184">
        <f>Plantilla!X8</f>
        <v>0</v>
      </c>
      <c r="J9" s="184">
        <f>Plantilla!Y8</f>
        <v>11.95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55</v>
      </c>
      <c r="R9" s="92">
        <f t="shared" si="5"/>
        <v>17.399999999999999</v>
      </c>
      <c r="S9" s="200">
        <f t="shared" si="14"/>
        <v>0</v>
      </c>
      <c r="T9" s="200">
        <f t="shared" si="15"/>
        <v>11.95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7.9999999999999982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7</v>
      </c>
      <c r="F10" s="134" t="str">
        <f>Plantilla!G9</f>
        <v>TEC</v>
      </c>
      <c r="G10" s="327">
        <f>Plantilla!H9</f>
        <v>3</v>
      </c>
      <c r="H10" s="102">
        <f>Plantilla!I9</f>
        <v>15</v>
      </c>
      <c r="I10" s="184">
        <f>Plantilla!X9</f>
        <v>0</v>
      </c>
      <c r="J10" s="184">
        <f>Plantilla!Y9</f>
        <v>9.3036666666666648</v>
      </c>
      <c r="K10" s="184">
        <f>Plantilla!Z9</f>
        <v>14</v>
      </c>
      <c r="L10" s="184">
        <f>Plantilla!AA9</f>
        <v>12.945</v>
      </c>
      <c r="M10" s="184">
        <f>Plantilla!AB9</f>
        <v>9.9499999999999993</v>
      </c>
      <c r="N10" s="184">
        <f>Plantilla!AC9</f>
        <v>3.95</v>
      </c>
      <c r="O10" s="184">
        <f>Plantilla!AD9</f>
        <v>16</v>
      </c>
      <c r="P10" s="146">
        <f t="shared" si="21"/>
        <v>35</v>
      </c>
      <c r="Q10" s="147">
        <f t="shared" ca="1" si="22"/>
        <v>14</v>
      </c>
      <c r="R10" s="92">
        <f t="shared" si="5"/>
        <v>15</v>
      </c>
      <c r="S10" s="200">
        <f t="shared" si="14"/>
        <v>0</v>
      </c>
      <c r="T10" s="200">
        <f t="shared" si="15"/>
        <v>9.3036666666666648</v>
      </c>
      <c r="U10" s="200">
        <f t="shared" si="16"/>
        <v>14</v>
      </c>
      <c r="V10" s="200">
        <f t="shared" si="17"/>
        <v>12.945</v>
      </c>
      <c r="W10" s="200">
        <f t="shared" si="18"/>
        <v>9.9499999999999993</v>
      </c>
      <c r="X10" s="200">
        <f t="shared" si="19"/>
        <v>3.95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652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7.5520000000000014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7.9999999999999982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str">
        <f>Plantilla!A10</f>
        <v>#23</v>
      </c>
      <c r="B12" s="131" t="str">
        <f>Plantilla!B10</f>
        <v>DEF</v>
      </c>
      <c r="C12" s="90" t="str">
        <f>Plantilla!D10</f>
        <v>W. Gelifini</v>
      </c>
      <c r="D12" s="133">
        <f>Plantilla!E10</f>
        <v>34</v>
      </c>
      <c r="E12" s="138">
        <f ca="1">Plantilla!F10</f>
        <v>72</v>
      </c>
      <c r="F12" s="134"/>
      <c r="G12" s="327">
        <f>Plantilla!H10</f>
        <v>2</v>
      </c>
      <c r="H12" s="102">
        <f>Plantilla!I10</f>
        <v>4.5</v>
      </c>
      <c r="I12" s="184">
        <f>Plantilla!X10</f>
        <v>0</v>
      </c>
      <c r="J12" s="184">
        <f>Plantilla!Y10</f>
        <v>5.6515555555555519</v>
      </c>
      <c r="K12" s="184">
        <f>Plantilla!Z10</f>
        <v>9</v>
      </c>
      <c r="L12" s="184">
        <f>Plantilla!AA10</f>
        <v>6.95</v>
      </c>
      <c r="M12" s="184">
        <f>Plantilla!AB10</f>
        <v>8.9499999999999993</v>
      </c>
      <c r="N12" s="184">
        <f>Plantilla!AC10</f>
        <v>2.95</v>
      </c>
      <c r="O12" s="184">
        <f>Plantilla!AD10</f>
        <v>12.847222222222223</v>
      </c>
      <c r="P12" s="146">
        <f t="shared" si="21"/>
        <v>34</v>
      </c>
      <c r="Q12" s="147">
        <f t="shared" ca="1" si="22"/>
        <v>79</v>
      </c>
      <c r="R12" s="92">
        <f t="shared" si="5"/>
        <v>4.5</v>
      </c>
      <c r="S12" s="200">
        <f t="shared" si="14"/>
        <v>0</v>
      </c>
      <c r="T12" s="200">
        <f t="shared" si="15"/>
        <v>5.6515555555555519</v>
      </c>
      <c r="U12" s="200">
        <f t="shared" si="16"/>
        <v>9</v>
      </c>
      <c r="V12" s="200">
        <f t="shared" si="17"/>
        <v>6.95</v>
      </c>
      <c r="W12" s="200">
        <f t="shared" si="18"/>
        <v>8.9499999999999993</v>
      </c>
      <c r="X12" s="200">
        <f t="shared" si="19"/>
        <v>2.95</v>
      </c>
      <c r="Y12" s="200">
        <f t="shared" si="20"/>
        <v>12.847222222222223</v>
      </c>
      <c r="Z12" s="156">
        <f t="shared" si="7"/>
        <v>0</v>
      </c>
      <c r="AA12" s="156">
        <f t="shared" si="8"/>
        <v>0</v>
      </c>
      <c r="AB12" s="156">
        <f t="shared" si="9"/>
        <v>0</v>
      </c>
      <c r="AC12" s="156">
        <f t="shared" si="10"/>
        <v>0</v>
      </c>
      <c r="AD12" s="156">
        <f t="shared" si="11"/>
        <v>0</v>
      </c>
      <c r="AE12" s="156">
        <f t="shared" si="12"/>
        <v>0</v>
      </c>
      <c r="AF12" s="156">
        <f t="shared" si="13"/>
        <v>0</v>
      </c>
      <c r="AH12" s="628" t="s">
        <v>653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6.3100000000000005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Plantilla!A11</f>
        <v>#17</v>
      </c>
      <c r="B13" s="131" t="str">
        <f>Plantilla!B11</f>
        <v>MED</v>
      </c>
      <c r="C13" s="90" t="str">
        <f>Plantilla!D11</f>
        <v>I. Vanags</v>
      </c>
      <c r="D13" s="133">
        <f>Plantilla!E11</f>
        <v>19</v>
      </c>
      <c r="E13" s="138">
        <f ca="1">Plantilla!F11</f>
        <v>30</v>
      </c>
      <c r="F13" s="134" t="str">
        <f>Plantilla!G11</f>
        <v>CAB</v>
      </c>
      <c r="G13" s="327">
        <f>Plantilla!H11</f>
        <v>4</v>
      </c>
      <c r="H13" s="102">
        <f>Plantilla!I11</f>
        <v>0.5</v>
      </c>
      <c r="I13" s="184">
        <f>Plantilla!X11</f>
        <v>0</v>
      </c>
      <c r="J13" s="184">
        <f>Plantilla!Y11</f>
        <v>4</v>
      </c>
      <c r="K13" s="184">
        <f>Plantilla!Z11</f>
        <v>9.4</v>
      </c>
      <c r="L13" s="184">
        <f>Plantilla!AA11</f>
        <v>3</v>
      </c>
      <c r="M13" s="184">
        <f>Plantilla!AB11</f>
        <v>4</v>
      </c>
      <c r="N13" s="184">
        <f>Plantilla!AC11</f>
        <v>7</v>
      </c>
      <c r="O13" s="184">
        <f>Plantilla!AD11</f>
        <v>6</v>
      </c>
      <c r="P13" s="146">
        <f t="shared" si="21"/>
        <v>19</v>
      </c>
      <c r="Q13" s="147">
        <f t="shared" ca="1" si="22"/>
        <v>37</v>
      </c>
      <c r="R13" s="92">
        <f t="shared" si="5"/>
        <v>0.5</v>
      </c>
      <c r="S13" s="200">
        <f t="shared" ref="S13:S23" si="23">I13</f>
        <v>0</v>
      </c>
      <c r="T13" s="200">
        <f>J13+T$2/4</f>
        <v>4</v>
      </c>
      <c r="U13" s="200">
        <f>K13+U$2/5</f>
        <v>17.399999999999999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7.9999999999999982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28" t="s">
        <v>653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5.0479999999999992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Plantilla!A12</f>
        <v>#8</v>
      </c>
      <c r="B14" s="131" t="str">
        <f>Plantilla!B12</f>
        <v>MED</v>
      </c>
      <c r="C14" s="90" t="str">
        <f>Plantilla!D12</f>
        <v>I. Stone</v>
      </c>
      <c r="D14" s="133">
        <f>Plantilla!E12</f>
        <v>18</v>
      </c>
      <c r="E14" s="138">
        <f ca="1">Plantilla!F12</f>
        <v>85</v>
      </c>
      <c r="F14" s="134" t="str">
        <f>Plantilla!G12</f>
        <v>RAP</v>
      </c>
      <c r="G14" s="327">
        <f>Plantilla!H12</f>
        <v>6</v>
      </c>
      <c r="H14" s="102">
        <f>Plantilla!I12</f>
        <v>1.4</v>
      </c>
      <c r="I14" s="184">
        <f>Plantilla!X12</f>
        <v>0</v>
      </c>
      <c r="J14" s="184">
        <f>Plantilla!Y12</f>
        <v>3</v>
      </c>
      <c r="K14" s="184">
        <f>Plantilla!Z12</f>
        <v>8.1999999999999993</v>
      </c>
      <c r="L14" s="184">
        <f>Plantilla!AA12</f>
        <v>2</v>
      </c>
      <c r="M14" s="184">
        <f>Plantilla!AB12</f>
        <v>6</v>
      </c>
      <c r="N14" s="184">
        <f>Plantilla!AC12</f>
        <v>9</v>
      </c>
      <c r="O14" s="184">
        <f>Plantilla!AD12</f>
        <v>2</v>
      </c>
      <c r="P14" s="146">
        <f t="shared" si="21"/>
        <v>18</v>
      </c>
      <c r="Q14" s="147">
        <f t="shared" ca="1" si="22"/>
        <v>92</v>
      </c>
      <c r="R14" s="92">
        <f t="shared" si="5"/>
        <v>1.4</v>
      </c>
      <c r="S14" s="200">
        <f t="shared" si="23"/>
        <v>0</v>
      </c>
      <c r="T14" s="200">
        <f>J14+T$2/3</f>
        <v>3</v>
      </c>
      <c r="U14" s="200">
        <f t="shared" ref="U14" si="26">K14+U$2/4</f>
        <v>18.2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10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28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>
        <f>(AD12*0.142)+(AC12*0.221)+(AE12*0.26)</f>
        <v>0</v>
      </c>
      <c r="AO14" s="162">
        <f>AN14</f>
        <v>0</v>
      </c>
      <c r="AP14" s="162">
        <f>(AD12*0.369)+(AE12*1)</f>
        <v>0</v>
      </c>
      <c r="AQ14" s="167">
        <f>(0.5*AE12+0.3*AF12)/10</f>
        <v>0</v>
      </c>
      <c r="AR14" s="167">
        <f>(0.4*AA12+0.3*AF12)/10</f>
        <v>0</v>
      </c>
      <c r="AS14" s="165">
        <v>0</v>
      </c>
      <c r="AT14" s="165">
        <v>0</v>
      </c>
    </row>
    <row r="15" spans="1:53" s="75" customFormat="1" x14ac:dyDescent="0.25">
      <c r="A15" s="131" t="str">
        <f>Plantilla!A13</f>
        <v>#14</v>
      </c>
      <c r="B15" s="131" t="str">
        <f>Plantilla!B13</f>
        <v>MED</v>
      </c>
      <c r="C15" s="90" t="str">
        <f>Plantilla!D13</f>
        <v>G. Piscaer</v>
      </c>
      <c r="D15" s="133">
        <f>Plantilla!E13</f>
        <v>19</v>
      </c>
      <c r="E15" s="138">
        <f ca="1">Plantilla!F13</f>
        <v>46</v>
      </c>
      <c r="F15" s="134" t="str">
        <f>Plantilla!G13</f>
        <v>IMP</v>
      </c>
      <c r="G15" s="327">
        <f>Plantilla!H13</f>
        <v>1</v>
      </c>
      <c r="H15" s="102">
        <f>Plantilla!I13</f>
        <v>2</v>
      </c>
      <c r="I15" s="184">
        <f>Plantilla!X13</f>
        <v>0</v>
      </c>
      <c r="J15" s="184">
        <f>Plantilla!Y13</f>
        <v>4</v>
      </c>
      <c r="K15" s="184">
        <f>Plantilla!Z13</f>
        <v>10.166666666666666</v>
      </c>
      <c r="L15" s="184">
        <f>Plantilla!AA13</f>
        <v>3</v>
      </c>
      <c r="M15" s="184">
        <f>Plantilla!AB13</f>
        <v>2</v>
      </c>
      <c r="N15" s="184">
        <f>Plantilla!AC13</f>
        <v>8</v>
      </c>
      <c r="O15" s="184">
        <f>Plantilla!AD13</f>
        <v>0</v>
      </c>
      <c r="P15" s="146">
        <f t="shared" si="21"/>
        <v>19</v>
      </c>
      <c r="Q15" s="147">
        <f t="shared" ca="1" si="22"/>
        <v>53</v>
      </c>
      <c r="R15" s="92">
        <f t="shared" si="5"/>
        <v>2</v>
      </c>
      <c r="S15" s="200">
        <f t="shared" si="23"/>
        <v>0</v>
      </c>
      <c r="T15" s="200">
        <f>J15+T$2/4</f>
        <v>4</v>
      </c>
      <c r="U15" s="200">
        <f>K15+U$2/5</f>
        <v>18.166666666666664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7.9999999999999982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Plantilla!A14</f>
        <v>#3</v>
      </c>
      <c r="B16" s="131" t="str">
        <f>Plantilla!B14</f>
        <v>MED</v>
      </c>
      <c r="C16" s="90" t="str">
        <f>Plantilla!D14</f>
        <v>M. Bondarewski</v>
      </c>
      <c r="D16" s="133">
        <f>Plantilla!E14</f>
        <v>19</v>
      </c>
      <c r="E16" s="138">
        <f ca="1">Plantilla!F14</f>
        <v>46</v>
      </c>
      <c r="F16" s="134" t="str">
        <f>Plantilla!G14</f>
        <v>RAP</v>
      </c>
      <c r="G16" s="327">
        <f>Plantilla!H14</f>
        <v>1</v>
      </c>
      <c r="H16" s="102">
        <f>Plantilla!I14</f>
        <v>2</v>
      </c>
      <c r="I16" s="184">
        <f>Plantilla!X14</f>
        <v>0</v>
      </c>
      <c r="J16" s="184">
        <f>Plantilla!Y14</f>
        <v>2</v>
      </c>
      <c r="K16" s="184">
        <f>Plantilla!Z14</f>
        <v>10.166666666666666</v>
      </c>
      <c r="L16" s="184">
        <f>Plantilla!AA14</f>
        <v>5</v>
      </c>
      <c r="M16" s="184">
        <f>Plantilla!AB14</f>
        <v>4</v>
      </c>
      <c r="N16" s="184">
        <f>Plantilla!AC14</f>
        <v>8</v>
      </c>
      <c r="O16" s="184">
        <f>Plantilla!AD14</f>
        <v>6</v>
      </c>
      <c r="P16" s="146">
        <f t="shared" si="21"/>
        <v>19</v>
      </c>
      <c r="Q16" s="147">
        <f t="shared" ca="1" si="22"/>
        <v>53</v>
      </c>
      <c r="R16" s="92">
        <f t="shared" si="5"/>
        <v>2</v>
      </c>
      <c r="S16" s="200">
        <f t="shared" si="23"/>
        <v>0</v>
      </c>
      <c r="T16" s="200">
        <f>J16+T$2/3</f>
        <v>2</v>
      </c>
      <c r="U16" s="200">
        <f>K16+U$2/5</f>
        <v>18.166666666666664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7.9999999999999982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J. Vartiainen</v>
      </c>
      <c r="D17" s="133">
        <f>Plantilla!E19</f>
        <v>19</v>
      </c>
      <c r="E17" s="138">
        <f ca="1">Plantilla!F19</f>
        <v>92</v>
      </c>
      <c r="F17" s="134" t="str">
        <f>Plantilla!G19</f>
        <v>CAB</v>
      </c>
      <c r="G17" s="327">
        <f>Plantilla!H19</f>
        <v>4</v>
      </c>
      <c r="H17" s="102">
        <f>Plantilla!I19</f>
        <v>0.4</v>
      </c>
      <c r="I17" s="184">
        <f>Plantilla!X19</f>
        <v>0</v>
      </c>
      <c r="J17" s="184">
        <f>Plantilla!Y19</f>
        <v>7</v>
      </c>
      <c r="K17" s="184">
        <f>Plantilla!Z19</f>
        <v>9</v>
      </c>
      <c r="L17" s="184">
        <f>Plantilla!AA19</f>
        <v>1</v>
      </c>
      <c r="M17" s="184">
        <f>Plantilla!AB19</f>
        <v>1</v>
      </c>
      <c r="N17" s="184">
        <f>Plantilla!AC19</f>
        <v>6</v>
      </c>
      <c r="O17" s="184">
        <f>Plantilla!AD19</f>
        <v>1</v>
      </c>
      <c r="P17" s="146">
        <f t="shared" si="21"/>
        <v>19</v>
      </c>
      <c r="Q17" s="147">
        <f t="shared" ca="1" si="22"/>
        <v>99</v>
      </c>
      <c r="R17" s="92">
        <f t="shared" si="5"/>
        <v>0.4</v>
      </c>
      <c r="S17" s="200">
        <f t="shared" si="23"/>
        <v>0</v>
      </c>
      <c r="T17" s="200">
        <f>J17+T$2/5</f>
        <v>7</v>
      </c>
      <c r="U17" s="200">
        <f>K17+U$2/5</f>
        <v>17</v>
      </c>
      <c r="V17" s="200">
        <f t="shared" si="24"/>
        <v>1</v>
      </c>
      <c r="W17" s="200">
        <f t="shared" si="25"/>
        <v>1</v>
      </c>
      <c r="X17" s="200">
        <f>N17+X$2/4</f>
        <v>10.25</v>
      </c>
      <c r="Y17" s="200">
        <f t="shared" si="27"/>
        <v>1</v>
      </c>
      <c r="Z17" s="156">
        <f t="shared" si="7"/>
        <v>0</v>
      </c>
      <c r="AA17" s="156">
        <f t="shared" si="8"/>
        <v>0</v>
      </c>
      <c r="AB17" s="156">
        <f t="shared" si="9"/>
        <v>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00">
        <v>550</v>
      </c>
      <c r="AI17" s="701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Plantilla!A16</f>
        <v>#16</v>
      </c>
      <c r="B18" s="131" t="str">
        <f>Plantilla!B16</f>
        <v>MED</v>
      </c>
      <c r="C18" s="90" t="str">
        <f>Plantilla!D16</f>
        <v>R. Forsyth</v>
      </c>
      <c r="D18" s="133">
        <f>Plantilla!E16</f>
        <v>19</v>
      </c>
      <c r="E18" s="138">
        <f ca="1">Plantilla!F16</f>
        <v>87</v>
      </c>
      <c r="F18" s="134" t="str">
        <f>Plantilla!G16</f>
        <v>POT</v>
      </c>
      <c r="G18" s="327">
        <f>Plantilla!H16</f>
        <v>4</v>
      </c>
      <c r="H18" s="102">
        <f>Plantilla!I16</f>
        <v>2.1</v>
      </c>
      <c r="I18" s="184">
        <f>Plantilla!X16</f>
        <v>0</v>
      </c>
      <c r="J18" s="184">
        <f>Plantilla!Y16</f>
        <v>7</v>
      </c>
      <c r="K18" s="184">
        <f>Plantilla!Z16</f>
        <v>9.6</v>
      </c>
      <c r="L18" s="184">
        <f>Plantilla!AA16</f>
        <v>2</v>
      </c>
      <c r="M18" s="184">
        <f>Plantilla!AB16</f>
        <v>4</v>
      </c>
      <c r="N18" s="184">
        <f>Plantilla!AC16</f>
        <v>6</v>
      </c>
      <c r="O18" s="184">
        <f>Plantilla!AD16</f>
        <v>2</v>
      </c>
      <c r="P18" s="146">
        <f t="shared" si="21"/>
        <v>19</v>
      </c>
      <c r="Q18" s="147">
        <f t="shared" ca="1" si="22"/>
        <v>94</v>
      </c>
      <c r="R18" s="92">
        <f t="shared" si="5"/>
        <v>2.1</v>
      </c>
      <c r="S18" s="200">
        <f t="shared" si="23"/>
        <v>0</v>
      </c>
      <c r="T18" s="200">
        <f>J18+T$2/5</f>
        <v>7</v>
      </c>
      <c r="U18" s="200">
        <f>K18+U$2/5</f>
        <v>17.600000000000001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8.0000000000000018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Plantilla!A17</f>
        <v>#21</v>
      </c>
      <c r="B19" s="131" t="str">
        <f>Plantilla!B17</f>
        <v>EXT</v>
      </c>
      <c r="C19" s="90" t="str">
        <f>Plantilla!D17</f>
        <v>M. Grupinski</v>
      </c>
      <c r="D19" s="133">
        <f>Plantilla!E17</f>
        <v>23</v>
      </c>
      <c r="E19" s="138">
        <f ca="1">Plantilla!F17</f>
        <v>45</v>
      </c>
      <c r="F19" s="134" t="str">
        <f>Plantilla!G17</f>
        <v>CAB</v>
      </c>
      <c r="G19" s="327">
        <f>Plantilla!H17</f>
        <v>5</v>
      </c>
      <c r="H19" s="102">
        <f>Plantilla!I17</f>
        <v>1.8</v>
      </c>
      <c r="I19" s="184">
        <f>Plantilla!X17</f>
        <v>0</v>
      </c>
      <c r="J19" s="184">
        <f>Plantilla!Y17</f>
        <v>3</v>
      </c>
      <c r="K19" s="184">
        <f>Plantilla!Z17</f>
        <v>9.4166666666666661</v>
      </c>
      <c r="L19" s="184">
        <f>Plantilla!AA17</f>
        <v>9</v>
      </c>
      <c r="M19" s="184">
        <f>Plantilla!AB17</f>
        <v>6</v>
      </c>
      <c r="N19" s="184">
        <f>Plantilla!AC17</f>
        <v>3</v>
      </c>
      <c r="O19" s="184">
        <f>Plantilla!AD17</f>
        <v>3</v>
      </c>
      <c r="P19" s="146">
        <f t="shared" si="21"/>
        <v>23</v>
      </c>
      <c r="Q19" s="147">
        <f t="shared" ca="1" si="22"/>
        <v>52</v>
      </c>
      <c r="R19" s="92">
        <f t="shared" si="5"/>
        <v>1.8</v>
      </c>
      <c r="S19" s="200">
        <f t="shared" si="23"/>
        <v>0</v>
      </c>
      <c r="T19" s="200">
        <f>J19+T$2/4</f>
        <v>3</v>
      </c>
      <c r="U19" s="200">
        <f>K19+U$2/4</f>
        <v>19.416666666666664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9.9999999999999982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Plantilla!A18</f>
        <v>#19</v>
      </c>
      <c r="B20" s="131" t="str">
        <f>Plantilla!B18</f>
        <v>EXT</v>
      </c>
      <c r="C20" s="90" t="str">
        <f>Plantilla!D18</f>
        <v>V. Godoi</v>
      </c>
      <c r="D20" s="133">
        <f>Plantilla!E18</f>
        <v>26</v>
      </c>
      <c r="E20" s="138">
        <f ca="1">Plantilla!F18</f>
        <v>51</v>
      </c>
      <c r="F20" s="134"/>
      <c r="G20" s="327">
        <f>Plantilla!H18</f>
        <v>5</v>
      </c>
      <c r="H20" s="102">
        <f>Plantilla!I18</f>
        <v>4.5999999999999996</v>
      </c>
      <c r="I20" s="184">
        <f>Plantilla!X18</f>
        <v>0</v>
      </c>
      <c r="J20" s="184">
        <f>Plantilla!Y18</f>
        <v>3</v>
      </c>
      <c r="K20" s="184">
        <f>Plantilla!Z18</f>
        <v>9.7692307692307701</v>
      </c>
      <c r="L20" s="184">
        <f>Plantilla!AA18</f>
        <v>9</v>
      </c>
      <c r="M20" s="184">
        <f>Plantilla!AB18</f>
        <v>5</v>
      </c>
      <c r="N20" s="184">
        <f>Plantilla!AC18</f>
        <v>5</v>
      </c>
      <c r="O20" s="184">
        <f>Plantilla!AD18</f>
        <v>1</v>
      </c>
      <c r="P20" s="146">
        <f t="shared" si="21"/>
        <v>26</v>
      </c>
      <c r="Q20" s="147">
        <f t="shared" ca="1" si="22"/>
        <v>58</v>
      </c>
      <c r="R20" s="92">
        <f t="shared" si="5"/>
        <v>4.5999999999999996</v>
      </c>
      <c r="S20" s="200">
        <f t="shared" si="23"/>
        <v>0</v>
      </c>
      <c r="T20" s="200">
        <f>J20+T$2/3</f>
        <v>3</v>
      </c>
      <c r="U20" s="200">
        <f>K20+U$2/5</f>
        <v>17.76923076923077</v>
      </c>
      <c r="V20" s="200">
        <f t="shared" si="24"/>
        <v>9</v>
      </c>
      <c r="W20" s="200">
        <f t="shared" si="25"/>
        <v>5</v>
      </c>
      <c r="X20" s="200">
        <f t="shared" si="28"/>
        <v>8.4</v>
      </c>
      <c r="Y20" s="200">
        <f t="shared" si="27"/>
        <v>1</v>
      </c>
      <c r="Z20" s="156">
        <f t="shared" si="7"/>
        <v>0</v>
      </c>
      <c r="AA20" s="156">
        <f t="shared" si="8"/>
        <v>0</v>
      </c>
      <c r="AB20" s="156">
        <f t="shared" si="9"/>
        <v>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2.75</v>
      </c>
      <c r="AT20" s="166">
        <f>((AA22)+(AD22)*2)/8</f>
        <v>0</v>
      </c>
    </row>
    <row r="21" spans="1:46" s="78" customFormat="1" x14ac:dyDescent="0.25">
      <c r="A21" s="131" t="str">
        <f>Plantilla!A15</f>
        <v>#20</v>
      </c>
      <c r="B21" s="131" t="str">
        <f>Plantilla!B15</f>
        <v>MED</v>
      </c>
      <c r="C21" s="90" t="str">
        <f>Plantilla!D15</f>
        <v>P. Tuderek</v>
      </c>
      <c r="D21" s="133">
        <f>Plantilla!E15</f>
        <v>19</v>
      </c>
      <c r="E21" s="138">
        <f ca="1">Plantilla!F15</f>
        <v>32</v>
      </c>
      <c r="F21" s="134" t="str">
        <f>Plantilla!G15</f>
        <v>CAB</v>
      </c>
      <c r="G21" s="327">
        <f>Plantilla!H15</f>
        <v>4</v>
      </c>
      <c r="H21" s="102">
        <f>Plantilla!I15</f>
        <v>1.2</v>
      </c>
      <c r="I21" s="184">
        <f>Plantilla!X15</f>
        <v>0</v>
      </c>
      <c r="J21" s="184">
        <f>Plantilla!Y15</f>
        <v>6</v>
      </c>
      <c r="K21" s="184">
        <f>Plantilla!Z15</f>
        <v>8.25</v>
      </c>
      <c r="L21" s="184">
        <f>Plantilla!AA15</f>
        <v>2</v>
      </c>
      <c r="M21" s="184">
        <f>Plantilla!AB15</f>
        <v>3</v>
      </c>
      <c r="N21" s="184">
        <f>Plantilla!AC15</f>
        <v>6</v>
      </c>
      <c r="O21" s="184">
        <f>Plantilla!AD15</f>
        <v>8</v>
      </c>
      <c r="P21" s="146">
        <f t="shared" si="21"/>
        <v>19</v>
      </c>
      <c r="Q21" s="147">
        <f t="shared" ca="1" si="22"/>
        <v>39</v>
      </c>
      <c r="R21" s="92">
        <f t="shared" si="5"/>
        <v>1.2</v>
      </c>
      <c r="S21" s="200">
        <f t="shared" si="23"/>
        <v>0</v>
      </c>
      <c r="T21" s="200">
        <f>J21+T$2/5</f>
        <v>6</v>
      </c>
      <c r="U21" s="200">
        <f>K21+U$2/4</f>
        <v>18.25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Plantilla!A20</f>
        <v>#18</v>
      </c>
      <c r="B22" s="131" t="str">
        <f>Plantilla!B20</f>
        <v>EXT</v>
      </c>
      <c r="C22" s="90" t="str">
        <f>Plantilla!D20</f>
        <v>G. Stoychev</v>
      </c>
      <c r="D22" s="133">
        <f>Plantilla!E20</f>
        <v>24</v>
      </c>
      <c r="E22" s="138">
        <f ca="1">Plantilla!F20</f>
        <v>47</v>
      </c>
      <c r="F22" s="134" t="str">
        <f>Plantilla!G20</f>
        <v>IMP</v>
      </c>
      <c r="G22" s="327">
        <f>Plantilla!H20</f>
        <v>3</v>
      </c>
      <c r="H22" s="102">
        <f>Plantilla!I20</f>
        <v>3.7</v>
      </c>
      <c r="I22" s="184">
        <f>Plantilla!X20</f>
        <v>0</v>
      </c>
      <c r="J22" s="184">
        <f>Plantilla!Y20</f>
        <v>9</v>
      </c>
      <c r="K22" s="184">
        <f>Plantilla!Z20</f>
        <v>9</v>
      </c>
      <c r="L22" s="184">
        <f>Plantilla!AA20</f>
        <v>9</v>
      </c>
      <c r="M22" s="184">
        <f>Plantilla!AB20</f>
        <v>5</v>
      </c>
      <c r="N22" s="184">
        <f>Plantilla!AC20</f>
        <v>5</v>
      </c>
      <c r="O22" s="184">
        <f>Plantilla!AD20</f>
        <v>3</v>
      </c>
      <c r="P22" s="146">
        <f t="shared" si="21"/>
        <v>24</v>
      </c>
      <c r="Q22" s="147">
        <f t="shared" ca="1" si="22"/>
        <v>54</v>
      </c>
      <c r="R22" s="92">
        <f t="shared" si="5"/>
        <v>3.7</v>
      </c>
      <c r="S22" s="200">
        <f t="shared" si="23"/>
        <v>0</v>
      </c>
      <c r="T22" s="200">
        <f>J22+T$2/4</f>
        <v>9</v>
      </c>
      <c r="U22" s="200">
        <f>K22+U$2/4</f>
        <v>19</v>
      </c>
      <c r="V22" s="200">
        <f t="shared" si="24"/>
        <v>9</v>
      </c>
      <c r="W22" s="200">
        <f t="shared" si="25"/>
        <v>5</v>
      </c>
      <c r="X22" s="200">
        <f>N22+X$2/6</f>
        <v>7.8333333333333339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10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35</v>
      </c>
      <c r="E23" s="138">
        <f ca="1">Plantilla!F21</f>
        <v>107</v>
      </c>
      <c r="F23" s="134" t="str">
        <f>Plantilla!G21</f>
        <v>TEC</v>
      </c>
      <c r="G23" s="327">
        <f>Plantilla!H21</f>
        <v>2</v>
      </c>
      <c r="H23" s="102">
        <f>Plantilla!I21</f>
        <v>13.6</v>
      </c>
      <c r="I23" s="184">
        <f>Plantilla!X21</f>
        <v>0</v>
      </c>
      <c r="J23" s="184">
        <f>Plantilla!Y21</f>
        <v>6.95</v>
      </c>
      <c r="K23" s="184">
        <f>Plantilla!Z21</f>
        <v>10.600000000000005</v>
      </c>
      <c r="L23" s="184">
        <f>Plantilla!AA21</f>
        <v>12.95</v>
      </c>
      <c r="M23" s="184">
        <f>Plantilla!AB21</f>
        <v>9.9499999999999993</v>
      </c>
      <c r="N23" s="184">
        <f>Plantilla!AC21</f>
        <v>3.95</v>
      </c>
      <c r="O23" s="184">
        <f>Plantilla!AD21</f>
        <v>17.95</v>
      </c>
      <c r="P23" s="146">
        <f t="shared" si="21"/>
        <v>35</v>
      </c>
      <c r="Q23" s="147">
        <f t="shared" ca="1" si="22"/>
        <v>114</v>
      </c>
      <c r="R23" s="92">
        <f t="shared" si="5"/>
        <v>13.6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10.600000000000005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3.95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10</v>
      </c>
      <c r="F24" s="134" t="str">
        <f>Plantilla!G22</f>
        <v>CAB</v>
      </c>
      <c r="G24" s="327">
        <f>Plantilla!H22</f>
        <v>2</v>
      </c>
      <c r="H24" s="102">
        <f>Plantilla!I22</f>
        <v>13.3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17</v>
      </c>
      <c r="R24" s="92">
        <f t="shared" si="5"/>
        <v>13.3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7.9999999999999982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10</v>
      </c>
      <c r="F25" s="134"/>
      <c r="G25" s="327">
        <f>Plantilla!H23</f>
        <v>0</v>
      </c>
      <c r="H25" s="102">
        <f>Plantilla!I23</f>
        <v>12.2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2.95</v>
      </c>
      <c r="M25" s="184">
        <f>Plantilla!AB23</f>
        <v>8.9499999999999993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17</v>
      </c>
      <c r="R25" s="92">
        <f t="shared" si="5"/>
        <v>12.2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8.9499999999999993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652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7.5520000000000014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47</v>
      </c>
      <c r="F26" s="134" t="str">
        <f>Plantilla!G24</f>
        <v>RAP</v>
      </c>
      <c r="G26" s="327">
        <f>Plantilla!H24</f>
        <v>3</v>
      </c>
      <c r="H26" s="102">
        <f>Plantilla!I24</f>
        <v>14.4</v>
      </c>
      <c r="I26" s="184">
        <f>Plantilla!X24</f>
        <v>0</v>
      </c>
      <c r="J26" s="184">
        <f>Plantilla!Y24</f>
        <v>6.8376190476190493</v>
      </c>
      <c r="K26" s="184">
        <f>Plantilla!Z24</f>
        <v>8.9499999999999993</v>
      </c>
      <c r="L26" s="184">
        <f>Plantilla!AA24</f>
        <v>7.95</v>
      </c>
      <c r="M26" s="184">
        <f>Plantilla!AB24</f>
        <v>8.9499999999999993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54</v>
      </c>
      <c r="R26" s="92">
        <f t="shared" si="5"/>
        <v>14.4</v>
      </c>
      <c r="S26" s="200">
        <f t="shared" si="38"/>
        <v>0</v>
      </c>
      <c r="T26" s="200">
        <f t="shared" si="39"/>
        <v>6.8376190476190493</v>
      </c>
      <c r="U26" s="200">
        <f t="shared" si="40"/>
        <v>8.9499999999999993</v>
      </c>
      <c r="V26" s="200">
        <f t="shared" si="41"/>
        <v>7.95</v>
      </c>
      <c r="W26" s="200">
        <f t="shared" si="42"/>
        <v>8.9499999999999993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7.9999999999999982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32</v>
      </c>
      <c r="E27" s="138">
        <f ca="1">Plantilla!F25</f>
        <v>78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32</v>
      </c>
      <c r="Q27" s="147">
        <f t="shared" ca="1" si="22"/>
        <v>85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28" t="s">
        <v>653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6.3100000000000005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28" t="s">
        <v>653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5.0479999999999992</v>
      </c>
      <c r="AN28" s="164">
        <f t="shared" ref="AN28:AP28" si="53">AN14</f>
        <v>0</v>
      </c>
      <c r="AO28" s="164">
        <f t="shared" si="53"/>
        <v>0</v>
      </c>
      <c r="AP28" s="164">
        <f t="shared" si="53"/>
        <v>0</v>
      </c>
      <c r="AQ28" s="165">
        <f>AQ14</f>
        <v>0</v>
      </c>
      <c r="AR28" s="165">
        <f t="shared" ref="AR28:AT28" si="54">AR14</f>
        <v>0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02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04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02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04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02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04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02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04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02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04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02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04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03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05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02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04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02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04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02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04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02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04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02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04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03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05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02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04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02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04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02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04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02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04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02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04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03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05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02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04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02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04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02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04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02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04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02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04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16.666666666666668</v>
      </c>
      <c r="F3" s="83">
        <f>Evaluacion!L3</f>
        <v>11.95</v>
      </c>
      <c r="G3" s="83">
        <f>Evaluacion!M3</f>
        <v>2.0699999999999985</v>
      </c>
      <c r="H3" s="83">
        <f>Evaluacion!N3</f>
        <v>2.149999999999999</v>
      </c>
      <c r="I3" s="83">
        <f>Evaluacion!O3</f>
        <v>0.95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15.727765885352309</v>
      </c>
      <c r="P3" s="244">
        <f ca="1">Evaluacion!Y3</f>
        <v>23.17888695073291</v>
      </c>
      <c r="Q3" s="244">
        <f ca="1">Evaluacion!Z3</f>
        <v>15.727765885352309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10.166666666666666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1.861479515116133</v>
      </c>
      <c r="P5" s="244">
        <f ca="1">Evaluacion!AB14</f>
        <v>4.8100245868633928</v>
      </c>
      <c r="Q5" s="244">
        <f ca="1">O5</f>
        <v>1.861479515116133</v>
      </c>
      <c r="R5" s="244">
        <f ca="1">Evaluacion!AD14</f>
        <v>2.6124525183401537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14</v>
      </c>
      <c r="H6" s="83">
        <f>Evaluacion!N9</f>
        <v>12.945</v>
      </c>
      <c r="I6" s="83">
        <f>Evaluacion!O9</f>
        <v>9.9499999999999993</v>
      </c>
      <c r="J6" s="83">
        <f>Evaluacion!P9</f>
        <v>3.95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5.1219203749987354</v>
      </c>
      <c r="Q6" s="244">
        <f>Evaluacion!AI9</f>
        <v>11.382045277774967</v>
      </c>
      <c r="R6" s="244">
        <f>Evaluacion!AK9</f>
        <v>2.8503763203497319</v>
      </c>
      <c r="S6" s="244">
        <v>0</v>
      </c>
      <c r="T6" s="244">
        <f>0</f>
        <v>0</v>
      </c>
      <c r="U6" s="244">
        <f>Evaluacion!AL9</f>
        <v>9.4157155470996532</v>
      </c>
      <c r="V6" s="244">
        <f>Evaluacion!R9</f>
        <v>4.0254583333333329</v>
      </c>
      <c r="W6" s="244">
        <f>Evaluacion!T9</f>
        <v>0.67749999999999999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9.4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0.96504750728323641</v>
      </c>
      <c r="P7" s="244">
        <f ca="1">Evaluacion!BF12*N7</f>
        <v>1.154077431390262</v>
      </c>
      <c r="Q7" s="244">
        <v>0</v>
      </c>
      <c r="R7" s="244">
        <f ca="1">Evaluacion!BG12*N7</f>
        <v>6.8465280375138535</v>
      </c>
      <c r="S7" s="244">
        <f ca="1">Evaluacion!BH12*N7</f>
        <v>2.4746535531779967</v>
      </c>
      <c r="T7" s="244">
        <f ca="1">Evaluacion!BI12*N7</f>
        <v>0.79923178438233666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10.166666666666666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0.32971322121800095</v>
      </c>
      <c r="P8" s="244">
        <f ca="1">Evaluacion!AY15*N8</f>
        <v>0.93040767892204845</v>
      </c>
      <c r="Q8" s="244">
        <f ca="1">O8</f>
        <v>0.32971322121800095</v>
      </c>
      <c r="R8" s="244">
        <f ca="1">Evaluacion!BA15*N8</f>
        <v>9.0635191973051192</v>
      </c>
      <c r="S8" s="244">
        <f ca="1">((Evaluacion!BB15+Evaluacion!BD15)/2)*N8</f>
        <v>0.75444964268864689</v>
      </c>
      <c r="T8" s="244">
        <f ca="1">Evaluacion!BC15*N8</f>
        <v>2.8837865777151217</v>
      </c>
      <c r="U8" s="244">
        <f ca="1">S8</f>
        <v>0.75444964268864689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8.1999999999999993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1.0318296398404017</v>
      </c>
      <c r="Q9" s="244">
        <f ca="1">Evaluacion!BE13*N9</f>
        <v>0.86282306090102567</v>
      </c>
      <c r="R9" s="244">
        <f ca="1">Evaluacion!BG13*N9</f>
        <v>6.3916794043086034</v>
      </c>
      <c r="S9" s="244">
        <v>0</v>
      </c>
      <c r="T9" s="244">
        <f ca="1">Evaluacion!BI13*N9</f>
        <v>1.3110466758664854</v>
      </c>
      <c r="U9" s="244">
        <f ca="1">Evaluacion!BH13*N9</f>
        <v>2.94198462591413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9.4166666666666661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2.3860251881901151</v>
      </c>
      <c r="S12" s="244">
        <f ca="1">N12*Evaluacion!CH18</f>
        <v>3.9854345959238899</v>
      </c>
      <c r="T12" s="244">
        <f ca="1">N12*Evaluacion!CI18</f>
        <v>5.8107151805290709</v>
      </c>
      <c r="U12" s="244">
        <f ca="1">S12</f>
        <v>3.9854345959238899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V. Godoi</v>
      </c>
      <c r="D13" s="274">
        <f>Evaluacion!D19</f>
        <v>0</v>
      </c>
      <c r="E13" s="83">
        <f>Evaluacion!K19</f>
        <v>0</v>
      </c>
      <c r="F13" s="83">
        <f>Evaluacion!L19</f>
        <v>3</v>
      </c>
      <c r="G13" s="83">
        <f>Evaluacion!M19</f>
        <v>9.7692307692307701</v>
      </c>
      <c r="H13" s="83">
        <f>Evaluacion!N19</f>
        <v>9</v>
      </c>
      <c r="I13" s="83">
        <f>Evaluacion!O19</f>
        <v>5</v>
      </c>
      <c r="J13" s="83">
        <f>Evaluacion!P19</f>
        <v>5</v>
      </c>
      <c r="K13" s="83">
        <f>Evaluacion!Q19</f>
        <v>1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4.2328842088881506</v>
      </c>
      <c r="S13" s="244">
        <f ca="1">N13*Evaluacion!CE19</f>
        <v>3.6280669508903829</v>
      </c>
      <c r="T13" s="244">
        <f ca="1">N13*Evaluacion!CF19</f>
        <v>6.6646815099857406</v>
      </c>
      <c r="U13" s="244">
        <f ca="1">S13</f>
        <v>3.6280669508903829</v>
      </c>
      <c r="V13" s="244">
        <v>0</v>
      </c>
      <c r="W13" s="244">
        <f>Evaluacion!T19*N13</f>
        <v>0.26459999999999995</v>
      </c>
      <c r="X13" s="244">
        <f>Evaluacion!U19*N13</f>
        <v>0.14175000000000001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16.666666666666668</v>
      </c>
      <c r="E2" s="83">
        <f>Evaluacion!L3</f>
        <v>11.95</v>
      </c>
      <c r="F2" s="83">
        <f>Evaluacion!M3</f>
        <v>2.0699999999999985</v>
      </c>
      <c r="G2" s="83">
        <f>Evaluacion!N3</f>
        <v>2.149999999999999</v>
      </c>
      <c r="H2" s="83">
        <f>Evaluacion!O3</f>
        <v>0.95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15.727765885352309</v>
      </c>
      <c r="O2" s="244">
        <f ca="1">Evaluacion!Y3</f>
        <v>23.17888695073291</v>
      </c>
      <c r="P2" s="244">
        <f ca="1">Evaluacion!Z3</f>
        <v>15.727765885352309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14</v>
      </c>
      <c r="G3" s="83">
        <f>Evaluacion!N9</f>
        <v>12.945</v>
      </c>
      <c r="H3" s="83">
        <f>Evaluacion!O9</f>
        <v>9.9499999999999993</v>
      </c>
      <c r="I3" s="83">
        <f>Evaluacion!P9</f>
        <v>3.95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11.382045277774967</v>
      </c>
      <c r="O3" s="244">
        <f>Evaluacion!AJ9</f>
        <v>5.1219203749987354</v>
      </c>
      <c r="P3" s="244">
        <v>0</v>
      </c>
      <c r="Q3" s="244">
        <f>Evaluacion!AK9</f>
        <v>2.8503763203497319</v>
      </c>
      <c r="R3" s="244">
        <f>Evaluacion!AL9</f>
        <v>9.4157155470996532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0.67749999999999999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6.1599999999999984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8.2650584404606224</v>
      </c>
      <c r="O4" s="244">
        <f>M4*Evaluacion!AN7</f>
        <v>7.7608241058967113</v>
      </c>
      <c r="P4" s="244">
        <v>0</v>
      </c>
      <c r="Q4" s="244">
        <f>M4*Evaluacion!AO7</f>
        <v>2.3914259667863709</v>
      </c>
      <c r="R4" s="244">
        <f>M4*Evaluacion!AP7</f>
        <v>1.6501509990088312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11.95</v>
      </c>
      <c r="F6" s="83">
        <f>Evaluacion!M5</f>
        <v>11.75</v>
      </c>
      <c r="G6" s="83">
        <f>Evaluacion!N5</f>
        <v>8.9499999999999993</v>
      </c>
      <c r="H6" s="83">
        <f>Evaluacion!O5</f>
        <v>7.95</v>
      </c>
      <c r="I6" s="83">
        <f>Evaluacion!P5</f>
        <v>0.95</v>
      </c>
      <c r="J6" s="83">
        <f>Evaluacion!Q5</f>
        <v>17.177777777777774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9.6429184458349724</v>
      </c>
      <c r="P6" s="244">
        <f>M6*Evaluacion!AM5</f>
        <v>10.269435745988092</v>
      </c>
      <c r="Q6" s="244">
        <f>M6*Evaluacion!AO5</f>
        <v>3.0602651983819777</v>
      </c>
      <c r="R6" s="244">
        <v>0</v>
      </c>
      <c r="S6" s="244">
        <v>0</v>
      </c>
      <c r="T6" s="244">
        <f>M6*Evaluacion!AP5</f>
        <v>1.8246430966108362</v>
      </c>
      <c r="U6" s="244">
        <f>Evaluacion!R5</f>
        <v>3.8562499999999997</v>
      </c>
      <c r="V6" s="244">
        <f>Evaluacion!T5*M6</f>
        <v>0.50654999999999983</v>
      </c>
      <c r="W6" s="244">
        <f>Evaluacion!U5*M6</f>
        <v>0.89399999999999991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8.1999999999999993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0.97786613568782921</v>
      </c>
      <c r="O8" s="244">
        <f ca="1">M8*Evaluacion!BF13</f>
        <v>1.1694069251524555</v>
      </c>
      <c r="P8" s="244">
        <v>0</v>
      </c>
      <c r="Q8" s="244">
        <f ca="1">Evaluacion!BG13*M8</f>
        <v>7.2439033248830844</v>
      </c>
      <c r="R8" s="244">
        <f ca="1">Evaluacion!BH13*M8</f>
        <v>3.3342492427026813</v>
      </c>
      <c r="S8" s="244">
        <f ca="1">Evaluacion!BI13*M8</f>
        <v>1.4858528993153501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9.4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1.307954422242297</v>
      </c>
      <c r="P9" s="244">
        <f ca="1">M9*Evaluacion!BE12</f>
        <v>1.0937205082543346</v>
      </c>
      <c r="Q9" s="244">
        <f ca="1">Evaluacion!BG12*M9</f>
        <v>7.7593984425157014</v>
      </c>
      <c r="R9" s="244">
        <v>0</v>
      </c>
      <c r="S9" s="244">
        <f ca="1">Evaluacion!BI12*M9</f>
        <v>0.90579602229998168</v>
      </c>
      <c r="T9" s="244">
        <f ca="1">Evaluacion!BH12*M9</f>
        <v>2.8046073602683967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str">
        <f>Evaluacion!A11</f>
        <v>W. Gelifini</v>
      </c>
      <c r="C11">
        <f>Evaluacion!D11</f>
        <v>0</v>
      </c>
      <c r="D11" s="83">
        <f>Evaluacion!K11</f>
        <v>0</v>
      </c>
      <c r="E11" s="83">
        <f>Evaluacion!L11</f>
        <v>5.6515555555555519</v>
      </c>
      <c r="F11" s="83">
        <f>Evaluacion!M11</f>
        <v>9</v>
      </c>
      <c r="G11" s="83">
        <f>Evaluacion!N11</f>
        <v>6.95</v>
      </c>
      <c r="H11" s="83">
        <f>Evaluacion!O11</f>
        <v>8.9499999999999993</v>
      </c>
      <c r="I11" s="83">
        <f>Evaluacion!P11</f>
        <v>2.95</v>
      </c>
      <c r="J11" s="83">
        <f>Evaluacion!Q11</f>
        <v>12.847222222222223</v>
      </c>
      <c r="L11" t="str">
        <f t="shared" si="0"/>
        <v>EXTN</v>
      </c>
      <c r="M11" s="243">
        <v>1</v>
      </c>
      <c r="N11" s="244">
        <v>0</v>
      </c>
      <c r="O11" s="244">
        <f>Evaluacion!BU11</f>
        <v>1.9574913600371331</v>
      </c>
      <c r="P11" s="244">
        <f>Evaluacion!BT11</f>
        <v>2.2783915829940402</v>
      </c>
      <c r="Q11" s="244">
        <f>Evaluacion!BV11</f>
        <v>5.1737822583570425</v>
      </c>
      <c r="R11" s="244">
        <v>0</v>
      </c>
      <c r="S11" s="244">
        <f>Evaluacion!BX11</f>
        <v>1.369834952222422</v>
      </c>
      <c r="T11" s="244">
        <f>Evaluacion!BW11</f>
        <v>10.815612620350775</v>
      </c>
      <c r="U11" s="244">
        <v>0</v>
      </c>
      <c r="V11" s="244">
        <f>Evaluacion!T11</f>
        <v>0.53291666666666671</v>
      </c>
      <c r="W11" s="244">
        <f>Evaluacion!U11</f>
        <v>0.61147888888888879</v>
      </c>
      <c r="AA11" s="250"/>
    </row>
    <row r="12" spans="1:27" x14ac:dyDescent="0.25">
      <c r="A12" t="s">
        <v>277</v>
      </c>
      <c r="B12" t="str">
        <f>Evaluacion!A19</f>
        <v>V. Godoi</v>
      </c>
      <c r="C12">
        <f>Evaluacion!D19</f>
        <v>0</v>
      </c>
      <c r="D12" s="83">
        <f>Evaluacion!K19</f>
        <v>0</v>
      </c>
      <c r="E12" s="83">
        <f>Evaluacion!L19</f>
        <v>3</v>
      </c>
      <c r="F12" s="83">
        <f>Evaluacion!M19</f>
        <v>9.7692307692307701</v>
      </c>
      <c r="G12" s="83">
        <f>Evaluacion!N19</f>
        <v>9</v>
      </c>
      <c r="H12" s="83">
        <f>Evaluacion!O19</f>
        <v>5</v>
      </c>
      <c r="I12" s="83">
        <f>Evaluacion!P19</f>
        <v>5</v>
      </c>
      <c r="J12" s="83">
        <f>Evaluacion!Q19</f>
        <v>1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4.4792425490879904</v>
      </c>
      <c r="R12" s="244">
        <f ca="1">M12*Evaluacion!CE19</f>
        <v>3.8392242866564898</v>
      </c>
      <c r="S12" s="244">
        <f ca="1">M12*Evaluacion!CF19</f>
        <v>7.0525730264399371</v>
      </c>
      <c r="T12" s="244">
        <f ca="1">R12</f>
        <v>3.8392242866564898</v>
      </c>
      <c r="U12" s="244">
        <v>0</v>
      </c>
      <c r="V12" s="244">
        <f>Evaluacion!T19*M12</f>
        <v>0.27999999999999997</v>
      </c>
      <c r="W12" s="244">
        <f>Evaluacion!U19*M12</f>
        <v>0.15000000000000002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36</v>
      </c>
      <c r="D7" s="3">
        <f ca="1">Plantilla!F6</f>
        <v>86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48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35</v>
      </c>
      <c r="D11" s="3">
        <f ca="1">Plantilla!F4</f>
        <v>75</v>
      </c>
      <c r="E11" s="49">
        <f>Plantilla!X4</f>
        <v>16.666666666666668</v>
      </c>
      <c r="F11" s="49">
        <f>Plantilla!Y4</f>
        <v>11.95</v>
      </c>
      <c r="G11" s="49">
        <f>Plantilla!Z4</f>
        <v>2.0699999999999985</v>
      </c>
      <c r="H11" s="49">
        <f>Plantilla!AA4</f>
        <v>2.149999999999999</v>
      </c>
      <c r="I11" s="49">
        <f>Plantilla!AB4</f>
        <v>0.95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10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2.95</v>
      </c>
      <c r="I12" s="49">
        <f>Plantilla!AB23</f>
        <v>8.9499999999999993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35</v>
      </c>
      <c r="D13" s="3">
        <f ca="1">Plantilla!F21</f>
        <v>107</v>
      </c>
      <c r="E13" s="49">
        <f>Plantilla!X21</f>
        <v>0</v>
      </c>
      <c r="F13" s="49">
        <f>Plantilla!Y21</f>
        <v>6.95</v>
      </c>
      <c r="G13" s="49">
        <f>Plantilla!Z21</f>
        <v>10.600000000000005</v>
      </c>
      <c r="H13" s="49">
        <f>Plantilla!AA21</f>
        <v>12.95</v>
      </c>
      <c r="I13" s="49">
        <f>Plantilla!AB21</f>
        <v>9.9499999999999993</v>
      </c>
      <c r="J13" s="49">
        <f>Plantilla!AC21</f>
        <v>3.95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10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7</v>
      </c>
      <c r="E15" s="49">
        <f>Plantilla!X9</f>
        <v>0</v>
      </c>
      <c r="F15" s="49">
        <f>Plantilla!Y9</f>
        <v>9.3036666666666648</v>
      </c>
      <c r="G15" s="49">
        <f>Plantilla!Z9</f>
        <v>14</v>
      </c>
      <c r="H15" s="49">
        <f>Plantilla!AA9</f>
        <v>12.945</v>
      </c>
      <c r="I15" s="49">
        <f>Plantilla!AB9</f>
        <v>9.9499999999999993</v>
      </c>
      <c r="J15" s="49">
        <f>Plantilla!AC9</f>
        <v>3.95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47</v>
      </c>
      <c r="E17" s="49">
        <f>Plantilla!X24</f>
        <v>0</v>
      </c>
      <c r="F17" s="49">
        <f>Plantilla!Y24</f>
        <v>6.8376190476190493</v>
      </c>
      <c r="G17" s="49">
        <f>Plantilla!Z24</f>
        <v>8.9499999999999993</v>
      </c>
      <c r="H17" s="49">
        <f>Plantilla!AA24</f>
        <v>7.95</v>
      </c>
      <c r="I17" s="49">
        <f>Plantilla!AB24</f>
        <v>8.9499999999999993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32</v>
      </c>
      <c r="D18" s="3">
        <f ca="1">Plantilla!F25</f>
        <v>78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32</v>
      </c>
      <c r="D20" s="3">
        <f ca="1">Plantilla!F7</f>
        <v>94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6.1599999999999984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str">
        <f>Plantilla!A10</f>
        <v>#23</v>
      </c>
      <c r="B21" s="86" t="str">
        <f>Plantilla!D10</f>
        <v>W. Gelifini</v>
      </c>
      <c r="C21" s="3">
        <f>Plantilla!E10</f>
        <v>34</v>
      </c>
      <c r="D21" s="3">
        <f ca="1">Plantilla!F10</f>
        <v>72</v>
      </c>
      <c r="E21" s="49">
        <f>Plantilla!X10</f>
        <v>0</v>
      </c>
      <c r="F21" s="49">
        <f>Plantilla!Y10</f>
        <v>5.6515555555555519</v>
      </c>
      <c r="G21" s="49">
        <f>Plantilla!Z10</f>
        <v>9</v>
      </c>
      <c r="H21" s="49">
        <f>Plantilla!AA10</f>
        <v>6.95</v>
      </c>
      <c r="I21" s="49">
        <f>Plantilla!AB10</f>
        <v>8.9499999999999993</v>
      </c>
      <c r="J21" s="49">
        <f>Plantilla!AC10</f>
        <v>2.95</v>
      </c>
      <c r="K21" s="49">
        <f>Plantilla!AD10</f>
        <v>12.847222222222223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39</v>
      </c>
      <c r="D22" s="3">
        <f ca="1">Plantilla!F5</f>
        <v>84</v>
      </c>
      <c r="E22" s="49">
        <f>Plantilla!X5</f>
        <v>6.95</v>
      </c>
      <c r="F22" s="49">
        <f>Plantilla!Y5</f>
        <v>6.95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7</v>
      </c>
      <c r="E4" s="49">
        <f>Plantilla!X9</f>
        <v>0</v>
      </c>
      <c r="F4" s="49">
        <f>Plantilla!Y9</f>
        <v>9.3036666666666648</v>
      </c>
      <c r="G4" s="49">
        <f>Plantilla!Z9</f>
        <v>14</v>
      </c>
      <c r="H4" s="49">
        <f>Plantilla!AA9</f>
        <v>12.945</v>
      </c>
      <c r="I4" s="49">
        <f>Plantilla!AB9</f>
        <v>9.9499999999999993</v>
      </c>
      <c r="J4" s="49">
        <f>Plantilla!AC9</f>
        <v>3.95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10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47</v>
      </c>
      <c r="E6" s="49">
        <f>Plantilla!X24</f>
        <v>0</v>
      </c>
      <c r="F6" s="49">
        <f>Plantilla!Y24</f>
        <v>6.8376190476190493</v>
      </c>
      <c r="G6" s="49">
        <f>Plantilla!Z24</f>
        <v>8.9499999999999993</v>
      </c>
      <c r="H6" s="49">
        <f>Plantilla!AA24</f>
        <v>7.95</v>
      </c>
      <c r="I6" s="49">
        <f>Plantilla!AB24</f>
        <v>8.9499999999999993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35</v>
      </c>
      <c r="D8" s="86">
        <f ca="1">Plantilla!F21</f>
        <v>107</v>
      </c>
      <c r="E8" s="49">
        <f>Plantilla!X21</f>
        <v>0</v>
      </c>
      <c r="F8" s="49">
        <f>Plantilla!Y21</f>
        <v>6.95</v>
      </c>
      <c r="G8" s="49">
        <f>Plantilla!Z21</f>
        <v>10.600000000000005</v>
      </c>
      <c r="H8" s="49">
        <f>Plantilla!AA21</f>
        <v>12.95</v>
      </c>
      <c r="I8" s="49">
        <f>Plantilla!AB21</f>
        <v>9.9499999999999993</v>
      </c>
      <c r="J8" s="49">
        <f>Plantilla!AC21</f>
        <v>3.95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10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48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36</v>
      </c>
      <c r="D14" s="86">
        <f ca="1">Plantilla!F6</f>
        <v>86</v>
      </c>
      <c r="E14" s="49">
        <f>Plantilla!X6</f>
        <v>0</v>
      </c>
      <c r="F14" s="49">
        <f>Plantilla!Y6</f>
        <v>11.95</v>
      </c>
      <c r="G14" s="49">
        <f>Plantilla!Z6</f>
        <v>11.75</v>
      </c>
      <c r="H14" s="49">
        <f>Plantilla!AA6</f>
        <v>8.9499999999999993</v>
      </c>
      <c r="I14" s="49">
        <f>Plantilla!AB6</f>
        <v>7.95</v>
      </c>
      <c r="J14" s="49">
        <f>Plantilla!AC6</f>
        <v>0.95</v>
      </c>
      <c r="K14" s="49">
        <f>Plantilla!AD6</f>
        <v>17.177777777777774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32</v>
      </c>
      <c r="D18" s="86">
        <f ca="1">Plantilla!F25</f>
        <v>78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35</v>
      </c>
      <c r="D19" s="86">
        <f ca="1">Plantilla!F4</f>
        <v>75</v>
      </c>
      <c r="E19" s="49">
        <f>Plantilla!X4</f>
        <v>16.666666666666668</v>
      </c>
      <c r="F19" s="49">
        <f>Plantilla!Y4</f>
        <v>11.95</v>
      </c>
      <c r="G19" s="49">
        <f>Plantilla!Z4</f>
        <v>2.0699999999999985</v>
      </c>
      <c r="H19" s="49">
        <f>Plantilla!AA4</f>
        <v>2.149999999999999</v>
      </c>
      <c r="I19" s="49">
        <f>Plantilla!AB4</f>
        <v>0.95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84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94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72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47</v>
      </c>
      <c r="E4" s="49">
        <f>Plantilla!X24</f>
        <v>0</v>
      </c>
      <c r="F4" s="49">
        <f>Plantilla!Y24</f>
        <v>6.8376190476190493</v>
      </c>
      <c r="G4" s="49">
        <f>Plantilla!Z24</f>
        <v>8.9499999999999993</v>
      </c>
      <c r="H4" s="49">
        <f>Plantilla!AA24</f>
        <v>7.95</v>
      </c>
      <c r="I4" s="49">
        <f>Plantilla!AB24</f>
        <v>8.9499999999999993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10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7</v>
      </c>
      <c r="E6" s="49">
        <f>Plantilla!X9</f>
        <v>0</v>
      </c>
      <c r="F6" s="49">
        <f>Plantilla!Y9</f>
        <v>9.3036666666666648</v>
      </c>
      <c r="G6" s="49">
        <f>Plantilla!Z9</f>
        <v>14</v>
      </c>
      <c r="H6" s="49">
        <f>Plantilla!AA9</f>
        <v>12.945</v>
      </c>
      <c r="I6" s="49">
        <f>Plantilla!AB9</f>
        <v>9.9499999999999993</v>
      </c>
      <c r="J6" s="49">
        <f>Plantilla!AC9</f>
        <v>3.95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35</v>
      </c>
      <c r="D9" s="86">
        <f ca="1">Plantilla!F21</f>
        <v>107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10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48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32</v>
      </c>
      <c r="D13" s="86">
        <f ca="1">Plantilla!F25</f>
        <v>78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35</v>
      </c>
      <c r="D14" s="86">
        <f ca="1">Plantilla!F4</f>
        <v>75</v>
      </c>
      <c r="E14" s="49">
        <f>Plantilla!X4</f>
        <v>16.666666666666668</v>
      </c>
      <c r="F14" s="49">
        <f>Plantilla!Y4</f>
        <v>11.95</v>
      </c>
      <c r="G14" s="49">
        <f>Plantilla!Z4</f>
        <v>2.0699999999999985</v>
      </c>
      <c r="H14" s="49">
        <f>Plantilla!AA4</f>
        <v>2.149999999999999</v>
      </c>
      <c r="I14" s="49">
        <f>Plantilla!AB4</f>
        <v>0.95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36</v>
      </c>
      <c r="D17" s="86">
        <f ca="1">Plantilla!F6</f>
        <v>86</v>
      </c>
      <c r="E17" s="49">
        <f>Plantilla!X6</f>
        <v>0</v>
      </c>
      <c r="F17" s="49">
        <f>Plantilla!Y6</f>
        <v>11.95</v>
      </c>
      <c r="G17" s="49">
        <f>Plantilla!Z6</f>
        <v>11.75</v>
      </c>
      <c r="H17" s="49">
        <f>Plantilla!AA6</f>
        <v>8.9499999999999993</v>
      </c>
      <c r="I17" s="49">
        <f>Plantilla!AB6</f>
        <v>7.95</v>
      </c>
      <c r="J17" s="49">
        <f>Plantilla!AC6</f>
        <v>0.95</v>
      </c>
      <c r="K17" s="49">
        <f>Plantilla!AD6</f>
        <v>17.177777777777774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84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94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72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10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36</v>
      </c>
      <c r="D7" s="86">
        <f ca="1">Plantilla!F6</f>
        <v>86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48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35</v>
      </c>
      <c r="D9" s="86">
        <f ca="1">Plantilla!F21</f>
        <v>107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7</v>
      </c>
      <c r="E11" s="49">
        <f>Plantilla!X9</f>
        <v>0</v>
      </c>
      <c r="F11" s="49">
        <f>Plantilla!Y9</f>
        <v>9.3036666666666648</v>
      </c>
      <c r="G11" s="49">
        <f>Plantilla!Z9</f>
        <v>14</v>
      </c>
      <c r="H11" s="49">
        <f>Plantilla!AA9</f>
        <v>12.945</v>
      </c>
      <c r="I11" s="49">
        <f>Plantilla!AB9</f>
        <v>9.9499999999999993</v>
      </c>
      <c r="J11" s="49">
        <f>Plantilla!AC9</f>
        <v>3.95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10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2.95</v>
      </c>
      <c r="I14" s="49">
        <f>Plantilla!AB23</f>
        <v>8.9499999999999993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47</v>
      </c>
      <c r="E16" s="49">
        <f>Plantilla!X24</f>
        <v>0</v>
      </c>
      <c r="F16" s="49">
        <f>Plantilla!Y24</f>
        <v>6.8376190476190493</v>
      </c>
      <c r="G16" s="49">
        <f>Plantilla!Z24</f>
        <v>8.9499999999999993</v>
      </c>
      <c r="H16" s="49">
        <f>Plantilla!AA24</f>
        <v>7.95</v>
      </c>
      <c r="I16" s="49">
        <f>Plantilla!AB24</f>
        <v>8.9499999999999993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32</v>
      </c>
      <c r="D17" s="86">
        <f ca="1">Plantilla!F25</f>
        <v>78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35</v>
      </c>
      <c r="D18" s="86">
        <f ca="1">Plantilla!F4</f>
        <v>75</v>
      </c>
      <c r="E18" s="49">
        <f>Plantilla!X4</f>
        <v>16.666666666666668</v>
      </c>
      <c r="F18" s="49">
        <f>Plantilla!Y4</f>
        <v>11.95</v>
      </c>
      <c r="G18" s="49">
        <f>Plantilla!Z4</f>
        <v>2.0699999999999985</v>
      </c>
      <c r="H18" s="49">
        <f>Plantilla!AA4</f>
        <v>2.149999999999999</v>
      </c>
      <c r="I18" s="49">
        <f>Plantilla!AB4</f>
        <v>0.95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84</v>
      </c>
      <c r="E20" s="49">
        <f>Plantilla!X5</f>
        <v>6.95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94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72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06" t="s">
        <v>11</v>
      </c>
      <c r="E2" s="706"/>
      <c r="F2" s="707" t="s">
        <v>12</v>
      </c>
      <c r="G2" s="707"/>
      <c r="H2" s="708" t="s">
        <v>13</v>
      </c>
      <c r="I2" s="708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A16" sqref="A16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37" bestFit="1" customWidth="1"/>
    <col min="34" max="34" width="6.5703125" style="637" bestFit="1" customWidth="1"/>
    <col min="35" max="36" width="7.5703125" style="637" bestFit="1" customWidth="1"/>
    <col min="37" max="39" width="6.5703125" style="637" bestFit="1" customWidth="1"/>
    <col min="40" max="40" width="7" style="637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</cols>
  <sheetData>
    <row r="1" spans="1:63" s="72" customFormat="1" x14ac:dyDescent="0.25">
      <c r="C1" s="270"/>
      <c r="D1" s="117">
        <f ca="1">TODAY()</f>
        <v>43713</v>
      </c>
      <c r="E1" s="664">
        <v>41471</v>
      </c>
      <c r="F1" s="664"/>
      <c r="G1" s="664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30"/>
      <c r="AG1" s="630"/>
      <c r="AH1" s="631"/>
      <c r="AI1" s="631"/>
      <c r="AJ1" s="632"/>
      <c r="AK1" s="631"/>
      <c r="AL1" s="631"/>
      <c r="AM1" s="631"/>
      <c r="AN1" s="631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7.8863636363636367</v>
      </c>
      <c r="J2" s="336"/>
      <c r="K2" s="336"/>
      <c r="M2" s="337">
        <f>AVERAGE(M4:M25)</f>
        <v>4.6818181818181825</v>
      </c>
      <c r="N2" s="336"/>
      <c r="O2" s="336"/>
      <c r="P2" s="336"/>
      <c r="Q2" s="337">
        <f t="shared" ref="Q2:V2" si="0">AVERAGE(Q4:Q25)</f>
        <v>4.6818181818181817</v>
      </c>
      <c r="R2" s="338">
        <f t="shared" si="0"/>
        <v>0.8013336507668275</v>
      </c>
      <c r="S2" s="338">
        <f t="shared" si="0"/>
        <v>0.88245977495550998</v>
      </c>
      <c r="T2" s="339">
        <f t="shared" si="0"/>
        <v>16143.181818181818</v>
      </c>
      <c r="U2" s="339">
        <f t="shared" si="0"/>
        <v>120</v>
      </c>
      <c r="V2" s="339">
        <f t="shared" si="0"/>
        <v>3379.818181818182</v>
      </c>
      <c r="W2" s="340"/>
      <c r="X2" s="341">
        <f>(X4+X5)/2</f>
        <v>11.808333333333334</v>
      </c>
      <c r="Y2" s="341">
        <f>AVERAGE(Y4:Y10)</f>
        <v>9.6228412698412704</v>
      </c>
      <c r="Z2" s="341">
        <f>AVERAGE(Z11:Z16)</f>
        <v>9.2972222222222225</v>
      </c>
      <c r="AA2" s="341">
        <f>AVERAGE(AA17:AA20)</f>
        <v>7</v>
      </c>
      <c r="AB2" s="341">
        <f>AVERAGE(AB5:AB25)</f>
        <v>6.4596825396825395</v>
      </c>
      <c r="AC2" s="341">
        <f>AVERAGE(AC21:AC25)</f>
        <v>6.15</v>
      </c>
      <c r="AD2" s="341">
        <f>AVERAGE(AD4:AD25)</f>
        <v>10.224595959595957</v>
      </c>
      <c r="AE2" s="340"/>
      <c r="AF2" s="633"/>
      <c r="AG2" s="633"/>
      <c r="AH2" s="634"/>
      <c r="AI2" s="634"/>
      <c r="AJ2" s="634"/>
      <c r="AK2" s="634"/>
      <c r="AL2" s="634"/>
      <c r="AM2" s="634"/>
      <c r="AN2" s="634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422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-1.6696428571428572</v>
      </c>
      <c r="D4" s="627" t="s">
        <v>344</v>
      </c>
      <c r="E4" s="133">
        <v>35</v>
      </c>
      <c r="F4" s="138">
        <f ca="1">-42406+$D$1-112-112-112-112-112-112-112-112-112-112-112</f>
        <v>75</v>
      </c>
      <c r="G4" s="134"/>
      <c r="H4" s="309">
        <v>6</v>
      </c>
      <c r="I4" s="102">
        <v>24</v>
      </c>
      <c r="J4" s="185">
        <f>LOG(I4+1)*4/3</f>
        <v>1.863920011562717</v>
      </c>
      <c r="K4" s="98">
        <f t="shared" ref="K4" si="1">(H4)*(H4)*(I4)</f>
        <v>864</v>
      </c>
      <c r="L4" s="98">
        <f t="shared" ref="L4" si="2">(H4+1)*(H4+1)*I4</f>
        <v>1176</v>
      </c>
      <c r="M4" s="135">
        <v>4</v>
      </c>
      <c r="N4" s="178">
        <f>M4*10+19</f>
        <v>59</v>
      </c>
      <c r="O4" s="303">
        <v>42468</v>
      </c>
      <c r="P4" s="304">
        <f ca="1">IF((TODAY()-O4)&gt;335,1,((TODAY()-O4)^0.64)/(336^0.64))</f>
        <v>1</v>
      </c>
      <c r="Q4" s="178">
        <v>4</v>
      </c>
      <c r="R4" s="199">
        <f>(Q4/7)^0.5</f>
        <v>0.7559289460184544</v>
      </c>
      <c r="S4" s="199">
        <f>IF(Q4=7,1,((Q4+0.99)/7)^0.5)</f>
        <v>0.84430867747355465</v>
      </c>
      <c r="T4" s="111">
        <v>34570</v>
      </c>
      <c r="U4" s="268">
        <f t="shared" ref="U4:U20" si="3">T4-BG4</f>
        <v>1260</v>
      </c>
      <c r="V4" s="111">
        <v>13512</v>
      </c>
      <c r="W4" s="108">
        <f t="shared" ref="W4:W26" si="4">T4/V4</f>
        <v>2.5584665482534046</v>
      </c>
      <c r="X4" s="184">
        <f>16+12/18</f>
        <v>16.666666666666668</v>
      </c>
      <c r="Y4" s="185">
        <v>11.95</v>
      </c>
      <c r="Z4" s="184">
        <f>2+0.01+0.01+0.01+0.01+0.01+0.01+0.01</f>
        <v>2.0699999999999985</v>
      </c>
      <c r="AA4" s="185">
        <f>1.94+0.03+0.03+0.03+0.03+0.03+0.03+0.02+0.01</f>
        <v>2.149999999999999</v>
      </c>
      <c r="AB4" s="184">
        <v>0.95</v>
      </c>
      <c r="AC4" s="185">
        <v>0</v>
      </c>
      <c r="AD4" s="184">
        <f>18+0.2</f>
        <v>18.2</v>
      </c>
      <c r="AE4" s="312">
        <v>1379</v>
      </c>
      <c r="AF4" s="635">
        <f ca="1">(Z4+P4+J4)*(Q4/7)^0.5</f>
        <v>3.7296929540799639</v>
      </c>
      <c r="AG4" s="635">
        <f ca="1">(Z4+P4+J4)*(IF(Q4=7, (Q4/7)^0.5, ((Q4+1)/7)^0.5))</f>
        <v>4.1699234902624012</v>
      </c>
      <c r="AH4" s="108">
        <f ca="1">(((Y4+P4+J4)+(AB4+P4+J4)*2)/8)*(Q4/7)^0.5</f>
        <v>2.1205470012276106</v>
      </c>
      <c r="AI4" s="108">
        <f ca="1">(1.66*(AC4+J4+P4)+0.55*(AD4+J4+P4)-7.6)*(Q4/7)^0.5</f>
        <v>6.6062620390705753</v>
      </c>
      <c r="AJ4" s="108">
        <f ca="1">((AD4+J4+P4)*0.7+(AC4+J4+P4)*0.3)*(Q4/7)^0.5</f>
        <v>11.795454808096871</v>
      </c>
      <c r="AK4" s="108">
        <f ca="1">(0.5*(AC4+P4+J4)+ 0.3*(AD4+P4+J4))/10</f>
        <v>0.77511360092501724</v>
      </c>
      <c r="AL4" s="108">
        <f ca="1">(0.4*(Y4+P4+J4)+0.3*(AD4+P4+J4))/10</f>
        <v>1.2244744008093902</v>
      </c>
      <c r="AM4" s="636">
        <f ca="1">(AD4+P4+(LOG(I4)*4/3))*(Q4/7)^0.5</f>
        <v>15.904957935860825</v>
      </c>
      <c r="AN4" s="636">
        <f ca="1">(AD4+P4+(LOG(I4)*4/3))*(IF(Q4=7, (Q4/7)^0.5, ((Q4+1)/7)^0.5))</f>
        <v>17.782283561929773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33310</v>
      </c>
      <c r="BH4" s="316"/>
      <c r="BJ4" s="136"/>
      <c r="BK4" s="139"/>
    </row>
    <row r="5" spans="1:63" s="81" customFormat="1" x14ac:dyDescent="0.25">
      <c r="A5" s="131" t="s">
        <v>428</v>
      </c>
      <c r="B5" s="131" t="s">
        <v>1</v>
      </c>
      <c r="C5" s="132">
        <f ca="1">((34*112)-(E5*112)-(F5))/112</f>
        <v>-5.75</v>
      </c>
      <c r="D5" s="627" t="s">
        <v>93</v>
      </c>
      <c r="E5" s="133">
        <v>39</v>
      </c>
      <c r="F5" s="138">
        <f ca="1">82-41471+$D$1-112-112-112-112-112-112-112-112-112-112-112-112-112-112-112-112-112-112-112-112</f>
        <v>84</v>
      </c>
      <c r="G5" s="134" t="s">
        <v>220</v>
      </c>
      <c r="H5" s="130">
        <v>3</v>
      </c>
      <c r="I5" s="102">
        <v>8.4</v>
      </c>
      <c r="J5" s="185">
        <f t="shared" ref="J5:J20" si="5">LOG(I5+1)*4/3</f>
        <v>1.2975038047995981</v>
      </c>
      <c r="K5" s="98">
        <f t="shared" ref="K5:K20" si="6">(H5)*(H5)*(I5)</f>
        <v>75.600000000000009</v>
      </c>
      <c r="L5" s="98">
        <f t="shared" ref="L5:L20" si="7">(H5+1)*(H5+1)*I5</f>
        <v>134.4</v>
      </c>
      <c r="M5" s="135">
        <v>1.9</v>
      </c>
      <c r="N5" s="178">
        <f t="shared" ref="N5:N20" si="8">M5*10+19</f>
        <v>38</v>
      </c>
      <c r="O5" s="178" t="s">
        <v>256</v>
      </c>
      <c r="P5" s="304">
        <v>1.5</v>
      </c>
      <c r="Q5" s="178">
        <v>2</v>
      </c>
      <c r="R5" s="199">
        <f t="shared" ref="R5:R20" si="9">(Q5/7)^0.5</f>
        <v>0.53452248382484879</v>
      </c>
      <c r="S5" s="199">
        <f t="shared" ref="S5:S20" si="10">IF(Q5=7,1,((Q5+0.99)/7)^0.5)</f>
        <v>0.65356167049702141</v>
      </c>
      <c r="T5" s="111">
        <v>360</v>
      </c>
      <c r="U5" s="268">
        <f t="shared" si="3"/>
        <v>-110</v>
      </c>
      <c r="V5" s="111">
        <v>450</v>
      </c>
      <c r="W5" s="108">
        <f t="shared" si="4"/>
        <v>0.8</v>
      </c>
      <c r="X5" s="184">
        <v>6.95</v>
      </c>
      <c r="Y5" s="185">
        <v>6.95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389</v>
      </c>
      <c r="AF5" s="635">
        <f t="shared" ref="AF5:AF20" si="11">(Z5+P5+J5)*(Q5/7)^0.5</f>
        <v>1.4953286822509462</v>
      </c>
      <c r="AG5" s="635">
        <f t="shared" ref="AG5:AG20" si="12">(Z5+P5+J5)*(IF(Q5=7, (Q5/7)^0.5, ((Q5+1)/7)^0.5))</f>
        <v>1.8313961346315892</v>
      </c>
      <c r="AH5" s="108">
        <f t="shared" ref="AH5:AH20" si="13">(((Y5+P5+J5)+(AB5+P5+J5)*2)/8)*(Q5/7)^0.5</f>
        <v>1.1520637535753437</v>
      </c>
      <c r="AI5" s="108">
        <f t="shared" ref="AI5:AI20" si="14">(1.66*(AC5+J5+P5)+0.55*(AD5+J5+P5)-7.6)*(Q5/7)^0.5</f>
        <v>3.3434292678518927</v>
      </c>
      <c r="AJ5" s="108">
        <f t="shared" ref="AJ5:AJ20" si="15">((AD5+J5+P5)*0.7+(AC5+J5+P5)*0.3)*(Q5/7)^0.5</f>
        <v>6.7149407368005951</v>
      </c>
      <c r="AK5" s="108">
        <f t="shared" ref="AK5:AK20" si="16">(0.5*(AC5+P5+J5)+ 0.3*(AD5+P5+J5))/10</f>
        <v>0.64230030438396779</v>
      </c>
      <c r="AL5" s="108">
        <f t="shared" ref="AL5:AL20" si="17">(0.4*(Y5+P5+J5)+0.3*(AD5+P5+J5))/10</f>
        <v>0.89232526633597187</v>
      </c>
      <c r="AM5" s="636">
        <f t="shared" ref="AM5:AM20" si="18">(AD5+P5+(LOG(I5)*4/3))*(Q5/7)^0.5</f>
        <v>8.9171031214054537</v>
      </c>
      <c r="AN5" s="636">
        <f t="shared" ref="AN5:AN20" si="19">(AD5+P5+(LOG(I5)*4/3))*(IF(Q5=7, (Q5/7)^0.5, ((Q5+1)/7)^0.5))</f>
        <v>10.921176315611259</v>
      </c>
      <c r="AO5" s="178">
        <v>4</v>
      </c>
      <c r="AP5" s="178">
        <v>3</v>
      </c>
      <c r="AQ5" s="241">
        <f t="shared" ref="AQ5:AQ20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470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20" ca="1" si="21">((34*112)-(E6*112)-(F6))/112</f>
        <v>-2.7678571428571428</v>
      </c>
      <c r="D6" s="627" t="s">
        <v>95</v>
      </c>
      <c r="E6" s="133">
        <v>36</v>
      </c>
      <c r="F6" s="138">
        <f ca="1">84-41471+$D$1-112-112-112-112-112-112-112-112-112-112-112-112-112-112-112-112-112-112-112-112</f>
        <v>86</v>
      </c>
      <c r="G6" s="134"/>
      <c r="H6" s="137">
        <v>4</v>
      </c>
      <c r="I6" s="102">
        <v>18.3</v>
      </c>
      <c r="J6" s="185">
        <f t="shared" si="5"/>
        <v>1.7140764120103651</v>
      </c>
      <c r="K6" s="98">
        <f t="shared" si="6"/>
        <v>292.8</v>
      </c>
      <c r="L6" s="98">
        <f t="shared" si="7"/>
        <v>457.5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6</v>
      </c>
      <c r="R6" s="199">
        <f t="shared" si="9"/>
        <v>0.92582009977255142</v>
      </c>
      <c r="S6" s="199">
        <f t="shared" si="10"/>
        <v>0.99928545900129484</v>
      </c>
      <c r="T6" s="111">
        <v>10080</v>
      </c>
      <c r="U6" s="268">
        <f t="shared" si="3"/>
        <v>-520</v>
      </c>
      <c r="V6" s="111">
        <v>2980</v>
      </c>
      <c r="W6" s="108">
        <f t="shared" si="4"/>
        <v>3.3825503355704698</v>
      </c>
      <c r="X6" s="184">
        <v>0</v>
      </c>
      <c r="Y6" s="185">
        <v>11.95</v>
      </c>
      <c r="Z6" s="184">
        <v>11.75</v>
      </c>
      <c r="AA6" s="185">
        <v>8.9499999999999993</v>
      </c>
      <c r="AB6" s="184">
        <v>7.95</v>
      </c>
      <c r="AC6" s="185">
        <v>0.95</v>
      </c>
      <c r="AD6" s="184">
        <f>10.7+0.5+0.5*77/90+0.5+0.45+0.45+0.4+0.35+0.35+0.3+0.35+0.3+0.3+0.3+0.25+0.25+0.2+0.2+0.2+0.2+0.2</f>
        <v>17.177777777777774</v>
      </c>
      <c r="AE6" s="312">
        <v>1444</v>
      </c>
      <c r="AF6" s="635">
        <f t="shared" si="11"/>
        <v>13.85404271677152</v>
      </c>
      <c r="AG6" s="635">
        <f t="shared" si="12"/>
        <v>14.964076412010366</v>
      </c>
      <c r="AH6" s="108">
        <f t="shared" si="13"/>
        <v>4.3388824264997092</v>
      </c>
      <c r="AI6" s="108">
        <f t="shared" si="14"/>
        <v>9.7469290671423661</v>
      </c>
      <c r="AJ6" s="108">
        <f t="shared" si="15"/>
        <v>14.371987628144272</v>
      </c>
      <c r="AK6" s="108">
        <f t="shared" si="16"/>
        <v>0.8199594462941624</v>
      </c>
      <c r="AL6" s="108">
        <f t="shared" si="17"/>
        <v>1.2183186821740588</v>
      </c>
      <c r="AM6" s="636">
        <f t="shared" si="18"/>
        <v>18.850665544221354</v>
      </c>
      <c r="AN6" s="636">
        <f t="shared" si="19"/>
        <v>20.361045897418347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10600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1.1607142857142858</v>
      </c>
      <c r="D7" s="627" t="s">
        <v>258</v>
      </c>
      <c r="E7" s="57">
        <v>32</v>
      </c>
      <c r="F7" s="58">
        <f ca="1">75-41471+$D$1-24-112-10-112-112+6-112-112-112+45-112-112-112-112-112-112-112-112-112-112-112-112-112-112</f>
        <v>94</v>
      </c>
      <c r="G7" s="80"/>
      <c r="H7" s="137">
        <v>4</v>
      </c>
      <c r="I7" s="59">
        <v>6.4</v>
      </c>
      <c r="J7" s="185">
        <f t="shared" si="5"/>
        <v>1.1589756263079682</v>
      </c>
      <c r="K7" s="98">
        <f t="shared" si="6"/>
        <v>102.4</v>
      </c>
      <c r="L7" s="98">
        <f t="shared" si="7"/>
        <v>160</v>
      </c>
      <c r="M7" s="92">
        <v>5.0999999999999996</v>
      </c>
      <c r="N7" s="178">
        <f t="shared" si="8"/>
        <v>70</v>
      </c>
      <c r="O7" s="178" t="s">
        <v>256</v>
      </c>
      <c r="P7" s="304">
        <v>1.5</v>
      </c>
      <c r="Q7" s="179">
        <v>6</v>
      </c>
      <c r="R7" s="199">
        <f t="shared" si="9"/>
        <v>0.92582009977255142</v>
      </c>
      <c r="S7" s="199">
        <f t="shared" si="10"/>
        <v>0.99928545900129484</v>
      </c>
      <c r="T7" s="269">
        <v>11410</v>
      </c>
      <c r="U7" s="268">
        <f t="shared" si="3"/>
        <v>-360</v>
      </c>
      <c r="V7" s="269">
        <v>1710</v>
      </c>
      <c r="W7" s="108">
        <f t="shared" si="4"/>
        <v>6.6725146198830405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f>5.8+0.05+0.05+0.05+0.05+0.04+0.04+0.03+0.02+0.02+0.01</f>
        <v>6.1599999999999984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1029</v>
      </c>
      <c r="AF7" s="635">
        <f t="shared" si="11"/>
        <v>9.8682938778216371</v>
      </c>
      <c r="AG7" s="635">
        <f t="shared" si="12"/>
        <v>10.658975626307969</v>
      </c>
      <c r="AH7" s="108">
        <f t="shared" si="13"/>
        <v>4.0861371240634003</v>
      </c>
      <c r="AI7" s="108">
        <f t="shared" si="14"/>
        <v>9.7287002220285981</v>
      </c>
      <c r="AJ7" s="108">
        <f t="shared" si="15"/>
        <v>11.923871671566637</v>
      </c>
      <c r="AK7" s="108">
        <f t="shared" si="16"/>
        <v>0.76030138343797071</v>
      </c>
      <c r="AL7" s="108">
        <f t="shared" si="17"/>
        <v>0.97039829384155785</v>
      </c>
      <c r="AM7" s="636">
        <f t="shared" si="18"/>
        <v>14.730740034390074</v>
      </c>
      <c r="AN7" s="636">
        <f t="shared" si="19"/>
        <v>15.911017743089626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11770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-2.4285714285714284</v>
      </c>
      <c r="D8" s="627" t="s">
        <v>364</v>
      </c>
      <c r="E8" s="133">
        <v>36</v>
      </c>
      <c r="F8" s="58">
        <f ca="1">46-41471+$D$1-112-112-112-112-112-112-112-112-112-112-112-112-112-112-112-112-112-112-112-112</f>
        <v>48</v>
      </c>
      <c r="G8" s="134" t="s">
        <v>96</v>
      </c>
      <c r="H8" s="130">
        <v>0</v>
      </c>
      <c r="I8" s="102">
        <v>17.399999999999999</v>
      </c>
      <c r="J8" s="185">
        <f t="shared" si="5"/>
        <v>1.6864237640127151</v>
      </c>
      <c r="K8" s="98">
        <f t="shared" si="6"/>
        <v>0</v>
      </c>
      <c r="L8" s="98">
        <f t="shared" si="7"/>
        <v>17.399999999999999</v>
      </c>
      <c r="M8" s="135">
        <v>3.5</v>
      </c>
      <c r="N8" s="178">
        <f t="shared" si="8"/>
        <v>54</v>
      </c>
      <c r="O8" s="178" t="s">
        <v>256</v>
      </c>
      <c r="P8" s="304">
        <v>1.5</v>
      </c>
      <c r="Q8" s="178">
        <v>5</v>
      </c>
      <c r="R8" s="199">
        <f t="shared" si="9"/>
        <v>0.84515425472851657</v>
      </c>
      <c r="S8" s="199">
        <f t="shared" si="10"/>
        <v>0.92504826128926143</v>
      </c>
      <c r="T8" s="111">
        <v>15880</v>
      </c>
      <c r="U8" s="268">
        <f t="shared" si="3"/>
        <v>640</v>
      </c>
      <c r="V8" s="111">
        <v>5520</v>
      </c>
      <c r="W8" s="108">
        <f t="shared" si="4"/>
        <v>2.8768115942028984</v>
      </c>
      <c r="X8" s="184">
        <v>0</v>
      </c>
      <c r="Y8" s="185">
        <v>11.95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1740</v>
      </c>
      <c r="AF8" s="635">
        <f t="shared" si="11"/>
        <v>12.792612945529173</v>
      </c>
      <c r="AG8" s="635">
        <f t="shared" si="12"/>
        <v>14.01360535939787</v>
      </c>
      <c r="AH8" s="108">
        <f t="shared" si="13"/>
        <v>4.3746527272091811</v>
      </c>
      <c r="AI8" s="108">
        <f t="shared" si="14"/>
        <v>14.621588241499204</v>
      </c>
      <c r="AJ8" s="108">
        <f t="shared" si="15"/>
        <v>14.318961529568872</v>
      </c>
      <c r="AK8" s="108">
        <f t="shared" si="16"/>
        <v>1.0283139011210172</v>
      </c>
      <c r="AL8" s="108">
        <f t="shared" si="17"/>
        <v>1.2269496634808901</v>
      </c>
      <c r="AM8" s="636">
        <f t="shared" si="18"/>
        <v>17.481226101332069</v>
      </c>
      <c r="AN8" s="636">
        <f t="shared" si="19"/>
        <v>19.149723737095329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15240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-1.0625</v>
      </c>
      <c r="D9" s="627" t="s">
        <v>291</v>
      </c>
      <c r="E9" s="57">
        <v>35</v>
      </c>
      <c r="F9" s="58">
        <f ca="1">7-41471+$D$1-112-111-3-112-112-112-112-112-112-112-112-112-112-112-112-112-112-112-112-112-112</f>
        <v>7</v>
      </c>
      <c r="G9" s="134" t="s">
        <v>94</v>
      </c>
      <c r="H9" s="130">
        <v>3</v>
      </c>
      <c r="I9" s="59">
        <v>15</v>
      </c>
      <c r="J9" s="185">
        <f t="shared" si="5"/>
        <v>1.6054933102078996</v>
      </c>
      <c r="K9" s="98">
        <f t="shared" si="6"/>
        <v>135</v>
      </c>
      <c r="L9" s="98">
        <f t="shared" si="7"/>
        <v>240</v>
      </c>
      <c r="M9" s="92">
        <v>4.0999999999999996</v>
      </c>
      <c r="N9" s="178">
        <f t="shared" si="8"/>
        <v>60</v>
      </c>
      <c r="O9" s="178" t="s">
        <v>256</v>
      </c>
      <c r="P9" s="304">
        <v>1.5</v>
      </c>
      <c r="Q9" s="179">
        <v>6</v>
      </c>
      <c r="R9" s="199">
        <f t="shared" si="9"/>
        <v>0.92582009977255142</v>
      </c>
      <c r="S9" s="199">
        <f t="shared" si="10"/>
        <v>0.99928545900129484</v>
      </c>
      <c r="T9" s="111">
        <v>23280</v>
      </c>
      <c r="U9" s="268">
        <f t="shared" si="3"/>
        <v>-1340</v>
      </c>
      <c r="V9" s="269">
        <v>8170</v>
      </c>
      <c r="W9" s="108">
        <f t="shared" si="4"/>
        <v>2.8494492044063646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14</v>
      </c>
      <c r="AA9" s="185">
        <f>11.58+0.17+(0.17/2)+0.17+0.15+0.03+0.15+0.14+0.13+0.12+0.11+0.11</f>
        <v>12.945</v>
      </c>
      <c r="AB9" s="184">
        <v>9.9499999999999993</v>
      </c>
      <c r="AC9" s="185">
        <v>3.95</v>
      </c>
      <c r="AD9" s="184">
        <v>16</v>
      </c>
      <c r="AE9" s="312">
        <v>1856</v>
      </c>
      <c r="AF9" s="635">
        <f t="shared" si="11"/>
        <v>15.83660952311539</v>
      </c>
      <c r="AG9" s="635">
        <f t="shared" si="12"/>
        <v>17.105493310207901</v>
      </c>
      <c r="AH9" s="108">
        <f t="shared" si="13"/>
        <v>4.4578407457445843</v>
      </c>
      <c r="AI9" s="108">
        <f t="shared" si="14"/>
        <v>13.535619673057951</v>
      </c>
      <c r="AJ9" s="108">
        <f t="shared" si="15"/>
        <v>14.341410061982717</v>
      </c>
      <c r="AK9" s="108">
        <f t="shared" si="16"/>
        <v>0.92593946481663192</v>
      </c>
      <c r="AL9" s="108">
        <f t="shared" si="17"/>
        <v>1.0695311983812197</v>
      </c>
      <c r="AM9" s="636">
        <f t="shared" si="18"/>
        <v>17.653650315087059</v>
      </c>
      <c r="AN9" s="636">
        <f t="shared" si="19"/>
        <v>19.068121678740908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24620</v>
      </c>
      <c r="BH9" s="316"/>
      <c r="BJ9" s="136"/>
      <c r="BK9" s="139"/>
    </row>
    <row r="10" spans="1:63" s="82" customFormat="1" ht="14.25" customHeight="1" x14ac:dyDescent="0.25">
      <c r="A10" s="100" t="s">
        <v>427</v>
      </c>
      <c r="B10" s="79" t="s">
        <v>2</v>
      </c>
      <c r="C10" s="132">
        <f t="shared" ca="1" si="21"/>
        <v>-0.6428571428571429</v>
      </c>
      <c r="D10" s="627" t="s">
        <v>181</v>
      </c>
      <c r="E10" s="57">
        <v>34</v>
      </c>
      <c r="F10" s="58">
        <f ca="1">59-41471+$D$1-325-112-112-112-112-112-112-112-112-112-112-112-112-112-112-112-112-112</f>
        <v>72</v>
      </c>
      <c r="G10" s="80"/>
      <c r="H10" s="130">
        <v>2</v>
      </c>
      <c r="I10" s="59">
        <v>4.5</v>
      </c>
      <c r="J10" s="185">
        <f t="shared" si="5"/>
        <v>0.98715025265899181</v>
      </c>
      <c r="K10" s="98">
        <f t="shared" si="6"/>
        <v>18</v>
      </c>
      <c r="L10" s="98">
        <f t="shared" si="7"/>
        <v>40.5</v>
      </c>
      <c r="M10" s="92">
        <v>4.3</v>
      </c>
      <c r="N10" s="178">
        <f t="shared" si="8"/>
        <v>62</v>
      </c>
      <c r="O10" s="178" t="s">
        <v>256</v>
      </c>
      <c r="P10" s="304">
        <v>1.5</v>
      </c>
      <c r="Q10" s="179">
        <v>1</v>
      </c>
      <c r="R10" s="199">
        <f t="shared" si="9"/>
        <v>0.3779644730092272</v>
      </c>
      <c r="S10" s="199">
        <f t="shared" si="10"/>
        <v>0.53318450304347209</v>
      </c>
      <c r="T10" s="111">
        <v>1270</v>
      </c>
      <c r="U10" s="268">
        <f t="shared" si="3"/>
        <v>0</v>
      </c>
      <c r="V10" s="269">
        <v>1190</v>
      </c>
      <c r="W10" s="108">
        <f t="shared" si="4"/>
        <v>1.0672268907563025</v>
      </c>
      <c r="X10" s="184">
        <v>0</v>
      </c>
      <c r="Y10" s="185">
        <f>4.45+0.06+0.2+0.06+0.06+(0.06*68/90)+0.06+0.06+0.06+0.04+(0.22*35/90)+0.04+0.04+0.04+0.04+0.04+0.04*0.5+0.2*66/90+0.02+0.12*33/90+0.02+0.02</f>
        <v>5.6515555555555519</v>
      </c>
      <c r="Z10" s="184">
        <v>9</v>
      </c>
      <c r="AA10" s="185">
        <v>6.95</v>
      </c>
      <c r="AB10" s="184">
        <v>8.9499999999999993</v>
      </c>
      <c r="AC10" s="185">
        <v>2.95</v>
      </c>
      <c r="AD10" s="184">
        <f>10+0.65+0.65+0.5+0.4+0.25+0.2+0.25*71/90</f>
        <v>12.847222222222223</v>
      </c>
      <c r="AE10" s="312">
        <v>864</v>
      </c>
      <c r="AF10" s="635">
        <f t="shared" si="11"/>
        <v>4.3417346916240671</v>
      </c>
      <c r="AG10" s="635">
        <f t="shared" si="12"/>
        <v>6.1401400851205237</v>
      </c>
      <c r="AH10" s="108">
        <f t="shared" si="13"/>
        <v>1.4652268234657697</v>
      </c>
      <c r="AI10" s="108">
        <f t="shared" si="14"/>
        <v>3.7265687970617782</v>
      </c>
      <c r="AJ10" s="108">
        <f t="shared" si="15"/>
        <v>4.673608496952447</v>
      </c>
      <c r="AK10" s="108">
        <f t="shared" si="16"/>
        <v>0.73188868687938613</v>
      </c>
      <c r="AL10" s="108">
        <f t="shared" si="17"/>
        <v>0.78557940657501812</v>
      </c>
      <c r="AM10" s="636">
        <f t="shared" si="18"/>
        <v>5.7519284510780038</v>
      </c>
      <c r="AN10" s="636">
        <f t="shared" si="19"/>
        <v>8.1344552253141824</v>
      </c>
      <c r="AO10" s="179">
        <v>1</v>
      </c>
      <c r="AP10" s="179">
        <v>2</v>
      </c>
      <c r="AQ10" s="241">
        <f t="shared" si="20"/>
        <v>4.9399999999999999E-2</v>
      </c>
      <c r="AR10" s="313"/>
      <c r="AS10" s="313"/>
      <c r="AT10" s="313"/>
      <c r="AU10" s="313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111">
        <v>1270</v>
      </c>
      <c r="BH10" s="316"/>
      <c r="BJ10" s="136"/>
      <c r="BK10" s="139"/>
    </row>
    <row r="11" spans="1:63" s="78" customFormat="1" x14ac:dyDescent="0.25">
      <c r="A11" s="131" t="s">
        <v>264</v>
      </c>
      <c r="B11" s="131" t="s">
        <v>62</v>
      </c>
      <c r="C11" s="132">
        <f t="shared" ca="1" si="21"/>
        <v>14.732142857142858</v>
      </c>
      <c r="D11" s="314" t="s">
        <v>404</v>
      </c>
      <c r="E11" s="133">
        <v>19</v>
      </c>
      <c r="F11" s="58">
        <f ca="1">-43571+$D$1-112</f>
        <v>30</v>
      </c>
      <c r="G11" s="134" t="s">
        <v>220</v>
      </c>
      <c r="H11" s="130">
        <v>4</v>
      </c>
      <c r="I11" s="102">
        <v>0.5</v>
      </c>
      <c r="J11" s="185">
        <f t="shared" si="5"/>
        <v>0.23478834540757498</v>
      </c>
      <c r="K11" s="98">
        <f t="shared" si="6"/>
        <v>8</v>
      </c>
      <c r="L11" s="98">
        <f t="shared" si="7"/>
        <v>12.5</v>
      </c>
      <c r="M11" s="135">
        <v>5.5</v>
      </c>
      <c r="N11" s="178">
        <f t="shared" si="8"/>
        <v>74</v>
      </c>
      <c r="O11" s="303">
        <v>43626</v>
      </c>
      <c r="P11" s="304">
        <f t="shared" ref="P11:P20" ca="1" si="22">IF((TODAY()-O11)&gt;335,1,((TODAY()-O11)^0.64)/(336^0.64))</f>
        <v>0.42114842817984777</v>
      </c>
      <c r="Q11" s="178">
        <v>5</v>
      </c>
      <c r="R11" s="199">
        <f t="shared" si="9"/>
        <v>0.84515425472851657</v>
      </c>
      <c r="S11" s="199">
        <f t="shared" si="10"/>
        <v>0.92504826128926143</v>
      </c>
      <c r="T11" s="111">
        <v>11590</v>
      </c>
      <c r="U11" s="268">
        <f t="shared" si="3"/>
        <v>710</v>
      </c>
      <c r="V11" s="111">
        <v>1884</v>
      </c>
      <c r="W11" s="108">
        <f t="shared" si="4"/>
        <v>6.1518046709129512</v>
      </c>
      <c r="X11" s="184">
        <v>0</v>
      </c>
      <c r="Y11" s="185">
        <v>4</v>
      </c>
      <c r="Z11" s="184">
        <f>9+2/5</f>
        <v>9.4</v>
      </c>
      <c r="AA11" s="185">
        <v>3</v>
      </c>
      <c r="AB11" s="184">
        <v>4</v>
      </c>
      <c r="AC11" s="185">
        <v>7</v>
      </c>
      <c r="AD11" s="184">
        <v>6</v>
      </c>
      <c r="AE11" s="312">
        <v>722</v>
      </c>
      <c r="AF11" s="635">
        <f t="shared" ca="1" si="11"/>
        <v>8.498817749478361</v>
      </c>
      <c r="AG11" s="635">
        <f t="shared" ca="1" si="12"/>
        <v>9.3099883870291755</v>
      </c>
      <c r="AH11" s="108">
        <f t="shared" ca="1" si="13"/>
        <v>1.4756192902291394</v>
      </c>
      <c r="AI11" s="108">
        <f t="shared" ca="1" si="14"/>
        <v>7.4116818832297175</v>
      </c>
      <c r="AJ11" s="108">
        <f t="shared" ca="1" si="15"/>
        <v>5.8788395598199594</v>
      </c>
      <c r="AK11" s="108">
        <f t="shared" ca="1" si="16"/>
        <v>0.58247494188699378</v>
      </c>
      <c r="AL11" s="108">
        <f t="shared" ca="1" si="17"/>
        <v>0.38591557415111954</v>
      </c>
      <c r="AM11" s="636">
        <f t="shared" ca="1" si="18"/>
        <v>5.0876385388044305</v>
      </c>
      <c r="AN11" s="636">
        <f t="shared" ca="1" si="19"/>
        <v>5.5732287842716177</v>
      </c>
      <c r="AO11" s="178">
        <v>4</v>
      </c>
      <c r="AP11" s="178">
        <v>3</v>
      </c>
      <c r="AQ11" s="241">
        <f t="shared" si="20"/>
        <v>0.157</v>
      </c>
      <c r="AR11" s="320">
        <v>6</v>
      </c>
      <c r="AS11" s="320">
        <v>28</v>
      </c>
      <c r="AT11" s="320">
        <v>16</v>
      </c>
      <c r="AU11" s="320">
        <v>5</v>
      </c>
      <c r="AV11" s="320">
        <f>AR11*1+AS11*0.066</f>
        <v>7.8479999999999999</v>
      </c>
      <c r="AW11" s="320">
        <f>AR11*0.919+AS11*0.167</f>
        <v>10.190000000000001</v>
      </c>
      <c r="AX11" s="320">
        <f>AR11*1+AS11*0.236</f>
        <v>12.608000000000001</v>
      </c>
      <c r="AY11" s="320">
        <f>AR11*0.75+AS11*0.165</f>
        <v>9.120000000000001</v>
      </c>
      <c r="AZ11" s="320">
        <f>AR11*0.73+AS11*0.38</f>
        <v>15.02</v>
      </c>
      <c r="BA11" s="320">
        <f>AR11*0.45+AS11*1</f>
        <v>30.7</v>
      </c>
      <c r="BB11" s="320">
        <f>AR11*0.65+AS11*0.95</f>
        <v>30.5</v>
      </c>
      <c r="BC11" s="320">
        <f>AR11*0.3+AS11*0.53</f>
        <v>16.64</v>
      </c>
      <c r="BD11" s="320">
        <f>AR11*0.4+AS11*0.44</f>
        <v>14.72</v>
      </c>
      <c r="BE11" s="320">
        <f>AR11*0.25+AS11*0.73</f>
        <v>21.939999999999998</v>
      </c>
      <c r="BF11" s="320">
        <f>AS11*0.46</f>
        <v>12.88</v>
      </c>
      <c r="BG11" s="111">
        <v>10880</v>
      </c>
      <c r="BH11" s="316">
        <v>2327</v>
      </c>
      <c r="BI11" s="641">
        <f>AU11+AT11+AS11+AR11</f>
        <v>55</v>
      </c>
      <c r="BJ11" s="136"/>
      <c r="BK11" s="139"/>
    </row>
    <row r="12" spans="1:63" s="78" customFormat="1" x14ac:dyDescent="0.25">
      <c r="A12" s="131" t="s">
        <v>179</v>
      </c>
      <c r="B12" s="131" t="s">
        <v>62</v>
      </c>
      <c r="C12" s="132">
        <f t="shared" ca="1" si="21"/>
        <v>15.241071428571429</v>
      </c>
      <c r="D12" s="314" t="s">
        <v>424</v>
      </c>
      <c r="E12" s="133">
        <v>18</v>
      </c>
      <c r="F12" s="58">
        <f ca="1">-43628+$D$1</f>
        <v>85</v>
      </c>
      <c r="G12" s="134" t="s">
        <v>105</v>
      </c>
      <c r="H12" s="309">
        <v>6</v>
      </c>
      <c r="I12" s="102">
        <v>1.4</v>
      </c>
      <c r="J12" s="185">
        <f t="shared" si="5"/>
        <v>0.50694832228214137</v>
      </c>
      <c r="K12" s="98">
        <f t="shared" si="6"/>
        <v>50.4</v>
      </c>
      <c r="L12" s="98">
        <f t="shared" si="7"/>
        <v>68.599999999999994</v>
      </c>
      <c r="M12" s="135">
        <v>4.5999999999999996</v>
      </c>
      <c r="N12" s="178">
        <f t="shared" si="8"/>
        <v>65</v>
      </c>
      <c r="O12" s="303">
        <v>43633</v>
      </c>
      <c r="P12" s="304">
        <f t="shared" ca="1" si="22"/>
        <v>0.39913558962999812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16840</v>
      </c>
      <c r="U12" s="268">
        <f t="shared" si="3"/>
        <v>980</v>
      </c>
      <c r="V12" s="111">
        <v>1490</v>
      </c>
      <c r="W12" s="108">
        <f t="shared" si="4"/>
        <v>11.302013422818792</v>
      </c>
      <c r="X12" s="184">
        <v>0</v>
      </c>
      <c r="Y12" s="185">
        <v>3</v>
      </c>
      <c r="Z12" s="184">
        <f>8+1/5</f>
        <v>8.1999999999999993</v>
      </c>
      <c r="AA12" s="185">
        <v>2</v>
      </c>
      <c r="AB12" s="184">
        <v>6</v>
      </c>
      <c r="AC12" s="185">
        <v>9</v>
      </c>
      <c r="AD12" s="184">
        <v>2</v>
      </c>
      <c r="AE12" s="312">
        <v>756</v>
      </c>
      <c r="AF12" s="635">
        <f t="shared" ref="AF12" ca="1" si="23">(Z12+P12+J12)*(Q12/7)^0.5</f>
        <v>8.4305955158637218</v>
      </c>
      <c r="AG12" s="635">
        <f t="shared" ref="AG12" ca="1" si="24">(Z12+P12+J12)*(IF(Q12=7, (Q12/7)^0.5, ((Q12+1)/7)^0.5))</f>
        <v>9.1060839119121386</v>
      </c>
      <c r="AH12" s="108">
        <f t="shared" ca="1" si="13"/>
        <v>2.0504891987218339</v>
      </c>
      <c r="AI12" s="108">
        <f t="shared" ca="1" si="14"/>
        <v>9.6678258840609832</v>
      </c>
      <c r="AJ12" s="108">
        <f t="shared" ca="1" si="15"/>
        <v>4.6347331067962614</v>
      </c>
      <c r="AK12" s="108">
        <f t="shared" ca="1" si="16"/>
        <v>0.58248671295297116</v>
      </c>
      <c r="AL12" s="108">
        <f t="shared" ca="1" si="17"/>
        <v>0.24342587383384978</v>
      </c>
      <c r="AM12" s="636">
        <f t="shared" ca="1" si="18"/>
        <v>2.4015523143873811</v>
      </c>
      <c r="AN12" s="636">
        <f t="shared" ca="1" si="19"/>
        <v>2.5939729705343151</v>
      </c>
      <c r="AO12" s="178">
        <v>4</v>
      </c>
      <c r="AP12" s="178">
        <v>2</v>
      </c>
      <c r="AQ12" s="241">
        <f t="shared" si="20"/>
        <v>0.157</v>
      </c>
      <c r="AR12" s="320">
        <v>3</v>
      </c>
      <c r="AS12" s="320">
        <v>21</v>
      </c>
      <c r="AT12" s="320">
        <v>27</v>
      </c>
      <c r="AU12" s="320">
        <v>1</v>
      </c>
      <c r="AV12" s="320">
        <f t="shared" ref="AV12:AV20" si="25">AR12*1+AS12*0.066</f>
        <v>4.3860000000000001</v>
      </c>
      <c r="AW12" s="320">
        <f t="shared" ref="AW12:AW20" si="26">AR12*0.919+AS12*0.167</f>
        <v>6.2640000000000002</v>
      </c>
      <c r="AX12" s="320">
        <f t="shared" ref="AX12:AX20" si="27">AR12*1+AS12*0.236</f>
        <v>7.9559999999999995</v>
      </c>
      <c r="AY12" s="320">
        <f t="shared" ref="AY12:AY20" si="28">AR12*0.75+AS12*0.165</f>
        <v>5.7149999999999999</v>
      </c>
      <c r="AZ12" s="320">
        <f t="shared" ref="AZ12:AZ20" si="29">AR12*0.73+AS12*0.38</f>
        <v>10.17</v>
      </c>
      <c r="BA12" s="320">
        <f t="shared" ref="BA12:BA20" si="30">AR12*0.45+AS12*1</f>
        <v>22.35</v>
      </c>
      <c r="BB12" s="320">
        <f t="shared" ref="BB12:BB20" si="31">AR12*0.65+AS12*0.95</f>
        <v>21.9</v>
      </c>
      <c r="BC12" s="320">
        <f t="shared" ref="BC12:BC20" si="32">AR12*0.3+AS12*0.53</f>
        <v>12.030000000000001</v>
      </c>
      <c r="BD12" s="320">
        <f t="shared" ref="BD12:BD20" si="33">AR12*0.4+AS12*0.44</f>
        <v>10.440000000000001</v>
      </c>
      <c r="BE12" s="320">
        <f t="shared" ref="BE12:BE20" si="34">AR12*0.25+AS12*0.73</f>
        <v>16.079999999999998</v>
      </c>
      <c r="BF12" s="320">
        <f t="shared" ref="BF12:BF20" si="35">AS12*0.46</f>
        <v>9.66</v>
      </c>
      <c r="BG12" s="111">
        <v>15860</v>
      </c>
      <c r="BH12" s="316">
        <v>4689</v>
      </c>
      <c r="BI12" s="641">
        <f t="shared" ref="BI12:BI21" si="36">AU12+AT12+AS12+AR12</f>
        <v>52</v>
      </c>
      <c r="BJ12" s="136"/>
      <c r="BK12" s="139"/>
    </row>
    <row r="13" spans="1:63" s="78" customFormat="1" x14ac:dyDescent="0.25">
      <c r="A13" s="131" t="s">
        <v>223</v>
      </c>
      <c r="B13" s="131" t="s">
        <v>62</v>
      </c>
      <c r="C13" s="132">
        <f ca="1">((34*112)-(E13*112)-(F13))/112</f>
        <v>14.589285714285714</v>
      </c>
      <c r="D13" s="314" t="s">
        <v>423</v>
      </c>
      <c r="E13" s="133">
        <v>19</v>
      </c>
      <c r="F13" s="58">
        <f ca="1">-43569+$D$1+14-112</f>
        <v>46</v>
      </c>
      <c r="G13" s="134" t="s">
        <v>96</v>
      </c>
      <c r="H13" s="130">
        <v>1</v>
      </c>
      <c r="I13" s="102">
        <v>2</v>
      </c>
      <c r="J13" s="185">
        <f>LOG(I13+1)*4/3</f>
        <v>0.63616167295954995</v>
      </c>
      <c r="K13" s="98">
        <f>(H13)*(H13)*(I13)</f>
        <v>2</v>
      </c>
      <c r="L13" s="98">
        <f>(H13+1)*(H13+1)*I13</f>
        <v>8</v>
      </c>
      <c r="M13" s="135">
        <v>4.7</v>
      </c>
      <c r="N13" s="178">
        <f>M13*10+19</f>
        <v>66</v>
      </c>
      <c r="O13" s="303">
        <v>43630</v>
      </c>
      <c r="P13" s="304">
        <f ca="1">IF((TODAY()-O13)&gt;335,1,((TODAY()-O13)^0.64)/(336^0.64))</f>
        <v>0.40865125931141716</v>
      </c>
      <c r="Q13" s="178">
        <v>4</v>
      </c>
      <c r="R13" s="199">
        <f>(Q13/7)^0.5</f>
        <v>0.7559289460184544</v>
      </c>
      <c r="S13" s="199">
        <f>IF(Q13=7,1,((Q13+0.99)/7)^0.5)</f>
        <v>0.84430867747355465</v>
      </c>
      <c r="T13" s="111">
        <v>14850</v>
      </c>
      <c r="U13" s="268">
        <f>T13-BG13</f>
        <v>-840</v>
      </c>
      <c r="V13" s="111">
        <v>2436</v>
      </c>
      <c r="W13" s="108">
        <f>T13/V13</f>
        <v>6.0960591133004929</v>
      </c>
      <c r="X13" s="184">
        <v>0</v>
      </c>
      <c r="Y13" s="185">
        <v>4</v>
      </c>
      <c r="Z13" s="184">
        <f>10+1/6</f>
        <v>10.166666666666666</v>
      </c>
      <c r="AA13" s="185">
        <v>3</v>
      </c>
      <c r="AB13" s="184">
        <v>2</v>
      </c>
      <c r="AC13" s="185">
        <v>8</v>
      </c>
      <c r="AD13" s="184">
        <v>0</v>
      </c>
      <c r="AE13" s="312">
        <v>754</v>
      </c>
      <c r="AF13" s="635">
        <f ca="1">(Z13+P13+J13)*(Q13/7)^0.5</f>
        <v>8.4750819565323301</v>
      </c>
      <c r="AG13" s="635">
        <f ca="1">(Z13+P13+J13)*(IF(Q13=7, (Q13/7)^0.5, ((Q13+1)/7)^0.5))</f>
        <v>9.4754296848441051</v>
      </c>
      <c r="AH13" s="108">
        <f ca="1">(((Y13+P13+J13)+(AB13+P13+J13)*2)/8)*(Q13/7)^0.5</f>
        <v>1.0521055730227205</v>
      </c>
      <c r="AI13" s="108">
        <f ca="1">(1.66*(AC13+J13+P13)+0.55*(AD13+J13+P13)-7.6)*(Q13/7)^0.5</f>
        <v>6.0391440018632974</v>
      </c>
      <c r="AJ13" s="108">
        <f ca="1">((AD13+J13+P13)*0.7+(AC13+J13+P13)*0.3)*(Q13/7)^0.5</f>
        <v>2.6040338091223338</v>
      </c>
      <c r="AK13" s="108">
        <f ca="1">(0.5*(AC13+P13+J13)+ 0.3*(AD13+P13+J13))/10</f>
        <v>0.4835850345816774</v>
      </c>
      <c r="AL13" s="108">
        <f ca="1">(0.4*(Y13+P13+J13)+0.3*(AD13+P13+J13))/10</f>
        <v>0.23313690525896771</v>
      </c>
      <c r="AM13" s="636">
        <f ca="1">(AD13+P13+(LOG(I13)*4/3))*(Q13/7)^0.5</f>
        <v>0.61232103219667788</v>
      </c>
      <c r="AN13" s="636">
        <f ca="1">(AD13+P13+(LOG(I13)*4/3))*(IF(Q13=7, (Q13/7)^0.5, ((Q13+1)/7)^0.5))</f>
        <v>0.68459572602230467</v>
      </c>
      <c r="AO13" s="178">
        <v>3</v>
      </c>
      <c r="AP13" s="178">
        <v>0</v>
      </c>
      <c r="AQ13" s="241">
        <f>IF(AO13=4,IF(AP13=0,0.137+0.0697,0.137+0.02),IF(AO13=3,IF(AP13=0,0.0958+0.0697,0.0958+0.02),IF(AO13=2,IF(AP13=0,0.0415+0.0697,0.0415+0.02),IF(AO13=1,IF(AP13=0,0.0294+0.0697,0.0294+0.02),IF(AO13=0,IF(AP13=0,0.0063+0.0697,0.0063+0.02))))))</f>
        <v>0.16549999999999998</v>
      </c>
      <c r="AR13" s="320">
        <v>6</v>
      </c>
      <c r="AS13" s="320">
        <v>34</v>
      </c>
      <c r="AT13" s="320">
        <v>21</v>
      </c>
      <c r="AU13" s="320">
        <v>-1</v>
      </c>
      <c r="AV13" s="320">
        <f>AR13*1+AS13*0.066</f>
        <v>8.2439999999999998</v>
      </c>
      <c r="AW13" s="320">
        <f>AR13*0.919+AS13*0.167</f>
        <v>11.192</v>
      </c>
      <c r="AX13" s="320">
        <f>AR13*1+AS13*0.236</f>
        <v>14.023999999999999</v>
      </c>
      <c r="AY13" s="320">
        <f>AR13*0.75+AS13*0.165</f>
        <v>10.11</v>
      </c>
      <c r="AZ13" s="320">
        <f>AR13*0.73+AS13*0.38</f>
        <v>17.3</v>
      </c>
      <c r="BA13" s="320">
        <f>AR13*0.45+AS13*1</f>
        <v>36.700000000000003</v>
      </c>
      <c r="BB13" s="320">
        <f>AR13*0.65+AS13*0.95</f>
        <v>36.199999999999996</v>
      </c>
      <c r="BC13" s="320">
        <f>AR13*0.3+AS13*0.53</f>
        <v>19.82</v>
      </c>
      <c r="BD13" s="320">
        <f>AR13*0.4+AS13*0.44</f>
        <v>17.36</v>
      </c>
      <c r="BE13" s="320">
        <f>AR13*0.25+AS13*0.73</f>
        <v>26.32</v>
      </c>
      <c r="BF13" s="320">
        <f>AS13*0.46</f>
        <v>15.64</v>
      </c>
      <c r="BG13" s="111">
        <v>15690</v>
      </c>
      <c r="BH13" s="316">
        <v>1887</v>
      </c>
      <c r="BI13" s="641">
        <f t="shared" si="36"/>
        <v>60</v>
      </c>
      <c r="BJ13" s="136"/>
      <c r="BK13" s="139"/>
    </row>
    <row r="14" spans="1:63" s="78" customFormat="1" x14ac:dyDescent="0.25">
      <c r="A14" s="131" t="s">
        <v>172</v>
      </c>
      <c r="B14" s="131" t="s">
        <v>62</v>
      </c>
      <c r="C14" s="132">
        <f ca="1">((34*112)-(E14*112)-(F14))/112</f>
        <v>14.589285714285714</v>
      </c>
      <c r="D14" s="314" t="s">
        <v>418</v>
      </c>
      <c r="E14" s="133">
        <v>19</v>
      </c>
      <c r="F14" s="58">
        <f ca="1">-43569+$D$1+14-112</f>
        <v>46</v>
      </c>
      <c r="G14" s="134" t="s">
        <v>105</v>
      </c>
      <c r="H14" s="130">
        <v>1</v>
      </c>
      <c r="I14" s="102">
        <v>2</v>
      </c>
      <c r="J14" s="185">
        <f>LOG(I14+1)*4/3</f>
        <v>0.63616167295954995</v>
      </c>
      <c r="K14" s="98">
        <f>(H14)*(H14)*(I14)</f>
        <v>2</v>
      </c>
      <c r="L14" s="98">
        <f>(H14+1)*(H14+1)*I14</f>
        <v>8</v>
      </c>
      <c r="M14" s="135">
        <v>6</v>
      </c>
      <c r="N14" s="178">
        <f>M14*10+19</f>
        <v>79</v>
      </c>
      <c r="O14" s="303">
        <v>43627</v>
      </c>
      <c r="P14" s="304">
        <f ca="1">IF((TODAY()-O14)&gt;335,1,((TODAY()-O14)^0.64)/(336^0.64))</f>
        <v>0.41804388130271769</v>
      </c>
      <c r="Q14" s="178">
        <v>6</v>
      </c>
      <c r="R14" s="199">
        <f>(Q14/7)^0.5</f>
        <v>0.92582009977255142</v>
      </c>
      <c r="S14" s="199">
        <f>IF(Q14=7,1,((Q14+0.99)/7)^0.5)</f>
        <v>0.99928545900129484</v>
      </c>
      <c r="T14" s="111">
        <v>22920</v>
      </c>
      <c r="U14" s="268">
        <f>T14-BG14</f>
        <v>1620</v>
      </c>
      <c r="V14" s="111">
        <v>2604</v>
      </c>
      <c r="W14" s="108">
        <f>T14/V14</f>
        <v>8.8018433179723505</v>
      </c>
      <c r="X14" s="184">
        <v>0</v>
      </c>
      <c r="Y14" s="185">
        <v>2</v>
      </c>
      <c r="Z14" s="184">
        <f>10+1/6</f>
        <v>10.166666666666666</v>
      </c>
      <c r="AA14" s="185">
        <v>5</v>
      </c>
      <c r="AB14" s="184">
        <v>4</v>
      </c>
      <c r="AC14" s="185">
        <v>8</v>
      </c>
      <c r="AD14" s="184">
        <v>6</v>
      </c>
      <c r="AE14" s="312">
        <v>806</v>
      </c>
      <c r="AF14" s="635">
        <f ca="1">(Z14+P14+J14)*(Q14/7)^0.5</f>
        <v>10.388509039115476</v>
      </c>
      <c r="AG14" s="635">
        <f ca="1">(Z14+P14+J14)*(IF(Q14=7, (Q14/7)^0.5, ((Q14+1)/7)^0.5))</f>
        <v>11.220872220928934</v>
      </c>
      <c r="AH14" s="108">
        <f ca="1">(((Y14+P14+J14)+(AB14+P14+J14)*2)/8)*(Q14/7)^0.5</f>
        <v>1.5232768840011408</v>
      </c>
      <c r="AI14" s="108">
        <f ca="1">(1.66*(AC14+J14+P14)+0.55*(AD14+J14+P14)-7.6)*(Q14/7)^0.5</f>
        <v>10.470834864013106</v>
      </c>
      <c r="AJ14" s="108">
        <f ca="1">((AD14+J14+P14)*0.7+(AC14+J14+P14)*0.3)*(Q14/7)^0.5</f>
        <v>7.0864173499267098</v>
      </c>
      <c r="AK14" s="108">
        <f ca="1">(0.5*(AC14+P14+J14)+ 0.3*(AD14+P14+J14))/10</f>
        <v>0.66433644434098138</v>
      </c>
      <c r="AL14" s="108">
        <f ca="1">(0.4*(Y14+P14+J14)+0.3*(AD14+P14+J14))/10</f>
        <v>0.33379438879835877</v>
      </c>
      <c r="AM14" s="636">
        <f ca="1">(AD14+P14+(LOG(I14)*4/3))*(Q14/7)^0.5</f>
        <v>6.3135535206925057</v>
      </c>
      <c r="AN14" s="636">
        <f ca="1">(AD14+P14+(LOG(I14)*4/3))*(IF(Q14=7, (Q14/7)^0.5, ((Q14+1)/7)^0.5))</f>
        <v>6.8194172088546932</v>
      </c>
      <c r="AO14" s="178">
        <v>4</v>
      </c>
      <c r="AP14" s="178">
        <v>2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0.157</v>
      </c>
      <c r="AR14" s="320">
        <v>0</v>
      </c>
      <c r="AS14" s="320">
        <v>34</v>
      </c>
      <c r="AT14" s="320">
        <v>21</v>
      </c>
      <c r="AU14" s="320">
        <v>5</v>
      </c>
      <c r="AV14" s="320">
        <f>AR14*1+AS14*0.066</f>
        <v>2.2440000000000002</v>
      </c>
      <c r="AW14" s="320">
        <f>AR14*0.919+AS14*0.167</f>
        <v>5.6779999999999999</v>
      </c>
      <c r="AX14" s="320">
        <f>AR14*1+AS14*0.236</f>
        <v>8.0239999999999991</v>
      </c>
      <c r="AY14" s="320">
        <f>AR14*0.75+AS14*0.165</f>
        <v>5.61</v>
      </c>
      <c r="AZ14" s="320">
        <f>AR14*0.73+AS14*0.38</f>
        <v>12.92</v>
      </c>
      <c r="BA14" s="320">
        <f>AR14*0.45+AS14*1</f>
        <v>34</v>
      </c>
      <c r="BB14" s="320">
        <f>AR14*0.65+AS14*0.95</f>
        <v>32.299999999999997</v>
      </c>
      <c r="BC14" s="320">
        <f>AR14*0.3+AS14*0.53</f>
        <v>18.02</v>
      </c>
      <c r="BD14" s="320">
        <f>AR14*0.4+AS14*0.44</f>
        <v>14.96</v>
      </c>
      <c r="BE14" s="320">
        <f>AR14*0.25+AS14*0.73</f>
        <v>24.82</v>
      </c>
      <c r="BF14" s="320">
        <f>AS14*0.46</f>
        <v>15.64</v>
      </c>
      <c r="BG14" s="111">
        <v>21300</v>
      </c>
      <c r="BH14" s="316">
        <v>3853</v>
      </c>
      <c r="BI14" s="641">
        <f t="shared" si="36"/>
        <v>60</v>
      </c>
      <c r="BJ14" s="136"/>
      <c r="BK14" s="139"/>
    </row>
    <row r="15" spans="1:63" s="78" customFormat="1" x14ac:dyDescent="0.25">
      <c r="A15" s="131" t="s">
        <v>425</v>
      </c>
      <c r="B15" s="131" t="s">
        <v>62</v>
      </c>
      <c r="C15" s="132">
        <f ca="1">((34*112)-(E15*112)-(F15))/112</f>
        <v>14.714285714285714</v>
      </c>
      <c r="D15" s="314" t="s">
        <v>405</v>
      </c>
      <c r="E15" s="133">
        <v>19</v>
      </c>
      <c r="F15" s="58">
        <f ca="1">-43569+$D$1-112</f>
        <v>32</v>
      </c>
      <c r="G15" s="134" t="s">
        <v>220</v>
      </c>
      <c r="H15" s="130">
        <v>4</v>
      </c>
      <c r="I15" s="102">
        <v>1.2</v>
      </c>
      <c r="J15" s="185">
        <f>LOG(I15+1)*4/3</f>
        <v>0.45656357442960838</v>
      </c>
      <c r="K15" s="98">
        <f>(H15)*(H15)*(I15)</f>
        <v>19.2</v>
      </c>
      <c r="L15" s="98">
        <f>(H15+1)*(H15+1)*I15</f>
        <v>30</v>
      </c>
      <c r="M15" s="135">
        <v>5.6</v>
      </c>
      <c r="N15" s="178">
        <f>M15*10+19</f>
        <v>75</v>
      </c>
      <c r="O15" s="303">
        <v>43626</v>
      </c>
      <c r="P15" s="304">
        <f ca="1">IF((TODAY()-O15)&gt;335,1,((TODAY()-O15)^0.64)/(336^0.64))</f>
        <v>0.42114842817984777</v>
      </c>
      <c r="Q15" s="178">
        <v>7</v>
      </c>
      <c r="R15" s="199">
        <f>(Q15/7)^0.5</f>
        <v>1</v>
      </c>
      <c r="S15" s="199">
        <f>IF(Q15=7,1,((Q15+0.99)/7)^0.5)</f>
        <v>1</v>
      </c>
      <c r="T15" s="111">
        <v>11050</v>
      </c>
      <c r="U15" s="268">
        <f>T15-BG15</f>
        <v>970</v>
      </c>
      <c r="V15" s="111">
        <v>1020</v>
      </c>
      <c r="W15" s="108">
        <f>T15/V15</f>
        <v>10.833333333333334</v>
      </c>
      <c r="X15" s="184">
        <v>0</v>
      </c>
      <c r="Y15" s="185">
        <v>6</v>
      </c>
      <c r="Z15" s="184">
        <f>8+1/4</f>
        <v>8.25</v>
      </c>
      <c r="AA15" s="185">
        <v>2</v>
      </c>
      <c r="AB15" s="184">
        <v>3</v>
      </c>
      <c r="AC15" s="185">
        <v>6</v>
      </c>
      <c r="AD15" s="184">
        <v>8</v>
      </c>
      <c r="AE15" s="312">
        <v>686</v>
      </c>
      <c r="AF15" s="635">
        <f ca="1">(Z15+P15+J15)*(Q15/7)^0.5</f>
        <v>9.1277120026094565</v>
      </c>
      <c r="AG15" s="635">
        <f ca="1">(Z15+P15+J15)*(IF(Q15=7, (Q15/7)^0.5, ((Q15+1)/7)^0.5))</f>
        <v>9.1277120026094565</v>
      </c>
      <c r="AH15" s="108">
        <f ca="1">(((Y15+P15+J15)+(AB15+P15+J15)*2)/8)*(Q15/7)^0.5</f>
        <v>1.8291420009785462</v>
      </c>
      <c r="AI15" s="108">
        <f ca="1">(1.66*(AC15+J15+P15)+0.55*(AD15+J15+P15)-7.6)*(Q15/7)^0.5</f>
        <v>8.6997435257669</v>
      </c>
      <c r="AJ15" s="108">
        <f ca="1">((AD15+J15+P15)*0.7+(AC15+J15+P15)*0.3)*(Q15/7)^0.5</f>
        <v>8.2777120026094551</v>
      </c>
      <c r="AK15" s="108">
        <f ca="1">(0.5*(AC15+P15+J15)+ 0.3*(AD15+P15+J15))/10</f>
        <v>0.6102169602087566</v>
      </c>
      <c r="AL15" s="108">
        <f ca="1">(0.4*(Y15+P15+J15)+0.3*(AD15+P15+J15))/10</f>
        <v>0.541439840182662</v>
      </c>
      <c r="AM15" s="636">
        <f ca="1">(AD15+P15+(LOG(I15)*4/3))*(Q15/7)^0.5</f>
        <v>8.5267234229100133</v>
      </c>
      <c r="AN15" s="636">
        <f ca="1">(AD15+P15+(LOG(I15)*4/3))*(IF(Q15=7, (Q15/7)^0.5, ((Q15+1)/7)^0.5))</f>
        <v>8.5267234229100133</v>
      </c>
      <c r="AO15" s="178">
        <v>2</v>
      </c>
      <c r="AP15" s="178">
        <v>3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6.1499999999999999E-2</v>
      </c>
      <c r="AR15" s="320">
        <v>14</v>
      </c>
      <c r="AS15" s="320">
        <v>22</v>
      </c>
      <c r="AT15" s="320">
        <v>12</v>
      </c>
      <c r="AU15" s="320">
        <v>8</v>
      </c>
      <c r="AV15" s="320">
        <f>AR15*1+AS15*0.066</f>
        <v>15.452</v>
      </c>
      <c r="AW15" s="320">
        <f>AR15*0.919+AS15*0.167</f>
        <v>16.54</v>
      </c>
      <c r="AX15" s="320">
        <f>AR15*1+AS15*0.236</f>
        <v>19.192</v>
      </c>
      <c r="AY15" s="320">
        <f>AR15*0.75+AS15*0.165</f>
        <v>14.13</v>
      </c>
      <c r="AZ15" s="320">
        <f>AR15*0.73+AS15*0.38</f>
        <v>18.579999999999998</v>
      </c>
      <c r="BA15" s="320">
        <f>AR15*0.45+AS15*1</f>
        <v>28.3</v>
      </c>
      <c r="BB15" s="320">
        <f>AR15*0.65+AS15*0.95</f>
        <v>30</v>
      </c>
      <c r="BC15" s="320">
        <f>AR15*0.3+AS15*0.53</f>
        <v>15.86</v>
      </c>
      <c r="BD15" s="320">
        <f>AR15*0.4+AS15*0.44</f>
        <v>15.280000000000001</v>
      </c>
      <c r="BE15" s="320">
        <f>AR15*0.25+AS15*0.73</f>
        <v>19.559999999999999</v>
      </c>
      <c r="BF15" s="320">
        <f>AS15*0.46</f>
        <v>10.120000000000001</v>
      </c>
      <c r="BG15" s="111">
        <v>10080</v>
      </c>
      <c r="BH15" s="316">
        <v>1548</v>
      </c>
      <c r="BI15" s="641">
        <f>AU15+AT15+AS15+AR15</f>
        <v>56</v>
      </c>
      <c r="BJ15" s="136"/>
      <c r="BK15" s="139"/>
    </row>
    <row r="16" spans="1:63" s="78" customFormat="1" x14ac:dyDescent="0.25">
      <c r="A16" s="131" t="s">
        <v>213</v>
      </c>
      <c r="B16" s="131" t="s">
        <v>62</v>
      </c>
      <c r="C16" s="132">
        <f ca="1">((34*112)-(E16*112)-(F16))/112</f>
        <v>14.223214285714286</v>
      </c>
      <c r="D16" s="314" t="s">
        <v>406</v>
      </c>
      <c r="E16" s="133">
        <v>19</v>
      </c>
      <c r="F16" s="58">
        <f ca="1">-43626+$D$1</f>
        <v>87</v>
      </c>
      <c r="G16" s="134" t="s">
        <v>67</v>
      </c>
      <c r="H16" s="130">
        <v>4</v>
      </c>
      <c r="I16" s="102">
        <v>2.1</v>
      </c>
      <c r="J16" s="185">
        <f>LOG(I16+1)*4/3</f>
        <v>0.65514892511236356</v>
      </c>
      <c r="K16" s="98">
        <f>(H16)*(H16)*(I16)</f>
        <v>33.6</v>
      </c>
      <c r="L16" s="98">
        <f>(H16+1)*(H16+1)*I16</f>
        <v>52.5</v>
      </c>
      <c r="M16" s="135">
        <v>4.2</v>
      </c>
      <c r="N16" s="178">
        <f>M16*10+19</f>
        <v>61</v>
      </c>
      <c r="O16" s="303">
        <v>43626</v>
      </c>
      <c r="P16" s="304">
        <f ca="1">IF((TODAY()-O16)&gt;335,1,((TODAY()-O16)^0.64)/(336^0.64))</f>
        <v>0.42114842817984777</v>
      </c>
      <c r="Q16" s="178">
        <v>3</v>
      </c>
      <c r="R16" s="199">
        <f>(Q16/7)^0.5</f>
        <v>0.65465367070797709</v>
      </c>
      <c r="S16" s="199">
        <f>IF(Q16=7,1,((Q16+0.99)/7)^0.5)</f>
        <v>0.75498344352707503</v>
      </c>
      <c r="T16" s="111">
        <v>11730</v>
      </c>
      <c r="U16" s="268">
        <f>T16-BG16</f>
        <v>180</v>
      </c>
      <c r="V16" s="111">
        <v>870</v>
      </c>
      <c r="W16" s="108">
        <f>T16/V16</f>
        <v>13.482758620689655</v>
      </c>
      <c r="X16" s="184">
        <v>0</v>
      </c>
      <c r="Y16" s="185">
        <v>7</v>
      </c>
      <c r="Z16" s="184">
        <f>9+3/5</f>
        <v>9.6</v>
      </c>
      <c r="AA16" s="185">
        <v>2</v>
      </c>
      <c r="AB16" s="184">
        <v>4</v>
      </c>
      <c r="AC16" s="185">
        <v>6</v>
      </c>
      <c r="AD16" s="184">
        <v>2</v>
      </c>
      <c r="AE16" s="312">
        <v>781</v>
      </c>
      <c r="AF16" s="635">
        <f ca="1">(Z16+P16+J16)*(Q16/7)^0.5</f>
        <v>6.9892772519026067</v>
      </c>
      <c r="AG16" s="635">
        <f ca="1">(Z16+P16+J16)*(IF(Q16=7, (Q16/7)^0.5, ((Q16+1)/7)^0.5))</f>
        <v>8.0705222056537949</v>
      </c>
      <c r="AH16" s="108">
        <f ca="1">(((Y16+P16+J16)+(AB16+P16+J16)*2)/8)*(Q16/7)^0.5</f>
        <v>1.4917013874922171</v>
      </c>
      <c r="AI16" s="108">
        <f ca="1">(1.66*(AC16+J16+P16)+0.55*(AD16+J16+P16)-7.6)*(Q16/7)^0.5</f>
        <v>3.8222721496139185</v>
      </c>
      <c r="AJ16" s="108">
        <f ca="1">((AD16+J16+P16)*0.7+(AC16+J16+P16)*0.3)*(Q16/7)^0.5</f>
        <v>2.7994937593715532</v>
      </c>
      <c r="AK16" s="108">
        <f ca="1">(0.5*(AC16+P16+J16)+ 0.3*(AD16+P16+J16))/10</f>
        <v>0.44610378826337688</v>
      </c>
      <c r="AL16" s="108">
        <f ca="1">(0.4*(Y16+P16+J16)+0.3*(AD16+P16+J16))/10</f>
        <v>0.41534081473045481</v>
      </c>
      <c r="AM16" s="636">
        <f ca="1">(AD16+P16+(LOG(I16)*4/3))*(Q16/7)^0.5</f>
        <v>1.8662697645974475</v>
      </c>
      <c r="AN16" s="636">
        <f ca="1">(AD16+P16+(LOG(I16)*4/3))*(IF(Q16=7, (Q16/7)^0.5, ((Q16+1)/7)^0.5))</f>
        <v>2.1549827019415915</v>
      </c>
      <c r="AO16" s="178">
        <v>3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0.1158</v>
      </c>
      <c r="AR16" s="320">
        <v>18</v>
      </c>
      <c r="AS16" s="320">
        <v>28</v>
      </c>
      <c r="AT16" s="320">
        <v>12</v>
      </c>
      <c r="AU16" s="320">
        <v>1</v>
      </c>
      <c r="AV16" s="320">
        <f>AR16*1+AS16*0.066</f>
        <v>19.847999999999999</v>
      </c>
      <c r="AW16" s="320">
        <f>AR16*0.919+AS16*0.167</f>
        <v>21.218000000000004</v>
      </c>
      <c r="AX16" s="320">
        <f>AR16*1+AS16*0.236</f>
        <v>24.608000000000001</v>
      </c>
      <c r="AY16" s="320">
        <f>AR16*0.75+AS16*0.165</f>
        <v>18.12</v>
      </c>
      <c r="AZ16" s="320">
        <f>AR16*0.73+AS16*0.38</f>
        <v>23.78</v>
      </c>
      <c r="BA16" s="320">
        <f>AR16*0.45+AS16*1</f>
        <v>36.1</v>
      </c>
      <c r="BB16" s="320">
        <f>AR16*0.65+AS16*0.95</f>
        <v>38.299999999999997</v>
      </c>
      <c r="BC16" s="320">
        <f>AR16*0.3+AS16*0.53</f>
        <v>20.239999999999998</v>
      </c>
      <c r="BD16" s="320">
        <f>AR16*0.4+AS16*0.44</f>
        <v>19.52</v>
      </c>
      <c r="BE16" s="320">
        <f>AR16*0.25+AS16*0.73</f>
        <v>24.939999999999998</v>
      </c>
      <c r="BF16" s="320">
        <f>AS16*0.46</f>
        <v>12.88</v>
      </c>
      <c r="BG16" s="111">
        <v>11550</v>
      </c>
      <c r="BH16" s="316">
        <v>1308</v>
      </c>
      <c r="BI16" s="641">
        <f t="shared" si="36"/>
        <v>59</v>
      </c>
      <c r="BJ16" s="136"/>
      <c r="BK16" s="139"/>
    </row>
    <row r="17" spans="1:63" s="78" customFormat="1" x14ac:dyDescent="0.25">
      <c r="A17" s="131" t="s">
        <v>426</v>
      </c>
      <c r="B17" s="131" t="s">
        <v>63</v>
      </c>
      <c r="C17" s="132">
        <f t="shared" ca="1" si="21"/>
        <v>10.598214285714286</v>
      </c>
      <c r="D17" s="342" t="s">
        <v>650</v>
      </c>
      <c r="E17" s="133">
        <v>23</v>
      </c>
      <c r="F17" s="58">
        <f ca="1">-43571+$D$1+15-112</f>
        <v>45</v>
      </c>
      <c r="G17" s="134" t="s">
        <v>220</v>
      </c>
      <c r="H17" s="130">
        <v>5</v>
      </c>
      <c r="I17" s="102">
        <v>1.8</v>
      </c>
      <c r="J17" s="185">
        <f t="shared" si="5"/>
        <v>0.59621070845629232</v>
      </c>
      <c r="K17" s="98">
        <f t="shared" si="6"/>
        <v>45</v>
      </c>
      <c r="L17" s="98">
        <f t="shared" si="7"/>
        <v>64.8</v>
      </c>
      <c r="M17" s="135">
        <v>6.6</v>
      </c>
      <c r="N17" s="178">
        <f t="shared" si="8"/>
        <v>85</v>
      </c>
      <c r="O17" s="303">
        <v>43650</v>
      </c>
      <c r="P17" s="304">
        <f ca="1">IF((TODAY()-O17)&gt;335,1,((TODAY()-O17)^0.64)/(336^0.64))</f>
        <v>0.34254750934422762</v>
      </c>
      <c r="Q17" s="178">
        <v>5</v>
      </c>
      <c r="R17" s="199">
        <f t="shared" si="9"/>
        <v>0.84515425472851657</v>
      </c>
      <c r="S17" s="199">
        <f t="shared" si="10"/>
        <v>0.92504826128926143</v>
      </c>
      <c r="T17" s="111">
        <v>19880</v>
      </c>
      <c r="U17" s="268">
        <f>T17-BG17</f>
        <v>1220</v>
      </c>
      <c r="V17" s="111">
        <v>2316</v>
      </c>
      <c r="W17" s="108">
        <f t="shared" si="4"/>
        <v>8.5837651122625207</v>
      </c>
      <c r="X17" s="184">
        <v>0</v>
      </c>
      <c r="Y17" s="185">
        <v>3</v>
      </c>
      <c r="Z17" s="184">
        <f>9+5/12</f>
        <v>9.4166666666666661</v>
      </c>
      <c r="AA17" s="185">
        <v>9</v>
      </c>
      <c r="AB17" s="184">
        <v>6</v>
      </c>
      <c r="AC17" s="185">
        <v>3</v>
      </c>
      <c r="AD17" s="184">
        <v>3</v>
      </c>
      <c r="AE17" s="312">
        <v>698</v>
      </c>
      <c r="AF17" s="635">
        <f t="shared" ca="1" si="11"/>
        <v>8.7519314006289992</v>
      </c>
      <c r="AG17" s="635">
        <f t="shared" ca="1" si="12"/>
        <v>9.5872604997245716</v>
      </c>
      <c r="AH17" s="108">
        <f t="shared" ca="1" si="13"/>
        <v>1.8821875408417694</v>
      </c>
      <c r="AI17" s="108">
        <f t="shared" ca="1" si="14"/>
        <v>0.93360443219072575</v>
      </c>
      <c r="AJ17" s="108">
        <f t="shared" ca="1" si="15"/>
        <v>3.3288582661210184</v>
      </c>
      <c r="AK17" s="108">
        <f t="shared" ca="1" si="16"/>
        <v>0.31510065742404159</v>
      </c>
      <c r="AL17" s="108">
        <f t="shared" ca="1" si="17"/>
        <v>0.27571307524603644</v>
      </c>
      <c r="AM17" s="636">
        <f t="shared" ca="1" si="18"/>
        <v>3.1126277742255017</v>
      </c>
      <c r="AN17" s="636">
        <f t="shared" ca="1" si="19"/>
        <v>3.4097128901208089</v>
      </c>
      <c r="AO17" s="178">
        <v>1</v>
      </c>
      <c r="AP17" s="178">
        <v>2</v>
      </c>
      <c r="AQ17" s="241">
        <f t="shared" si="20"/>
        <v>4.9399999999999999E-2</v>
      </c>
      <c r="AR17" s="320">
        <v>3</v>
      </c>
      <c r="AS17" s="320">
        <v>27.5</v>
      </c>
      <c r="AT17" s="320">
        <v>2</v>
      </c>
      <c r="AU17" s="320">
        <v>1</v>
      </c>
      <c r="AV17" s="320">
        <f t="shared" si="25"/>
        <v>4.8150000000000004</v>
      </c>
      <c r="AW17" s="320">
        <f t="shared" si="26"/>
        <v>7.3495000000000008</v>
      </c>
      <c r="AX17" s="320">
        <f t="shared" si="27"/>
        <v>9.4899999999999984</v>
      </c>
      <c r="AY17" s="320">
        <f t="shared" si="28"/>
        <v>6.7875000000000005</v>
      </c>
      <c r="AZ17" s="320">
        <f t="shared" si="29"/>
        <v>12.639999999999999</v>
      </c>
      <c r="BA17" s="320">
        <f t="shared" si="30"/>
        <v>28.85</v>
      </c>
      <c r="BB17" s="320">
        <f t="shared" si="31"/>
        <v>28.074999999999999</v>
      </c>
      <c r="BC17" s="320">
        <f t="shared" si="32"/>
        <v>15.475000000000001</v>
      </c>
      <c r="BD17" s="320">
        <f t="shared" si="33"/>
        <v>13.3</v>
      </c>
      <c r="BE17" s="320">
        <f t="shared" si="34"/>
        <v>20.824999999999999</v>
      </c>
      <c r="BF17" s="320">
        <f t="shared" si="35"/>
        <v>12.65</v>
      </c>
      <c r="BG17" s="640">
        <v>18660</v>
      </c>
      <c r="BH17" s="316">
        <v>2017</v>
      </c>
      <c r="BI17" s="641">
        <f t="shared" si="36"/>
        <v>33.5</v>
      </c>
      <c r="BJ17" s="136"/>
      <c r="BK17" s="139"/>
    </row>
    <row r="18" spans="1:63" s="78" customFormat="1" x14ac:dyDescent="0.25">
      <c r="A18" s="131" t="s">
        <v>292</v>
      </c>
      <c r="B18" s="131" t="s">
        <v>63</v>
      </c>
      <c r="C18" s="132">
        <f t="shared" ca="1" si="21"/>
        <v>7.5446428571428568</v>
      </c>
      <c r="D18" s="342" t="s">
        <v>441</v>
      </c>
      <c r="E18" s="133">
        <v>26</v>
      </c>
      <c r="F18" s="58">
        <f ca="1">-43570+$D$1+20-112</f>
        <v>51</v>
      </c>
      <c r="G18" s="134"/>
      <c r="H18" s="130">
        <v>5</v>
      </c>
      <c r="I18" s="102">
        <v>4.5999999999999996</v>
      </c>
      <c r="J18" s="185">
        <f t="shared" si="5"/>
        <v>0.99758403600826717</v>
      </c>
      <c r="K18" s="98">
        <f t="shared" si="6"/>
        <v>114.99999999999999</v>
      </c>
      <c r="L18" s="98">
        <f t="shared" si="7"/>
        <v>165.6</v>
      </c>
      <c r="M18" s="135">
        <v>6.2</v>
      </c>
      <c r="N18" s="178">
        <f t="shared" si="8"/>
        <v>81</v>
      </c>
      <c r="O18" s="303">
        <v>43639</v>
      </c>
      <c r="P18" s="304">
        <f t="shared" ca="1" si="22"/>
        <v>0.37970923784073518</v>
      </c>
      <c r="Q18" s="178">
        <v>3</v>
      </c>
      <c r="R18" s="199">
        <f t="shared" si="9"/>
        <v>0.65465367070797709</v>
      </c>
      <c r="S18" s="199">
        <f t="shared" si="10"/>
        <v>0.75498344352707503</v>
      </c>
      <c r="T18" s="111">
        <v>19790</v>
      </c>
      <c r="U18" s="268">
        <f t="shared" si="3"/>
        <v>-220</v>
      </c>
      <c r="V18" s="111">
        <v>2940</v>
      </c>
      <c r="W18" s="108">
        <f t="shared" si="4"/>
        <v>6.7312925170068025</v>
      </c>
      <c r="X18" s="184">
        <v>0</v>
      </c>
      <c r="Y18" s="185">
        <v>3</v>
      </c>
      <c r="Z18" s="184">
        <f>9+10/13</f>
        <v>9.7692307692307701</v>
      </c>
      <c r="AA18" s="185">
        <v>9</v>
      </c>
      <c r="AB18" s="184">
        <v>5</v>
      </c>
      <c r="AC18" s="185">
        <v>5</v>
      </c>
      <c r="AD18" s="184">
        <v>1</v>
      </c>
      <c r="AE18" s="312">
        <v>778</v>
      </c>
      <c r="AF18" s="635">
        <f t="shared" ca="1" si="11"/>
        <v>7.2971128804368943</v>
      </c>
      <c r="AG18" s="635">
        <f t="shared" ca="1" si="12"/>
        <v>8.4259801716546523</v>
      </c>
      <c r="AH18" s="108">
        <f t="shared" ca="1" si="13"/>
        <v>1.4019310014129591</v>
      </c>
      <c r="AI18" s="108">
        <f t="shared" ca="1" si="14"/>
        <v>2.8109638035652815</v>
      </c>
      <c r="AJ18" s="108">
        <f t="shared" ca="1" si="15"/>
        <v>2.341888172924206</v>
      </c>
      <c r="AK18" s="108">
        <f t="shared" ca="1" si="16"/>
        <v>0.39018346190792019</v>
      </c>
      <c r="AL18" s="108">
        <f t="shared" ca="1" si="17"/>
        <v>0.24641052916943015</v>
      </c>
      <c r="AM18" s="636">
        <f t="shared" ca="1" si="18"/>
        <v>1.4817341801298789</v>
      </c>
      <c r="AN18" s="636">
        <f t="shared" ca="1" si="19"/>
        <v>1.7109592555309101</v>
      </c>
      <c r="AO18" s="178">
        <v>3</v>
      </c>
      <c r="AP18" s="178">
        <v>2</v>
      </c>
      <c r="AQ18" s="241">
        <f t="shared" si="20"/>
        <v>0.1158</v>
      </c>
      <c r="AR18" s="320">
        <v>3</v>
      </c>
      <c r="AS18" s="320">
        <v>30</v>
      </c>
      <c r="AT18" s="320">
        <v>8</v>
      </c>
      <c r="AU18" s="320">
        <v>0</v>
      </c>
      <c r="AV18" s="320">
        <f t="shared" si="25"/>
        <v>4.9800000000000004</v>
      </c>
      <c r="AW18" s="320">
        <f t="shared" si="26"/>
        <v>7.7670000000000012</v>
      </c>
      <c r="AX18" s="320">
        <f t="shared" si="27"/>
        <v>10.08</v>
      </c>
      <c r="AY18" s="320">
        <f t="shared" si="28"/>
        <v>7.2</v>
      </c>
      <c r="AZ18" s="320">
        <f t="shared" si="29"/>
        <v>13.59</v>
      </c>
      <c r="BA18" s="320">
        <f t="shared" si="30"/>
        <v>31.35</v>
      </c>
      <c r="BB18" s="320">
        <f t="shared" si="31"/>
        <v>30.45</v>
      </c>
      <c r="BC18" s="320">
        <f t="shared" si="32"/>
        <v>16.8</v>
      </c>
      <c r="BD18" s="320">
        <f t="shared" si="33"/>
        <v>14.399999999999999</v>
      </c>
      <c r="BE18" s="320">
        <f t="shared" si="34"/>
        <v>22.65</v>
      </c>
      <c r="BF18" s="320">
        <f t="shared" si="35"/>
        <v>13.8</v>
      </c>
      <c r="BG18" s="111">
        <v>20010</v>
      </c>
      <c r="BH18" s="316">
        <v>1486</v>
      </c>
      <c r="BI18" s="641">
        <f t="shared" si="36"/>
        <v>41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14.178571428571429</v>
      </c>
      <c r="D19" s="342" t="s">
        <v>421</v>
      </c>
      <c r="E19" s="133">
        <v>19</v>
      </c>
      <c r="F19" s="58">
        <f ca="1">-43626+$D$1+5</f>
        <v>92</v>
      </c>
      <c r="G19" s="134" t="s">
        <v>220</v>
      </c>
      <c r="H19" s="130">
        <v>4</v>
      </c>
      <c r="I19" s="102">
        <v>0.4</v>
      </c>
      <c r="J19" s="185">
        <f>LOG(I19+1)*4/3</f>
        <v>0.19483738090431735</v>
      </c>
      <c r="K19" s="98">
        <f>(H19)*(H19)*(I19)</f>
        <v>6.4</v>
      </c>
      <c r="L19" s="98">
        <f>(H19+1)*(H19+1)*I19</f>
        <v>10</v>
      </c>
      <c r="M19" s="135">
        <v>5.0999999999999996</v>
      </c>
      <c r="N19" s="178">
        <f>M19*10+19</f>
        <v>70</v>
      </c>
      <c r="O19" s="303">
        <v>43628</v>
      </c>
      <c r="P19" s="304">
        <f ca="1">IF((TODAY()-O19)&gt;335,1,((TODAY()-O19)^0.64)/(336^0.64))</f>
        <v>0.41492631106246303</v>
      </c>
      <c r="Q19" s="178">
        <v>6</v>
      </c>
      <c r="R19" s="199">
        <f>(Q19/7)^0.5</f>
        <v>0.92582009977255142</v>
      </c>
      <c r="S19" s="199">
        <f>IF(Q19=7,1,((Q19+0.99)/7)^0.5)</f>
        <v>0.99928545900129484</v>
      </c>
      <c r="T19" s="111">
        <v>13130</v>
      </c>
      <c r="U19" s="268">
        <f>T19-BG19</f>
        <v>520</v>
      </c>
      <c r="V19" s="111">
        <v>948</v>
      </c>
      <c r="W19" s="108">
        <f>T19/V19</f>
        <v>13.850210970464135</v>
      </c>
      <c r="X19" s="184">
        <v>0</v>
      </c>
      <c r="Y19" s="185">
        <v>7</v>
      </c>
      <c r="Z19" s="184">
        <v>9</v>
      </c>
      <c r="AA19" s="185">
        <v>1</v>
      </c>
      <c r="AB19" s="184">
        <v>1</v>
      </c>
      <c r="AC19" s="185">
        <v>6</v>
      </c>
      <c r="AD19" s="184">
        <v>1</v>
      </c>
      <c r="AE19" s="312">
        <v>688</v>
      </c>
      <c r="AF19" s="635">
        <f ca="1">(Z19+P19+J19)*(Q19/7)^0.5</f>
        <v>8.8969123800873255</v>
      </c>
      <c r="AG19" s="635">
        <f ca="1">(Z19+P19+J19)*(IF(Q19=7, (Q19/7)^0.5, ((Q19+1)/7)^0.5))</f>
        <v>9.6097636919667799</v>
      </c>
      <c r="AH19" s="108">
        <f ca="1">(((Y19+P19+J19)+(AB19+P19+J19)*2)/8)*(Q19/7)^0.5</f>
        <v>1.2532469180445069</v>
      </c>
      <c r="AI19" s="108">
        <f ca="1">(1.66*(AC19+J19+P19)+0.55*(AD19+J19+P19)-7.6)*(Q19/7)^0.5</f>
        <v>3.9417510658550694</v>
      </c>
      <c r="AJ19" s="108">
        <f ca="1">((AD19+J19+P19)*0.7+(AC19+J19+P19)*0.3)*(Q19/7)^0.5</f>
        <v>2.8790817315657424</v>
      </c>
      <c r="AK19" s="108">
        <f ca="1">(0.5*(AC19+P19+J19)+ 0.3*(AD19+P19+J19))/10</f>
        <v>0.37878109535734245</v>
      </c>
      <c r="AL19" s="108">
        <f ca="1">(0.4*(Y19+P19+J19)+0.3*(AD19+P19+J19))/10</f>
        <v>0.35268345843767468</v>
      </c>
      <c r="AM19" s="636">
        <f ca="1">(AD19+P19+(LOG(I19)*4/3))*(Q19/7)^0.5</f>
        <v>0.81873940710234328</v>
      </c>
      <c r="AN19" s="636">
        <f ca="1">(AD19+P19+(LOG(I19)*4/3))*(IF(Q19=7, (Q19/7)^0.5, ((Q19+1)/7)^0.5))</f>
        <v>0.88433963283307959</v>
      </c>
      <c r="AO19" s="178">
        <v>4</v>
      </c>
      <c r="AP19" s="178">
        <v>2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0.157</v>
      </c>
      <c r="AR19" s="320">
        <v>18</v>
      </c>
      <c r="AS19" s="320">
        <v>25</v>
      </c>
      <c r="AT19" s="320">
        <v>12</v>
      </c>
      <c r="AU19" s="320">
        <v>0</v>
      </c>
      <c r="AV19" s="320">
        <f>AR19*1+AS19*0.066</f>
        <v>19.649999999999999</v>
      </c>
      <c r="AW19" s="320">
        <f>AR19*0.919+AS19*0.167</f>
        <v>20.717000000000002</v>
      </c>
      <c r="AX19" s="320">
        <f>AR19*1+AS19*0.236</f>
        <v>23.9</v>
      </c>
      <c r="AY19" s="320">
        <f>AR19*0.75+AS19*0.165</f>
        <v>17.625</v>
      </c>
      <c r="AZ19" s="320">
        <f>AR19*0.73+AS19*0.38</f>
        <v>22.64</v>
      </c>
      <c r="BA19" s="320">
        <f>AR19*0.45+AS19*1</f>
        <v>33.1</v>
      </c>
      <c r="BB19" s="320">
        <f>AR19*0.65+AS19*0.95</f>
        <v>35.450000000000003</v>
      </c>
      <c r="BC19" s="320">
        <f>AR19*0.3+AS19*0.53</f>
        <v>18.649999999999999</v>
      </c>
      <c r="BD19" s="320">
        <f>AR19*0.4+AS19*0.44</f>
        <v>18.2</v>
      </c>
      <c r="BE19" s="320">
        <f>AR19*0.25+AS19*0.73</f>
        <v>22.75</v>
      </c>
      <c r="BF19" s="320">
        <f>AS19*0.46</f>
        <v>11.5</v>
      </c>
      <c r="BG19" s="111">
        <v>12610</v>
      </c>
      <c r="BH19" s="316">
        <v>740</v>
      </c>
      <c r="BI19" s="641">
        <f>AU19+AT19+AS19+AR19</f>
        <v>55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t="shared" ca="1" si="21"/>
        <v>9.5803571428571423</v>
      </c>
      <c r="D20" s="342" t="s">
        <v>649</v>
      </c>
      <c r="E20" s="133">
        <v>24</v>
      </c>
      <c r="F20" s="58">
        <f ca="1">-43570+$D$1+33-17-112</f>
        <v>47</v>
      </c>
      <c r="G20" s="134" t="s">
        <v>96</v>
      </c>
      <c r="H20" s="130">
        <v>3</v>
      </c>
      <c r="I20" s="102">
        <v>3.7</v>
      </c>
      <c r="J20" s="185">
        <f t="shared" si="5"/>
        <v>0.8961304772476234</v>
      </c>
      <c r="K20" s="98">
        <f t="shared" si="6"/>
        <v>33.300000000000004</v>
      </c>
      <c r="L20" s="98">
        <f t="shared" si="7"/>
        <v>59.2</v>
      </c>
      <c r="M20" s="135">
        <v>7</v>
      </c>
      <c r="N20" s="178">
        <f t="shared" si="8"/>
        <v>89</v>
      </c>
      <c r="O20" s="303">
        <v>43650</v>
      </c>
      <c r="P20" s="304">
        <f t="shared" ca="1" si="22"/>
        <v>0.34254750934422762</v>
      </c>
      <c r="Q20" s="178">
        <v>6</v>
      </c>
      <c r="R20" s="199">
        <f t="shared" si="9"/>
        <v>0.92582009977255142</v>
      </c>
      <c r="S20" s="199">
        <f t="shared" si="10"/>
        <v>0.99928545900129484</v>
      </c>
      <c r="T20" s="111">
        <v>47380</v>
      </c>
      <c r="U20" s="268">
        <f t="shared" si="3"/>
        <v>-4320</v>
      </c>
      <c r="V20" s="111">
        <v>3636</v>
      </c>
      <c r="W20" s="108">
        <f t="shared" si="4"/>
        <v>13.030803080308031</v>
      </c>
      <c r="X20" s="184">
        <v>0</v>
      </c>
      <c r="Y20" s="185">
        <v>9</v>
      </c>
      <c r="Z20" s="184">
        <v>9</v>
      </c>
      <c r="AA20" s="185">
        <v>9</v>
      </c>
      <c r="AB20" s="184">
        <v>5</v>
      </c>
      <c r="AC20" s="185">
        <v>5</v>
      </c>
      <c r="AD20" s="184">
        <v>3</v>
      </c>
      <c r="AE20" s="312">
        <v>1040</v>
      </c>
      <c r="AF20" s="635">
        <f t="shared" ca="1" si="11"/>
        <v>9.4791738750854933</v>
      </c>
      <c r="AG20" s="635">
        <f t="shared" ca="1" si="12"/>
        <v>10.238677986591851</v>
      </c>
      <c r="AH20" s="108">
        <f t="shared" ca="1" si="13"/>
        <v>2.6288701033845085</v>
      </c>
      <c r="AI20" s="108">
        <f t="shared" ca="1" si="14"/>
        <v>4.7100897139283893</v>
      </c>
      <c r="AJ20" s="108">
        <f t="shared" ca="1" si="15"/>
        <v>4.479745336313715</v>
      </c>
      <c r="AK20" s="108">
        <f t="shared" ca="1" si="16"/>
        <v>0.43909423892734811</v>
      </c>
      <c r="AL20" s="108">
        <f t="shared" ca="1" si="17"/>
        <v>0.53670745906142958</v>
      </c>
      <c r="AM20" s="636">
        <f t="shared" ca="1" si="18"/>
        <v>3.7960011044177544</v>
      </c>
      <c r="AN20" s="636">
        <f t="shared" ca="1" si="19"/>
        <v>4.1001498081002214</v>
      </c>
      <c r="AO20" s="178">
        <v>1</v>
      </c>
      <c r="AP20" s="178">
        <v>1</v>
      </c>
      <c r="AQ20" s="241">
        <f t="shared" si="20"/>
        <v>4.9399999999999999E-2</v>
      </c>
      <c r="AR20" s="320">
        <v>30</v>
      </c>
      <c r="AS20" s="320">
        <v>25</v>
      </c>
      <c r="AT20" s="320">
        <v>8</v>
      </c>
      <c r="AU20" s="320">
        <v>1</v>
      </c>
      <c r="AV20" s="320">
        <f t="shared" si="25"/>
        <v>31.65</v>
      </c>
      <c r="AW20" s="320">
        <f t="shared" si="26"/>
        <v>31.745000000000001</v>
      </c>
      <c r="AX20" s="320">
        <f t="shared" si="27"/>
        <v>35.9</v>
      </c>
      <c r="AY20" s="320">
        <f t="shared" si="28"/>
        <v>26.625</v>
      </c>
      <c r="AZ20" s="320">
        <f t="shared" si="29"/>
        <v>31.4</v>
      </c>
      <c r="BA20" s="320">
        <f t="shared" si="30"/>
        <v>38.5</v>
      </c>
      <c r="BB20" s="320">
        <f t="shared" si="31"/>
        <v>43.25</v>
      </c>
      <c r="BC20" s="320">
        <f t="shared" si="32"/>
        <v>22.25</v>
      </c>
      <c r="BD20" s="320">
        <f t="shared" si="33"/>
        <v>23</v>
      </c>
      <c r="BE20" s="320">
        <f t="shared" si="34"/>
        <v>25.75</v>
      </c>
      <c r="BF20" s="320">
        <f t="shared" si="35"/>
        <v>11.5</v>
      </c>
      <c r="BG20" s="111">
        <v>51700</v>
      </c>
      <c r="BH20" s="316">
        <v>3600</v>
      </c>
      <c r="BI20" s="641">
        <f t="shared" si="36"/>
        <v>64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7">((34*112)-(E21*112)-(F21))/112</f>
        <v>-1.9553571428571428</v>
      </c>
      <c r="D21" s="627" t="s">
        <v>107</v>
      </c>
      <c r="E21" s="133">
        <v>35</v>
      </c>
      <c r="F21" s="138">
        <f ca="1">75-41471+$D$1-24-112-10-112-40-8-112-112-112-112-112-112-112-112-112-112-112-112-112-112-112-112-112</f>
        <v>107</v>
      </c>
      <c r="G21" s="134" t="s">
        <v>94</v>
      </c>
      <c r="H21" s="130">
        <v>2</v>
      </c>
      <c r="I21" s="102">
        <v>13.6</v>
      </c>
      <c r="J21" s="185">
        <f t="shared" ref="J21:J25" si="38">LOG(I21+1)*4/3</f>
        <v>1.5524704743792495</v>
      </c>
      <c r="K21" s="98">
        <f t="shared" ref="K21:K25" si="39">(H21)*(H21)*(I21)</f>
        <v>54.4</v>
      </c>
      <c r="L21" s="98">
        <f t="shared" ref="L21:L25" si="40">(H21+1)*(H21+1)*I21</f>
        <v>122.39999999999999</v>
      </c>
      <c r="M21" s="135">
        <v>3.4</v>
      </c>
      <c r="N21" s="178">
        <f t="shared" ref="N21:N25" si="41">M21*10+19</f>
        <v>53</v>
      </c>
      <c r="O21" s="178" t="s">
        <v>256</v>
      </c>
      <c r="P21" s="304">
        <v>1.5</v>
      </c>
      <c r="Q21" s="178">
        <v>2</v>
      </c>
      <c r="R21" s="199">
        <f t="shared" ref="R21:R25" si="42">(Q21/7)^0.5</f>
        <v>0.53452248382484879</v>
      </c>
      <c r="S21" s="199">
        <f t="shared" ref="S21:S25" si="43">IF(Q21=7,1,((Q21+0.99)/7)^0.5)</f>
        <v>0.65356167049702141</v>
      </c>
      <c r="T21" s="111">
        <v>6070</v>
      </c>
      <c r="U21" s="268">
        <f t="shared" ref="U21:U25" si="44">T21-BG21</f>
        <v>-940</v>
      </c>
      <c r="V21" s="111">
        <v>3410</v>
      </c>
      <c r="W21" s="108">
        <f t="shared" ref="W21:W25" si="45">T21/V21</f>
        <v>1.7800586510263929</v>
      </c>
      <c r="X21" s="184">
        <v>0</v>
      </c>
      <c r="Y21" s="185">
        <v>6.95</v>
      </c>
      <c r="Z21" s="184">
        <f>10+0.1*0.5+0.1*0.5+0.1*0.5+0.1*0.5+0.1*0.5+0.1+0.1+0.1*0.5+0.1*0.5+0.1*0.5</f>
        <v>10.600000000000005</v>
      </c>
      <c r="AA21" s="185">
        <v>12.95</v>
      </c>
      <c r="AB21" s="184">
        <v>9.9499999999999993</v>
      </c>
      <c r="AC21" s="185">
        <v>3.95</v>
      </c>
      <c r="AD21" s="184">
        <v>17.95</v>
      </c>
      <c r="AE21" s="312">
        <v>1365</v>
      </c>
      <c r="AF21" s="635">
        <f t="shared" ref="AF21:AF25" si="46">(Z21+P21+J21)*(Q21/7)^0.5</f>
        <v>7.2975524283106115</v>
      </c>
      <c r="AG21" s="635">
        <f t="shared" ref="AG21:AG25" si="47">(Z21+P21+J21)*(IF(Q21=7, (Q21/7)^0.5, ((Q21+1)/7)^0.5))</f>
        <v>8.9376399102846573</v>
      </c>
      <c r="AH21" s="108">
        <f t="shared" ref="AH21:AH25" si="48">(((Y21+P21+J21)+(AB21+P21+J21)*2)/8)*(Q21/7)^0.5</f>
        <v>2.4058463737498528</v>
      </c>
      <c r="AI21" s="108">
        <f t="shared" ref="AI21:AI25" si="49">(1.66*(AC21+J21+P21)+0.55*(AD21+J21+P21)-7.6)*(Q21/7)^0.5</f>
        <v>8.3254334314170375</v>
      </c>
      <c r="AJ21" s="108">
        <f t="shared" ref="AJ21:AJ25" si="50">((AD21+J21+P21)*0.7+(AC21+J21+P21)*0.3)*(Q21/7)^0.5</f>
        <v>8.9812982523588811</v>
      </c>
      <c r="AK21" s="108">
        <f t="shared" ref="AK21:AK25" si="51">(0.5*(AC21+P21+J21)+ 0.3*(AD21+P21+J21))/10</f>
        <v>0.98019763795033987</v>
      </c>
      <c r="AL21" s="108">
        <f t="shared" ref="AL21:AL25" si="52">(0.4*(Y21+P21+J21)+0.3*(AD21+P21+J21))/10</f>
        <v>1.0301729332065475</v>
      </c>
      <c r="AM21" s="636">
        <f t="shared" ref="AM21:AM25" si="53">(AD21+P21+(LOG(I21)*4/3))*(Q21/7)^0.5</f>
        <v>11.204331687478851</v>
      </c>
      <c r="AN21" s="636">
        <f t="shared" ref="AN21:AN25" si="54">(AD21+P21+(LOG(I21)*4/3))*(IF(Q21=7, (Q21/7)^0.5, ((Q21+1)/7)^0.5))</f>
        <v>13.722447771609989</v>
      </c>
      <c r="AO21" s="178">
        <v>4</v>
      </c>
      <c r="AP21" s="178">
        <v>4</v>
      </c>
      <c r="AQ21" s="241">
        <f t="shared" ref="AQ21:AQ25" si="55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640">
        <v>7010</v>
      </c>
      <c r="BH21" s="318"/>
      <c r="BI21" s="641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7"/>
        <v>0.9107142857142857</v>
      </c>
      <c r="D22" s="627" t="s">
        <v>225</v>
      </c>
      <c r="E22" s="133">
        <v>33</v>
      </c>
      <c r="F22" s="58">
        <f ca="1">7-41471+$D$1-112-111-112+4-112-116-112-112-112-112-112-112-112-112-112-112-112-112-112-112-112</f>
        <v>10</v>
      </c>
      <c r="G22" s="134" t="s">
        <v>220</v>
      </c>
      <c r="H22" s="130">
        <v>2</v>
      </c>
      <c r="I22" s="102">
        <v>13.3</v>
      </c>
      <c r="J22" s="185">
        <f t="shared" si="38"/>
        <v>1.5404480499534159</v>
      </c>
      <c r="K22" s="98">
        <f t="shared" si="39"/>
        <v>53.2</v>
      </c>
      <c r="L22" s="98">
        <f t="shared" si="40"/>
        <v>119.7</v>
      </c>
      <c r="M22" s="135">
        <v>4.9000000000000004</v>
      </c>
      <c r="N22" s="178">
        <f t="shared" si="41"/>
        <v>68</v>
      </c>
      <c r="O22" s="178" t="s">
        <v>256</v>
      </c>
      <c r="P22" s="304">
        <v>1.5</v>
      </c>
      <c r="Q22" s="178">
        <v>5</v>
      </c>
      <c r="R22" s="199">
        <f t="shared" si="42"/>
        <v>0.84515425472851657</v>
      </c>
      <c r="S22" s="199">
        <f t="shared" si="43"/>
        <v>0.92504826128926143</v>
      </c>
      <c r="T22" s="640">
        <v>44860</v>
      </c>
      <c r="U22" s="268">
        <f t="shared" si="44"/>
        <v>4130</v>
      </c>
      <c r="V22" s="111">
        <v>9890</v>
      </c>
      <c r="W22" s="108">
        <f t="shared" si="45"/>
        <v>4.5358948432760364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5">
        <f t="shared" si="46"/>
        <v>12.925671482707076</v>
      </c>
      <c r="AG22" s="635">
        <f t="shared" si="47"/>
        <v>14.159363683959825</v>
      </c>
      <c r="AH22" s="108">
        <f t="shared" si="48"/>
        <v>4.0103989404334834</v>
      </c>
      <c r="AI22" s="108">
        <f t="shared" si="49"/>
        <v>16.44365095107224</v>
      </c>
      <c r="AJ22" s="108">
        <f t="shared" si="50"/>
        <v>13.797521879767492</v>
      </c>
      <c r="AK22" s="108">
        <f t="shared" si="51"/>
        <v>1.0707358439962733</v>
      </c>
      <c r="AL22" s="108">
        <f t="shared" si="52"/>
        <v>1.0272313634967389</v>
      </c>
      <c r="AM22" s="636">
        <f t="shared" si="53"/>
        <v>16.056636785811651</v>
      </c>
      <c r="AN22" s="636">
        <f t="shared" si="54"/>
        <v>17.589164330512574</v>
      </c>
      <c r="AO22" s="178">
        <v>3</v>
      </c>
      <c r="AP22" s="178">
        <v>2</v>
      </c>
      <c r="AQ22" s="241">
        <f t="shared" si="55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640">
        <v>40730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7"/>
        <v>-2.0892857142857144</v>
      </c>
      <c r="D23" s="627" t="s">
        <v>169</v>
      </c>
      <c r="E23" s="57">
        <v>36</v>
      </c>
      <c r="F23" s="58">
        <f ca="1">7-41471+$D$1-112-111-112-112-112-112-112-112-112-112-112-112-112-112-112-112-112-112-112-112</f>
        <v>10</v>
      </c>
      <c r="G23" s="80"/>
      <c r="H23" s="130">
        <v>0</v>
      </c>
      <c r="I23" s="59">
        <v>12.2</v>
      </c>
      <c r="J23" s="185">
        <f t="shared" si="38"/>
        <v>1.4940985749411331</v>
      </c>
      <c r="K23" s="98">
        <f t="shared" si="39"/>
        <v>0</v>
      </c>
      <c r="L23" s="98">
        <f t="shared" si="40"/>
        <v>12.2</v>
      </c>
      <c r="M23" s="92">
        <v>3.9</v>
      </c>
      <c r="N23" s="178">
        <f t="shared" si="41"/>
        <v>58</v>
      </c>
      <c r="O23" s="178" t="s">
        <v>256</v>
      </c>
      <c r="P23" s="304">
        <v>1.5</v>
      </c>
      <c r="Q23" s="179">
        <v>7</v>
      </c>
      <c r="R23" s="199">
        <f t="shared" si="42"/>
        <v>1</v>
      </c>
      <c r="S23" s="199">
        <f t="shared" si="43"/>
        <v>1</v>
      </c>
      <c r="T23" s="111">
        <v>8020</v>
      </c>
      <c r="U23" s="268">
        <f t="shared" si="44"/>
        <v>-400</v>
      </c>
      <c r="V23" s="269">
        <v>4550</v>
      </c>
      <c r="W23" s="108">
        <f t="shared" si="45"/>
        <v>1.7626373626373626</v>
      </c>
      <c r="X23" s="184">
        <v>0</v>
      </c>
      <c r="Y23" s="185">
        <v>5.95</v>
      </c>
      <c r="Z23" s="184">
        <v>13.95</v>
      </c>
      <c r="AA23" s="185">
        <v>2.95</v>
      </c>
      <c r="AB23" s="184">
        <v>8.9499999999999993</v>
      </c>
      <c r="AC23" s="185">
        <v>4.95</v>
      </c>
      <c r="AD23" s="184">
        <v>16.95</v>
      </c>
      <c r="AE23" s="312">
        <v>1223</v>
      </c>
      <c r="AF23" s="635">
        <f t="shared" si="46"/>
        <v>16.944098574941133</v>
      </c>
      <c r="AG23" s="635">
        <f t="shared" si="47"/>
        <v>16.944098574941133</v>
      </c>
      <c r="AH23" s="108">
        <f t="shared" si="48"/>
        <v>4.1040369656029245</v>
      </c>
      <c r="AI23" s="108">
        <f t="shared" si="49"/>
        <v>16.556457850619907</v>
      </c>
      <c r="AJ23" s="108">
        <f t="shared" si="50"/>
        <v>16.344098574941132</v>
      </c>
      <c r="AK23" s="108">
        <f t="shared" si="51"/>
        <v>0.99552788599529052</v>
      </c>
      <c r="AL23" s="108">
        <f t="shared" si="52"/>
        <v>0.95608690024587928</v>
      </c>
      <c r="AM23" s="636">
        <f t="shared" si="53"/>
        <v>19.898479774232996</v>
      </c>
      <c r="AN23" s="636">
        <f t="shared" si="54"/>
        <v>19.898479774232996</v>
      </c>
      <c r="AO23" s="179">
        <v>2</v>
      </c>
      <c r="AP23" s="179">
        <v>1</v>
      </c>
      <c r="AQ23" s="241">
        <f t="shared" si="55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8420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7"/>
        <v>-1.4196428571428572</v>
      </c>
      <c r="D24" s="627" t="s">
        <v>102</v>
      </c>
      <c r="E24" s="133">
        <v>35</v>
      </c>
      <c r="F24" s="138">
        <f ca="1">74-41471+$D$1-112-112-29-112-112-112-112-112-112-112-112-112-112-112-112-112-112-112-112-112-112</f>
        <v>47</v>
      </c>
      <c r="G24" s="134" t="s">
        <v>105</v>
      </c>
      <c r="H24" s="130">
        <v>3</v>
      </c>
      <c r="I24" s="102">
        <v>14.4</v>
      </c>
      <c r="J24" s="185">
        <f t="shared" si="38"/>
        <v>1.5833609611152841</v>
      </c>
      <c r="K24" s="98">
        <f t="shared" si="39"/>
        <v>129.6</v>
      </c>
      <c r="L24" s="98">
        <f t="shared" si="40"/>
        <v>230.4</v>
      </c>
      <c r="M24" s="135">
        <v>4.0999999999999996</v>
      </c>
      <c r="N24" s="178">
        <f t="shared" si="41"/>
        <v>60</v>
      </c>
      <c r="O24" s="178" t="s">
        <v>256</v>
      </c>
      <c r="P24" s="304">
        <v>1.5</v>
      </c>
      <c r="Q24" s="178">
        <v>5</v>
      </c>
      <c r="R24" s="199">
        <f t="shared" si="42"/>
        <v>0.84515425472851657</v>
      </c>
      <c r="S24" s="199">
        <f t="shared" si="43"/>
        <v>0.92504826128926143</v>
      </c>
      <c r="T24" s="111">
        <v>3030</v>
      </c>
      <c r="U24" s="268">
        <f t="shared" si="44"/>
        <v>-560</v>
      </c>
      <c r="V24" s="111">
        <v>790</v>
      </c>
      <c r="W24" s="108">
        <f t="shared" si="45"/>
        <v>3.8354430379746836</v>
      </c>
      <c r="X24" s="184">
        <v>0</v>
      </c>
      <c r="Y24" s="185">
        <f>5+(5/7)+0.07+0.21+0.07+0.07+0.07+0.07+0.07+0.07+0.06+0.03+0.03+0.03+0.03+0.03+0.2*33/90+0.03+0.03+0.02+0.02+0.01+0.01+0.01+0.01</f>
        <v>6.8376190476190493</v>
      </c>
      <c r="Z24" s="184">
        <v>8.9499999999999993</v>
      </c>
      <c r="AA24" s="185">
        <v>7.95</v>
      </c>
      <c r="AB24" s="184">
        <v>8.9499999999999993</v>
      </c>
      <c r="AC24" s="185">
        <v>6.95</v>
      </c>
      <c r="AD24" s="184">
        <f>17.99+0.2+0.15+0.15+0.15+0.15+0.11+0.1</f>
        <v>18.999999999999993</v>
      </c>
      <c r="AE24" s="312">
        <v>1194</v>
      </c>
      <c r="AF24" s="635">
        <f t="shared" si="46"/>
        <v>10.170046214970613</v>
      </c>
      <c r="AG24" s="635">
        <f t="shared" si="47"/>
        <v>11.140727445618877</v>
      </c>
      <c r="AH24" s="108">
        <f t="shared" si="48"/>
        <v>3.5906063619249506</v>
      </c>
      <c r="AI24" s="108">
        <f t="shared" si="49"/>
        <v>17.918307816461532</v>
      </c>
      <c r="AJ24" s="108">
        <f t="shared" si="50"/>
        <v>15.608613844148612</v>
      </c>
      <c r="AK24" s="108">
        <f t="shared" si="51"/>
        <v>1.1641688768892222</v>
      </c>
      <c r="AL24" s="108">
        <f t="shared" si="52"/>
        <v>1.0593400291828317</v>
      </c>
      <c r="AM24" s="636">
        <f t="shared" si="53"/>
        <v>18.630988873550887</v>
      </c>
      <c r="AN24" s="636">
        <f t="shared" si="54"/>
        <v>20.409225749343172</v>
      </c>
      <c r="AO24" s="178">
        <v>4</v>
      </c>
      <c r="AP24" s="178">
        <v>2</v>
      </c>
      <c r="AQ24" s="241">
        <f t="shared" si="55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3590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7"/>
        <v>1.3035714285714286</v>
      </c>
      <c r="D25" s="627" t="s">
        <v>251</v>
      </c>
      <c r="E25" s="57">
        <v>32</v>
      </c>
      <c r="F25" s="58">
        <f ca="1">7-41471+$D$1-112-111-43-112-112-1-112-112-112-112-112-112-112-112-112-112-112-112-112-112-112</f>
        <v>78</v>
      </c>
      <c r="G25" s="80"/>
      <c r="H25" s="310">
        <v>5</v>
      </c>
      <c r="I25" s="59">
        <v>6.3</v>
      </c>
      <c r="J25" s="185">
        <f t="shared" si="38"/>
        <v>1.1510971468272746</v>
      </c>
      <c r="K25" s="98">
        <f t="shared" si="39"/>
        <v>157.5</v>
      </c>
      <c r="L25" s="98">
        <f t="shared" si="40"/>
        <v>226.79999999999998</v>
      </c>
      <c r="M25" s="92">
        <v>4.9000000000000004</v>
      </c>
      <c r="N25" s="178">
        <f t="shared" si="41"/>
        <v>68</v>
      </c>
      <c r="O25" s="178" t="s">
        <v>256</v>
      </c>
      <c r="P25" s="304">
        <v>1.5</v>
      </c>
      <c r="Q25" s="179">
        <v>3</v>
      </c>
      <c r="R25" s="199">
        <f t="shared" si="42"/>
        <v>0.65465367070797709</v>
      </c>
      <c r="S25" s="199">
        <f t="shared" si="43"/>
        <v>0.75498344352707503</v>
      </c>
      <c r="T25" s="269">
        <v>7160</v>
      </c>
      <c r="U25" s="268">
        <f t="shared" si="44"/>
        <v>20</v>
      </c>
      <c r="V25" s="269">
        <v>2040</v>
      </c>
      <c r="W25" s="108">
        <f t="shared" si="45"/>
        <v>3.5098039215686274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5">
        <f t="shared" si="46"/>
        <v>5.6634725028217821</v>
      </c>
      <c r="AG25" s="635">
        <f t="shared" si="47"/>
        <v>6.5396147481043991</v>
      </c>
      <c r="AH25" s="108">
        <f t="shared" si="48"/>
        <v>2.7719093225590656</v>
      </c>
      <c r="AI25" s="108">
        <f t="shared" si="49"/>
        <v>12.540496417052335</v>
      </c>
      <c r="AJ25" s="108">
        <f t="shared" si="50"/>
        <v>9.7125054561506214</v>
      </c>
      <c r="AK25" s="108">
        <f t="shared" si="51"/>
        <v>1.0295877717461819</v>
      </c>
      <c r="AL25" s="108">
        <f t="shared" si="52"/>
        <v>0.76637680027790922</v>
      </c>
      <c r="AM25" s="636">
        <f t="shared" si="53"/>
        <v>10.844853529101004</v>
      </c>
      <c r="AN25" s="636">
        <f t="shared" si="54"/>
        <v>12.522558208697054</v>
      </c>
      <c r="AO25" s="179">
        <v>2</v>
      </c>
      <c r="AP25" s="179">
        <v>1</v>
      </c>
      <c r="AQ25" s="241">
        <f t="shared" si="55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7140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355150</v>
      </c>
      <c r="U26" s="68">
        <f t="shared" ref="U26:V26" si="56">SUM(U4:U25)</f>
        <v>2640</v>
      </c>
      <c r="V26" s="68">
        <f t="shared" si="56"/>
        <v>74356</v>
      </c>
      <c r="W26" s="107">
        <f t="shared" si="4"/>
        <v>4.7763462262628433</v>
      </c>
      <c r="X26"/>
      <c r="AD26" s="105"/>
      <c r="AE26" s="68"/>
      <c r="AH26" s="638"/>
      <c r="AI26" s="638"/>
      <c r="AJ26" s="638"/>
      <c r="AK26" s="638"/>
      <c r="AL26" s="638"/>
      <c r="AM26" s="638"/>
      <c r="AN26" s="638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39"/>
      <c r="AI27" s="639"/>
      <c r="AJ27" s="639"/>
      <c r="AK27" s="639"/>
      <c r="AL27" s="639"/>
      <c r="AM27" s="639"/>
      <c r="AN27" s="639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79" priority="466" operator="greaterThan">
      <formula>6</formula>
    </cfRule>
    <cfRule type="cellIs" dxfId="78" priority="467" operator="lessThan">
      <formula>5</formula>
    </cfRule>
  </conditionalFormatting>
  <conditionalFormatting sqref="R5:S25">
    <cfRule type="cellIs" dxfId="77" priority="460" operator="greaterThan">
      <formula>0.95</formula>
    </cfRule>
    <cfRule type="cellIs" dxfId="76" priority="461" operator="lessThan">
      <formula>0.85</formula>
    </cfRule>
  </conditionalFormatting>
  <conditionalFormatting sqref="Q4">
    <cfRule type="cellIs" dxfId="75" priority="339" operator="greaterThan">
      <formula>6</formula>
    </cfRule>
    <cfRule type="cellIs" dxfId="74" priority="340" operator="lessThan">
      <formula>5</formula>
    </cfRule>
  </conditionalFormatting>
  <conditionalFormatting sqref="R4:S4">
    <cfRule type="cellIs" dxfId="73" priority="337" operator="greaterThan">
      <formula>0.95</formula>
    </cfRule>
    <cfRule type="cellIs" dxfId="72" priority="338" operator="lessThan">
      <formula>0.85</formula>
    </cfRule>
  </conditionalFormatting>
  <conditionalFormatting sqref="AQ4:AQ25">
    <cfRule type="cellIs" dxfId="71" priority="55" operator="lessThan">
      <formula>0.07</formula>
    </cfRule>
    <cfRule type="cellIs" dxfId="70" priority="56" operator="greaterThan">
      <formula>0.1</formula>
    </cfRule>
  </conditionalFormatting>
  <conditionalFormatting sqref="V4:V25">
    <cfRule type="dataBar" priority="36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6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6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6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6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69" priority="3652" operator="greaterThan">
      <formula>10</formula>
    </cfRule>
    <cfRule type="colorScale" priority="3653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656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6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660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{03D32B38-209D-4E49-8D72-813009FE7081}</x14:id>
        </ext>
      </extLst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03D32B38-209D-4E49-8D72-813009FE7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U109"/>
  <sheetViews>
    <sheetView tabSelected="1" workbookViewId="0">
      <selection activeCell="N18" sqref="N18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6.1406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21.7109375" bestFit="1" customWidth="1"/>
    <col min="28" max="28" width="6.85546875" bestFit="1" customWidth="1"/>
    <col min="29" max="29" width="5.28515625" customWidth="1"/>
    <col min="30" max="30" width="17" bestFit="1" customWidth="1"/>
    <col min="31" max="31" width="5.28515625" bestFit="1" customWidth="1"/>
    <col min="32" max="32" width="5.7109375" bestFit="1" customWidth="1"/>
    <col min="33" max="33" width="5.140625" bestFit="1" customWidth="1"/>
    <col min="34" max="34" width="6.5703125" bestFit="1" customWidth="1"/>
    <col min="35" max="35" width="5.85546875" bestFit="1" customWidth="1"/>
    <col min="36" max="36" width="5" bestFit="1" customWidth="1"/>
    <col min="37" max="37" width="7.5703125" bestFit="1" customWidth="1"/>
    <col min="38" max="38" width="5.140625" bestFit="1" customWidth="1"/>
    <col min="39" max="39" width="7.42578125" bestFit="1" customWidth="1"/>
    <col min="40" max="40" width="5.140625" bestFit="1" customWidth="1"/>
    <col min="41" max="41" width="7.140625" bestFit="1" customWidth="1"/>
    <col min="42" max="42" width="7.5703125" bestFit="1" customWidth="1"/>
    <col min="43" max="43" width="8.140625" bestFit="1" customWidth="1"/>
    <col min="44" max="44" width="5.140625" bestFit="1" customWidth="1"/>
    <col min="45" max="45" width="7.5703125" bestFit="1" customWidth="1"/>
    <col min="46" max="46" width="5.140625" bestFit="1" customWidth="1"/>
    <col min="47" max="47" width="6" bestFit="1" customWidth="1"/>
  </cols>
  <sheetData>
    <row r="1" spans="1:47" ht="18.75" x14ac:dyDescent="0.3">
      <c r="A1" s="665" t="s">
        <v>446</v>
      </c>
      <c r="B1" s="665"/>
      <c r="C1" s="665"/>
      <c r="D1" s="665"/>
      <c r="E1" s="66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1"/>
      <c r="AA1" s="373"/>
      <c r="AB1" s="374"/>
      <c r="AD1" s="668" t="s">
        <v>581</v>
      </c>
      <c r="AE1" s="668"/>
      <c r="AF1" s="668"/>
      <c r="AG1" s="668"/>
      <c r="AH1" s="420"/>
      <c r="AI1" s="420"/>
      <c r="AJ1" s="420"/>
      <c r="AK1" s="420"/>
      <c r="AL1" s="420"/>
      <c r="AM1" s="420"/>
      <c r="AN1" s="420"/>
      <c r="AO1" s="420"/>
      <c r="AP1" s="420"/>
      <c r="AQ1" s="420"/>
      <c r="AR1" s="420"/>
      <c r="AS1" s="420"/>
      <c r="AT1" s="420"/>
      <c r="AU1" s="420"/>
    </row>
    <row r="2" spans="1:47" x14ac:dyDescent="0.25">
      <c r="A2" s="375" t="s">
        <v>71</v>
      </c>
      <c r="B2" s="375" t="s">
        <v>447</v>
      </c>
      <c r="C2" s="375" t="s">
        <v>61</v>
      </c>
      <c r="D2" s="376" t="s">
        <v>448</v>
      </c>
      <c r="E2" s="375" t="s">
        <v>449</v>
      </c>
      <c r="F2" s="375" t="s">
        <v>331</v>
      </c>
      <c r="G2" s="375" t="s">
        <v>1</v>
      </c>
      <c r="H2" s="375" t="s">
        <v>450</v>
      </c>
      <c r="I2" s="377" t="s">
        <v>2</v>
      </c>
      <c r="J2" s="377" t="s">
        <v>450</v>
      </c>
      <c r="K2" s="375" t="s">
        <v>321</v>
      </c>
      <c r="L2" s="375" t="s">
        <v>450</v>
      </c>
      <c r="M2" s="377" t="s">
        <v>260</v>
      </c>
      <c r="N2" s="377" t="s">
        <v>450</v>
      </c>
      <c r="O2" s="375" t="s">
        <v>262</v>
      </c>
      <c r="P2" s="375" t="s">
        <v>450</v>
      </c>
      <c r="Q2" s="377" t="s">
        <v>322</v>
      </c>
      <c r="R2" s="377" t="s">
        <v>450</v>
      </c>
      <c r="S2" s="375" t="s">
        <v>0</v>
      </c>
      <c r="T2" s="375" t="s">
        <v>450</v>
      </c>
      <c r="U2" s="376" t="s">
        <v>451</v>
      </c>
      <c r="V2" s="376" t="s">
        <v>75</v>
      </c>
      <c r="W2" s="376" t="s">
        <v>67</v>
      </c>
      <c r="X2" s="376" t="s">
        <v>452</v>
      </c>
      <c r="Y2" s="376" t="s">
        <v>0</v>
      </c>
      <c r="Z2" s="376" t="s">
        <v>453</v>
      </c>
      <c r="AA2" s="378" t="s">
        <v>454</v>
      </c>
      <c r="AB2" s="379"/>
    </row>
    <row r="3" spans="1:47" x14ac:dyDescent="0.25">
      <c r="A3" s="669" t="s">
        <v>455</v>
      </c>
      <c r="B3" s="669"/>
      <c r="C3" s="669"/>
      <c r="D3" s="669"/>
      <c r="E3" s="669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1"/>
      <c r="AA3" s="383"/>
      <c r="AB3" s="374"/>
      <c r="AD3" s="666" t="s">
        <v>456</v>
      </c>
      <c r="AE3" s="666"/>
      <c r="AF3" s="666"/>
      <c r="AG3" s="666"/>
      <c r="AH3" s="667" t="s">
        <v>457</v>
      </c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</row>
    <row r="4" spans="1:47" x14ac:dyDescent="0.25">
      <c r="A4" s="384" t="s">
        <v>456</v>
      </c>
      <c r="B4" s="384"/>
      <c r="C4" s="384"/>
      <c r="D4" s="384"/>
      <c r="E4" s="384"/>
      <c r="F4" s="384"/>
      <c r="G4" s="384" t="s">
        <v>457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5"/>
      <c r="AA4" s="386"/>
      <c r="AB4" s="387"/>
      <c r="AD4" s="424" t="s">
        <v>71</v>
      </c>
      <c r="AE4" s="424" t="s">
        <v>447</v>
      </c>
      <c r="AF4" s="424" t="s">
        <v>61</v>
      </c>
      <c r="AG4" s="449" t="s">
        <v>448</v>
      </c>
      <c r="AH4" s="450" t="s">
        <v>1</v>
      </c>
      <c r="AI4" s="450" t="s">
        <v>485</v>
      </c>
      <c r="AJ4" s="450" t="s">
        <v>2</v>
      </c>
      <c r="AK4" s="450" t="s">
        <v>486</v>
      </c>
      <c r="AL4" s="450" t="s">
        <v>321</v>
      </c>
      <c r="AM4" s="450" t="s">
        <v>487</v>
      </c>
      <c r="AN4" s="450" t="s">
        <v>260</v>
      </c>
      <c r="AO4" s="450" t="s">
        <v>488</v>
      </c>
      <c r="AP4" s="450" t="s">
        <v>322</v>
      </c>
      <c r="AQ4" s="450" t="s">
        <v>489</v>
      </c>
      <c r="AR4" s="450" t="s">
        <v>262</v>
      </c>
      <c r="AS4" s="450" t="s">
        <v>490</v>
      </c>
      <c r="AT4" s="450" t="s">
        <v>0</v>
      </c>
      <c r="AU4" s="450" t="s">
        <v>491</v>
      </c>
    </row>
    <row r="5" spans="1:47" x14ac:dyDescent="0.25">
      <c r="A5" s="384" t="s">
        <v>71</v>
      </c>
      <c r="B5" s="384" t="s">
        <v>447</v>
      </c>
      <c r="C5" s="384" t="s">
        <v>61</v>
      </c>
      <c r="D5" s="385" t="s">
        <v>448</v>
      </c>
      <c r="E5" s="384" t="s">
        <v>449</v>
      </c>
      <c r="F5" s="384" t="s">
        <v>331</v>
      </c>
      <c r="G5" s="384" t="s">
        <v>1</v>
      </c>
      <c r="H5" s="384" t="s">
        <v>450</v>
      </c>
      <c r="I5" s="388" t="s">
        <v>2</v>
      </c>
      <c r="J5" s="388" t="s">
        <v>450</v>
      </c>
      <c r="K5" s="384" t="s">
        <v>321</v>
      </c>
      <c r="L5" s="384" t="s">
        <v>450</v>
      </c>
      <c r="M5" s="388" t="s">
        <v>260</v>
      </c>
      <c r="N5" s="388" t="s">
        <v>450</v>
      </c>
      <c r="O5" s="384" t="s">
        <v>262</v>
      </c>
      <c r="P5" s="384" t="s">
        <v>450</v>
      </c>
      <c r="Q5" s="388" t="s">
        <v>322</v>
      </c>
      <c r="R5" s="388" t="s">
        <v>450</v>
      </c>
      <c r="S5" s="384" t="s">
        <v>0</v>
      </c>
      <c r="T5" s="384" t="s">
        <v>450</v>
      </c>
      <c r="U5" s="385" t="s">
        <v>451</v>
      </c>
      <c r="V5" s="385" t="s">
        <v>75</v>
      </c>
      <c r="W5" s="385" t="s">
        <v>67</v>
      </c>
      <c r="X5" s="385" t="s">
        <v>452</v>
      </c>
      <c r="Y5" s="385" t="s">
        <v>0</v>
      </c>
      <c r="Z5" s="385" t="s">
        <v>453</v>
      </c>
      <c r="AA5" s="386" t="s">
        <v>454</v>
      </c>
      <c r="AB5" s="379"/>
      <c r="AD5" s="490" t="s">
        <v>99</v>
      </c>
      <c r="AE5" s="426">
        <v>17</v>
      </c>
      <c r="AF5" s="427">
        <v>1798</v>
      </c>
      <c r="AG5" s="429" t="s">
        <v>220</v>
      </c>
      <c r="AH5" s="451"/>
      <c r="AI5" s="451"/>
      <c r="AJ5" s="452">
        <v>3</v>
      </c>
      <c r="AK5" s="452">
        <v>3.99</v>
      </c>
      <c r="AL5" s="452">
        <v>2</v>
      </c>
      <c r="AM5" s="452">
        <v>2.99</v>
      </c>
      <c r="AN5" s="451"/>
      <c r="AO5" s="453">
        <v>3.99</v>
      </c>
      <c r="AP5" s="451"/>
      <c r="AQ5" s="453">
        <v>3.99</v>
      </c>
      <c r="AR5" s="452">
        <v>2</v>
      </c>
      <c r="AS5" s="452">
        <v>2.99</v>
      </c>
      <c r="AT5" s="451"/>
      <c r="AU5" s="451"/>
    </row>
    <row r="6" spans="1:47" ht="15.75" x14ac:dyDescent="0.25">
      <c r="A6" s="442" t="s">
        <v>656</v>
      </c>
      <c r="B6" s="402">
        <v>16</v>
      </c>
      <c r="C6" s="390">
        <f ca="1">2+$A$33-$A$32</f>
        <v>71</v>
      </c>
      <c r="D6" s="391"/>
      <c r="E6" s="430">
        <f ca="1">F6-$A$33</f>
        <v>67</v>
      </c>
      <c r="F6" s="392">
        <v>43780</v>
      </c>
      <c r="G6" s="402"/>
      <c r="H6" s="398">
        <v>1.99</v>
      </c>
      <c r="I6" s="395">
        <v>3</v>
      </c>
      <c r="J6" s="396">
        <v>5.99</v>
      </c>
      <c r="K6" s="428"/>
      <c r="L6" s="398">
        <v>4.99</v>
      </c>
      <c r="M6" s="428"/>
      <c r="N6" s="398">
        <v>2.99</v>
      </c>
      <c r="O6" s="428"/>
      <c r="P6" s="397">
        <v>6.99</v>
      </c>
      <c r="Q6" s="395">
        <v>4</v>
      </c>
      <c r="R6" s="396">
        <v>5.99</v>
      </c>
      <c r="S6" s="428"/>
      <c r="T6" s="428"/>
      <c r="U6" s="408" t="s">
        <v>657</v>
      </c>
      <c r="V6" s="400"/>
      <c r="W6" s="400">
        <f>COUNTA(H6,J6,L6,N6,P6,R6,T6)</f>
        <v>6</v>
      </c>
      <c r="X6" s="400">
        <v>0</v>
      </c>
      <c r="Y6" s="400">
        <v>0</v>
      </c>
      <c r="Z6" s="400"/>
      <c r="AA6" s="401" t="s">
        <v>465</v>
      </c>
      <c r="AB6" s="369"/>
      <c r="AD6" s="490" t="s">
        <v>98</v>
      </c>
      <c r="AE6" s="426">
        <v>16</v>
      </c>
      <c r="AF6" s="427">
        <v>1849</v>
      </c>
      <c r="AG6" s="429"/>
      <c r="AH6" s="451"/>
      <c r="AI6" s="451"/>
      <c r="AJ6" s="452">
        <v>4</v>
      </c>
      <c r="AK6" s="452">
        <v>4.99</v>
      </c>
      <c r="AL6" s="451"/>
      <c r="AM6" s="451"/>
      <c r="AN6" s="452">
        <v>0</v>
      </c>
      <c r="AO6" s="452">
        <v>0.99</v>
      </c>
      <c r="AP6" s="454">
        <v>3</v>
      </c>
      <c r="AQ6" s="453">
        <v>4.99</v>
      </c>
      <c r="AR6" s="452">
        <v>1</v>
      </c>
      <c r="AS6" s="452">
        <v>1.99</v>
      </c>
      <c r="AT6" s="451"/>
      <c r="AU6" s="451"/>
    </row>
    <row r="7" spans="1:47" ht="15.75" x14ac:dyDescent="0.25">
      <c r="A7" s="441" t="s">
        <v>461</v>
      </c>
      <c r="B7" s="369">
        <v>16</v>
      </c>
      <c r="C7" s="414">
        <f ca="1">58+$A$33-$A$32-112</f>
        <v>15</v>
      </c>
      <c r="D7" s="415" t="s">
        <v>105</v>
      </c>
      <c r="E7" s="430">
        <f ca="1">F7-$A$33</f>
        <v>97</v>
      </c>
      <c r="F7" s="392">
        <v>43810</v>
      </c>
      <c r="G7" s="368"/>
      <c r="H7" s="398">
        <v>0.99</v>
      </c>
      <c r="I7" s="394">
        <v>1</v>
      </c>
      <c r="J7" s="405">
        <v>1.99</v>
      </c>
      <c r="K7" s="406">
        <v>5</v>
      </c>
      <c r="L7" s="652">
        <v>5.99</v>
      </c>
      <c r="M7" s="395">
        <v>3</v>
      </c>
      <c r="N7" s="398">
        <v>4.99</v>
      </c>
      <c r="O7" s="368"/>
      <c r="P7" s="398">
        <v>2.99</v>
      </c>
      <c r="Q7" s="406">
        <v>4</v>
      </c>
      <c r="R7" s="407">
        <v>4.99</v>
      </c>
      <c r="S7" s="368"/>
      <c r="T7" s="368"/>
      <c r="U7" s="370" t="s">
        <v>463</v>
      </c>
      <c r="V7" s="369"/>
      <c r="W7" s="400">
        <f>COUNTA(H7,J7,L7,N7,P7,R7,T7)</f>
        <v>6</v>
      </c>
      <c r="X7" s="400">
        <v>0</v>
      </c>
      <c r="Y7" s="400">
        <v>0</v>
      </c>
      <c r="Z7" s="400"/>
      <c r="AA7" s="401" t="s">
        <v>465</v>
      </c>
      <c r="AB7" s="374"/>
      <c r="AD7" s="490" t="s">
        <v>492</v>
      </c>
      <c r="AE7" s="426">
        <v>18</v>
      </c>
      <c r="AF7" s="427">
        <v>1773</v>
      </c>
      <c r="AG7" s="429"/>
      <c r="AH7" s="451"/>
      <c r="AI7" s="451"/>
      <c r="AJ7" s="452">
        <v>4</v>
      </c>
      <c r="AK7" s="452">
        <v>4.99</v>
      </c>
      <c r="AL7" s="452">
        <v>2</v>
      </c>
      <c r="AM7" s="452">
        <v>2.99</v>
      </c>
      <c r="AN7" s="451"/>
      <c r="AO7" s="451"/>
      <c r="AP7" s="451"/>
      <c r="AQ7" s="451"/>
      <c r="AR7" s="454">
        <v>4</v>
      </c>
      <c r="AS7" s="453">
        <v>4.99</v>
      </c>
      <c r="AT7" s="451"/>
      <c r="AU7" s="453">
        <v>2.99</v>
      </c>
    </row>
    <row r="8" spans="1:47" ht="15.75" x14ac:dyDescent="0.25">
      <c r="A8" s="440" t="s">
        <v>670</v>
      </c>
      <c r="B8" s="402">
        <v>16</v>
      </c>
      <c r="C8" s="390">
        <f ca="1">52+$A$33-$A$32-112</f>
        <v>9</v>
      </c>
      <c r="D8" s="403" t="s">
        <v>220</v>
      </c>
      <c r="E8" s="430">
        <f ca="1">F8-$A$33</f>
        <v>103</v>
      </c>
      <c r="F8" s="392">
        <v>43816</v>
      </c>
      <c r="G8" s="402"/>
      <c r="H8" s="428"/>
      <c r="I8" s="428"/>
      <c r="J8" s="398">
        <v>2.99</v>
      </c>
      <c r="K8" s="428"/>
      <c r="L8" s="396">
        <v>5.99</v>
      </c>
      <c r="M8" s="395">
        <v>2</v>
      </c>
      <c r="N8" s="398">
        <v>3.99</v>
      </c>
      <c r="O8" s="428"/>
      <c r="P8" s="398">
        <v>1.99</v>
      </c>
      <c r="Q8" s="619">
        <v>3</v>
      </c>
      <c r="R8" s="620">
        <v>3.99</v>
      </c>
      <c r="S8" s="428"/>
      <c r="T8" s="402"/>
      <c r="U8" s="399" t="s">
        <v>463</v>
      </c>
      <c r="V8" s="400"/>
      <c r="W8" s="400">
        <f t="shared" ref="W8" si="0">COUNTA(H8,J8,L8,N8,P8,R8,T8)</f>
        <v>5</v>
      </c>
      <c r="X8" s="400">
        <v>0</v>
      </c>
      <c r="Y8" s="400">
        <v>0</v>
      </c>
      <c r="Z8" s="412"/>
      <c r="AA8" s="401" t="s">
        <v>465</v>
      </c>
      <c r="AB8" s="387"/>
      <c r="AD8" s="490" t="s">
        <v>95</v>
      </c>
      <c r="AE8" s="426">
        <v>17</v>
      </c>
      <c r="AF8" s="427">
        <v>1752</v>
      </c>
      <c r="AG8" s="429"/>
      <c r="AH8" s="451"/>
      <c r="AI8" s="451">
        <v>1.99</v>
      </c>
      <c r="AJ8" s="455">
        <v>6</v>
      </c>
      <c r="AK8" s="456">
        <v>6.99</v>
      </c>
      <c r="AL8" s="457">
        <v>4</v>
      </c>
      <c r="AM8" s="457">
        <v>4.99</v>
      </c>
      <c r="AN8" s="452">
        <v>3</v>
      </c>
      <c r="AO8" s="452">
        <v>3.99</v>
      </c>
      <c r="AP8" s="454">
        <v>2</v>
      </c>
      <c r="AQ8" s="453">
        <v>3.99</v>
      </c>
      <c r="AR8" s="452">
        <v>2</v>
      </c>
      <c r="AS8" s="452">
        <v>2.99</v>
      </c>
      <c r="AT8" s="451"/>
      <c r="AU8" s="451"/>
    </row>
    <row r="9" spans="1:47" x14ac:dyDescent="0.25">
      <c r="A9" s="670" t="s">
        <v>460</v>
      </c>
      <c r="B9" s="670"/>
      <c r="C9" s="670"/>
      <c r="D9" s="670"/>
      <c r="E9" s="670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3"/>
      <c r="U9" s="434"/>
      <c r="V9" s="434"/>
      <c r="W9" s="434"/>
      <c r="X9" s="434"/>
      <c r="Y9" s="434"/>
      <c r="Z9" s="434"/>
      <c r="AA9" s="435"/>
      <c r="AB9" s="379"/>
      <c r="AD9" s="490" t="s">
        <v>97</v>
      </c>
      <c r="AE9" s="426">
        <v>17</v>
      </c>
      <c r="AF9" s="427">
        <v>1701</v>
      </c>
      <c r="AG9" s="429"/>
      <c r="AH9" s="451"/>
      <c r="AI9" s="451"/>
      <c r="AJ9" s="452">
        <v>1</v>
      </c>
      <c r="AK9" s="452">
        <v>1.99</v>
      </c>
      <c r="AL9" s="457">
        <v>5</v>
      </c>
      <c r="AM9" s="458">
        <v>5.99</v>
      </c>
      <c r="AN9" s="452">
        <v>2</v>
      </c>
      <c r="AO9" s="452">
        <v>2.99</v>
      </c>
      <c r="AP9" s="452">
        <v>2</v>
      </c>
      <c r="AQ9" s="452">
        <v>2.99</v>
      </c>
      <c r="AR9" s="452">
        <v>2</v>
      </c>
      <c r="AS9" s="452">
        <v>2.99</v>
      </c>
      <c r="AT9" s="451"/>
      <c r="AU9" s="451"/>
    </row>
    <row r="10" spans="1:47" ht="15.75" x14ac:dyDescent="0.25">
      <c r="A10" s="436" t="s">
        <v>456</v>
      </c>
      <c r="B10" s="436"/>
      <c r="C10" s="436"/>
      <c r="D10" s="436"/>
      <c r="E10" s="436"/>
      <c r="F10" s="436"/>
      <c r="G10" s="436" t="s">
        <v>457</v>
      </c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7"/>
      <c r="V10" s="437"/>
      <c r="W10" s="437"/>
      <c r="X10" s="437"/>
      <c r="Y10" s="437"/>
      <c r="Z10" s="437"/>
      <c r="AA10" s="438"/>
      <c r="AB10" s="368"/>
      <c r="AD10" s="490" t="s">
        <v>493</v>
      </c>
      <c r="AE10" s="426">
        <v>17</v>
      </c>
      <c r="AF10" s="427">
        <v>1714</v>
      </c>
      <c r="AG10" s="429" t="s">
        <v>96</v>
      </c>
      <c r="AH10" s="459"/>
      <c r="AI10" s="459"/>
      <c r="AJ10" s="460">
        <v>5</v>
      </c>
      <c r="AK10" s="461">
        <v>5.99</v>
      </c>
      <c r="AL10" s="462">
        <v>2</v>
      </c>
      <c r="AM10" s="462">
        <v>2.99</v>
      </c>
      <c r="AN10" s="462">
        <v>4</v>
      </c>
      <c r="AO10" s="462">
        <v>4.99</v>
      </c>
      <c r="AP10" s="462">
        <v>5</v>
      </c>
      <c r="AQ10" s="463">
        <v>5.99</v>
      </c>
      <c r="AR10" s="459"/>
      <c r="AS10" s="464">
        <v>5.99</v>
      </c>
      <c r="AT10" s="459"/>
      <c r="AU10" s="453">
        <v>2.99</v>
      </c>
    </row>
    <row r="11" spans="1:47" ht="15.75" x14ac:dyDescent="0.25">
      <c r="A11" s="436" t="s">
        <v>71</v>
      </c>
      <c r="B11" s="436" t="s">
        <v>447</v>
      </c>
      <c r="C11" s="436" t="s">
        <v>61</v>
      </c>
      <c r="D11" s="437" t="s">
        <v>448</v>
      </c>
      <c r="E11" s="436" t="s">
        <v>449</v>
      </c>
      <c r="F11" s="436" t="s">
        <v>331</v>
      </c>
      <c r="G11" s="436" t="s">
        <v>1</v>
      </c>
      <c r="H11" s="436" t="s">
        <v>450</v>
      </c>
      <c r="I11" s="439" t="s">
        <v>2</v>
      </c>
      <c r="J11" s="439" t="s">
        <v>450</v>
      </c>
      <c r="K11" s="436" t="s">
        <v>321</v>
      </c>
      <c r="L11" s="436" t="s">
        <v>450</v>
      </c>
      <c r="M11" s="439" t="s">
        <v>260</v>
      </c>
      <c r="N11" s="439" t="s">
        <v>450</v>
      </c>
      <c r="O11" s="436" t="s">
        <v>262</v>
      </c>
      <c r="P11" s="436" t="s">
        <v>450</v>
      </c>
      <c r="Q11" s="439" t="s">
        <v>322</v>
      </c>
      <c r="R11" s="439" t="s">
        <v>450</v>
      </c>
      <c r="S11" s="436" t="s">
        <v>0</v>
      </c>
      <c r="T11" s="436" t="s">
        <v>450</v>
      </c>
      <c r="U11" s="437" t="s">
        <v>451</v>
      </c>
      <c r="V11" s="437" t="s">
        <v>75</v>
      </c>
      <c r="W11" s="437" t="s">
        <v>67</v>
      </c>
      <c r="X11" s="437" t="s">
        <v>452</v>
      </c>
      <c r="Y11" s="437" t="s">
        <v>0</v>
      </c>
      <c r="Z11" s="437" t="s">
        <v>453</v>
      </c>
      <c r="AA11" s="438" t="s">
        <v>454</v>
      </c>
      <c r="AB11" s="368"/>
      <c r="AD11" s="490" t="s">
        <v>494</v>
      </c>
      <c r="AE11" s="426">
        <v>17</v>
      </c>
      <c r="AF11" s="427">
        <v>1719</v>
      </c>
      <c r="AG11" s="429" t="s">
        <v>220</v>
      </c>
      <c r="AH11" s="459"/>
      <c r="AI11" s="459"/>
      <c r="AJ11" s="465">
        <v>2</v>
      </c>
      <c r="AK11" s="459"/>
      <c r="AL11" s="465">
        <v>2</v>
      </c>
      <c r="AM11" s="459"/>
      <c r="AN11" s="459"/>
      <c r="AO11" s="465">
        <v>2.99</v>
      </c>
      <c r="AP11" s="460">
        <v>5</v>
      </c>
      <c r="AQ11" s="461">
        <v>5.99</v>
      </c>
      <c r="AR11" s="460">
        <v>4</v>
      </c>
      <c r="AS11" s="460">
        <v>4.99</v>
      </c>
      <c r="AT11" s="459"/>
      <c r="AU11" s="459"/>
    </row>
    <row r="12" spans="1:47" ht="15.75" x14ac:dyDescent="0.25">
      <c r="A12" s="440" t="s">
        <v>673</v>
      </c>
      <c r="B12" s="428">
        <v>16</v>
      </c>
      <c r="C12" s="427">
        <f ca="1">9+$A$33-$A$32-74</f>
        <v>4</v>
      </c>
      <c r="D12" s="429"/>
      <c r="E12" s="430">
        <f ca="1">F12-$A$33</f>
        <v>109</v>
      </c>
      <c r="F12" s="392">
        <v>43822</v>
      </c>
      <c r="G12" s="428"/>
      <c r="H12" s="428"/>
      <c r="I12" s="395">
        <v>3</v>
      </c>
      <c r="J12" s="428"/>
      <c r="K12" s="428"/>
      <c r="L12" s="428"/>
      <c r="M12" s="395">
        <v>3</v>
      </c>
      <c r="N12" s="428"/>
      <c r="O12" s="428"/>
      <c r="P12" s="398">
        <v>2.99</v>
      </c>
      <c r="Q12" s="428"/>
      <c r="R12" s="398">
        <v>4.99</v>
      </c>
      <c r="S12" s="428"/>
      <c r="T12" s="428"/>
      <c r="U12" s="428"/>
      <c r="V12" s="400"/>
      <c r="W12" s="400">
        <f>COUNTA(H12,J12,L12,N12,P12,R12,T12)</f>
        <v>2</v>
      </c>
      <c r="X12" s="400">
        <v>0</v>
      </c>
      <c r="Y12" s="400">
        <v>0</v>
      </c>
      <c r="Z12" s="400"/>
      <c r="AA12" s="401"/>
      <c r="AB12" s="369"/>
      <c r="AD12" s="490" t="s">
        <v>495</v>
      </c>
      <c r="AE12" s="426">
        <v>18</v>
      </c>
      <c r="AF12" s="427">
        <v>1715</v>
      </c>
      <c r="AG12" s="429"/>
      <c r="AH12" s="459"/>
      <c r="AI12" s="459"/>
      <c r="AJ12" s="459"/>
      <c r="AK12" s="465">
        <v>2.99</v>
      </c>
      <c r="AL12" s="462">
        <v>2</v>
      </c>
      <c r="AM12" s="462">
        <v>2.99</v>
      </c>
      <c r="AN12" s="465">
        <v>5</v>
      </c>
      <c r="AO12" s="466">
        <v>6.99</v>
      </c>
      <c r="AP12" s="460">
        <v>3</v>
      </c>
      <c r="AQ12" s="460">
        <v>3.99</v>
      </c>
      <c r="AR12" s="459"/>
      <c r="AS12" s="464">
        <v>5.99</v>
      </c>
      <c r="AT12" s="459"/>
      <c r="AU12" s="459"/>
    </row>
    <row r="13" spans="1:47" ht="15.75" x14ac:dyDescent="0.25">
      <c r="A13" s="665" t="s">
        <v>469</v>
      </c>
      <c r="B13" s="665"/>
      <c r="C13" s="665"/>
      <c r="D13" s="665"/>
      <c r="E13" s="665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1"/>
      <c r="V13" s="371"/>
      <c r="W13" s="371"/>
      <c r="X13" s="371"/>
      <c r="Y13" s="371"/>
      <c r="Z13" s="371"/>
      <c r="AA13" s="413"/>
      <c r="AB13" s="425"/>
      <c r="AD13" s="490" t="s">
        <v>101</v>
      </c>
      <c r="AE13" s="426">
        <v>18</v>
      </c>
      <c r="AF13" s="427">
        <v>1707</v>
      </c>
      <c r="AG13" s="429" t="s">
        <v>94</v>
      </c>
      <c r="AH13" s="459"/>
      <c r="AI13" s="459"/>
      <c r="AJ13" s="465">
        <v>1</v>
      </c>
      <c r="AK13" s="465">
        <v>2.99</v>
      </c>
      <c r="AL13" s="465">
        <v>6</v>
      </c>
      <c r="AM13" s="466">
        <v>7</v>
      </c>
      <c r="AN13" s="460">
        <v>4</v>
      </c>
      <c r="AO13" s="460">
        <v>4.99</v>
      </c>
      <c r="AP13" s="459"/>
      <c r="AQ13" s="459"/>
      <c r="AR13" s="462">
        <v>3</v>
      </c>
      <c r="AS13" s="462">
        <v>3.99</v>
      </c>
      <c r="AT13" s="459"/>
      <c r="AU13" s="465">
        <v>4.99</v>
      </c>
    </row>
    <row r="14" spans="1:47" ht="15.75" x14ac:dyDescent="0.25">
      <c r="A14" s="375" t="s">
        <v>456</v>
      </c>
      <c r="B14" s="375"/>
      <c r="C14" s="375"/>
      <c r="D14" s="375"/>
      <c r="E14" s="375"/>
      <c r="F14" s="375"/>
      <c r="G14" s="375" t="s">
        <v>457</v>
      </c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6"/>
      <c r="V14" s="376"/>
      <c r="W14" s="376"/>
      <c r="X14" s="376"/>
      <c r="Y14" s="376"/>
      <c r="Z14" s="376"/>
      <c r="AA14" s="413"/>
      <c r="AB14" s="368"/>
      <c r="AD14" s="490" t="s">
        <v>102</v>
      </c>
      <c r="AE14" s="426">
        <v>17</v>
      </c>
      <c r="AF14" s="427">
        <v>1601</v>
      </c>
      <c r="AG14" s="429" t="s">
        <v>105</v>
      </c>
      <c r="AH14" s="459"/>
      <c r="AI14" s="465">
        <v>1.99</v>
      </c>
      <c r="AJ14" s="465">
        <v>4</v>
      </c>
      <c r="AK14" s="464">
        <v>5.99</v>
      </c>
      <c r="AL14" s="462">
        <v>2</v>
      </c>
      <c r="AM14" s="462">
        <v>2.99</v>
      </c>
      <c r="AN14" s="462">
        <v>2</v>
      </c>
      <c r="AO14" s="462">
        <v>2.99</v>
      </c>
      <c r="AP14" s="462">
        <v>6</v>
      </c>
      <c r="AQ14" s="467">
        <v>6.99</v>
      </c>
      <c r="AR14" s="462">
        <v>2</v>
      </c>
      <c r="AS14" s="462">
        <v>2.99</v>
      </c>
      <c r="AT14" s="459"/>
      <c r="AU14" s="466">
        <v>7</v>
      </c>
    </row>
    <row r="15" spans="1:47" ht="15.75" x14ac:dyDescent="0.25">
      <c r="A15" s="375" t="s">
        <v>71</v>
      </c>
      <c r="B15" s="375" t="s">
        <v>447</v>
      </c>
      <c r="C15" s="375" t="s">
        <v>61</v>
      </c>
      <c r="D15" s="376" t="s">
        <v>448</v>
      </c>
      <c r="E15" s="375" t="s">
        <v>449</v>
      </c>
      <c r="F15" s="375" t="s">
        <v>331</v>
      </c>
      <c r="G15" s="375" t="s">
        <v>1</v>
      </c>
      <c r="H15" s="375" t="s">
        <v>450</v>
      </c>
      <c r="I15" s="377" t="s">
        <v>2</v>
      </c>
      <c r="J15" s="377" t="s">
        <v>450</v>
      </c>
      <c r="K15" s="375" t="s">
        <v>321</v>
      </c>
      <c r="L15" s="375" t="s">
        <v>450</v>
      </c>
      <c r="M15" s="377" t="s">
        <v>260</v>
      </c>
      <c r="N15" s="377" t="s">
        <v>450</v>
      </c>
      <c r="O15" s="375" t="s">
        <v>262</v>
      </c>
      <c r="P15" s="375" t="s">
        <v>450</v>
      </c>
      <c r="Q15" s="377" t="s">
        <v>322</v>
      </c>
      <c r="R15" s="377" t="s">
        <v>450</v>
      </c>
      <c r="S15" s="375" t="s">
        <v>0</v>
      </c>
      <c r="T15" s="375" t="s">
        <v>450</v>
      </c>
      <c r="U15" s="376" t="s">
        <v>451</v>
      </c>
      <c r="V15" s="376" t="s">
        <v>75</v>
      </c>
      <c r="W15" s="376" t="s">
        <v>67</v>
      </c>
      <c r="X15" s="376" t="s">
        <v>452</v>
      </c>
      <c r="Y15" s="376" t="s">
        <v>0</v>
      </c>
      <c r="Z15" s="376" t="s">
        <v>453</v>
      </c>
      <c r="AA15" s="413" t="s">
        <v>454</v>
      </c>
      <c r="AB15" s="374"/>
      <c r="AD15" s="490" t="s">
        <v>496</v>
      </c>
      <c r="AE15" s="426">
        <v>18</v>
      </c>
      <c r="AF15" s="427">
        <v>1658</v>
      </c>
      <c r="AG15" s="429"/>
      <c r="AH15" s="459"/>
      <c r="AI15" s="459"/>
      <c r="AJ15" s="460">
        <v>4</v>
      </c>
      <c r="AK15" s="460">
        <v>4.99</v>
      </c>
      <c r="AL15" s="460">
        <v>2</v>
      </c>
      <c r="AM15" s="460">
        <v>2.99</v>
      </c>
      <c r="AN15" s="460">
        <v>4</v>
      </c>
      <c r="AO15" s="460">
        <v>4.99</v>
      </c>
      <c r="AP15" s="465">
        <v>6</v>
      </c>
      <c r="AQ15" s="466">
        <v>6.99</v>
      </c>
      <c r="AR15" s="460">
        <v>5</v>
      </c>
      <c r="AS15" s="461">
        <v>5.99</v>
      </c>
      <c r="AT15" s="462">
        <v>4</v>
      </c>
      <c r="AU15" s="462">
        <v>4.99</v>
      </c>
    </row>
    <row r="16" spans="1:47" ht="15.75" x14ac:dyDescent="0.25">
      <c r="A16" s="440"/>
      <c r="B16" s="402"/>
      <c r="C16" s="390">
        <f ca="1">11+$A$33-$A$32</f>
        <v>80</v>
      </c>
      <c r="D16" s="403"/>
      <c r="E16" s="404">
        <f ca="1">F16-A33</f>
        <v>-43713</v>
      </c>
      <c r="F16" s="392"/>
      <c r="G16" s="402"/>
      <c r="H16" s="402"/>
      <c r="I16" s="428"/>
      <c r="J16" s="428"/>
      <c r="K16" s="428"/>
      <c r="L16" s="428"/>
      <c r="M16" s="428"/>
      <c r="N16" s="428"/>
      <c r="O16" s="428"/>
      <c r="P16" s="428"/>
      <c r="Q16" s="428"/>
      <c r="R16" s="428"/>
      <c r="S16" s="428"/>
      <c r="T16" s="428"/>
      <c r="U16" s="428"/>
      <c r="V16" s="400"/>
      <c r="W16" s="400">
        <f>COUNTA(H16,J16,L16,N16,P16,R16,T16)</f>
        <v>0</v>
      </c>
      <c r="X16" s="400">
        <v>0</v>
      </c>
      <c r="Y16" s="400">
        <v>0</v>
      </c>
      <c r="Z16" s="412"/>
      <c r="AA16" s="401"/>
      <c r="AB16" s="387"/>
      <c r="AD16" s="490" t="s">
        <v>169</v>
      </c>
      <c r="AE16" s="426">
        <v>17</v>
      </c>
      <c r="AF16" s="427">
        <v>1676</v>
      </c>
      <c r="AG16" s="429"/>
      <c r="AH16" s="468"/>
      <c r="AI16" s="465">
        <v>1.99</v>
      </c>
      <c r="AJ16" s="465">
        <v>1</v>
      </c>
      <c r="AK16" s="468"/>
      <c r="AL16" s="462">
        <v>6</v>
      </c>
      <c r="AM16" s="467">
        <v>6.99</v>
      </c>
      <c r="AN16" s="468"/>
      <c r="AO16" s="465">
        <v>1.99</v>
      </c>
      <c r="AP16" s="465">
        <v>5</v>
      </c>
      <c r="AQ16" s="466">
        <v>6.99</v>
      </c>
      <c r="AR16" s="462">
        <v>1</v>
      </c>
      <c r="AS16" s="462">
        <v>1.99</v>
      </c>
      <c r="AT16" s="468"/>
      <c r="AU16" s="465">
        <v>2.99</v>
      </c>
    </row>
    <row r="17" spans="1:47" ht="15.75" x14ac:dyDescent="0.25">
      <c r="A17" s="440"/>
      <c r="B17" s="402"/>
      <c r="C17" s="390">
        <f ca="1">9+$A$33-$A$32-74</f>
        <v>4</v>
      </c>
      <c r="D17" s="403"/>
      <c r="E17" s="430">
        <f ca="1">F17-$A$33</f>
        <v>-43713</v>
      </c>
      <c r="F17" s="392"/>
      <c r="G17" s="402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00"/>
      <c r="W17" s="400">
        <f>COUNTA(H17,J17,L17,N17,P17,R17,T17)</f>
        <v>0</v>
      </c>
      <c r="X17" s="400">
        <v>0</v>
      </c>
      <c r="Y17" s="400">
        <v>0</v>
      </c>
      <c r="Z17" s="400"/>
      <c r="AA17" s="401"/>
      <c r="AB17" s="379"/>
      <c r="AD17" s="490" t="s">
        <v>107</v>
      </c>
      <c r="AE17" s="426">
        <v>18</v>
      </c>
      <c r="AF17" s="427">
        <v>1549</v>
      </c>
      <c r="AG17" s="429" t="s">
        <v>94</v>
      </c>
      <c r="AH17" s="469"/>
      <c r="AI17" s="469"/>
      <c r="AJ17" s="460">
        <v>3</v>
      </c>
      <c r="AK17" s="460">
        <v>3.99</v>
      </c>
      <c r="AL17" s="462">
        <v>3</v>
      </c>
      <c r="AM17" s="462">
        <v>3.99</v>
      </c>
      <c r="AN17" s="460">
        <v>5</v>
      </c>
      <c r="AO17" s="461">
        <v>5.99</v>
      </c>
      <c r="AP17" s="469"/>
      <c r="AQ17" s="465">
        <v>2.99</v>
      </c>
      <c r="AR17" s="462">
        <v>4</v>
      </c>
      <c r="AS17" s="462">
        <v>4.99</v>
      </c>
      <c r="AT17" s="462">
        <v>4</v>
      </c>
      <c r="AU17" s="462">
        <v>4.99</v>
      </c>
    </row>
    <row r="18" spans="1:47" ht="15.75" x14ac:dyDescent="0.25">
      <c r="A18" s="442"/>
      <c r="B18" s="402"/>
      <c r="C18" s="390">
        <f ca="1">3+$A$33-$A$32</f>
        <v>72</v>
      </c>
      <c r="D18" s="391"/>
      <c r="E18" s="430">
        <f ca="1">F18-$A$33</f>
        <v>-43713</v>
      </c>
      <c r="F18" s="392"/>
      <c r="G18" s="402"/>
      <c r="H18" s="402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00">
        <f>COUNTA(H18,J18,L18,N18,P18,R18,T18)</f>
        <v>0</v>
      </c>
      <c r="X18" s="400">
        <v>0</v>
      </c>
      <c r="Y18" s="400">
        <v>0</v>
      </c>
      <c r="Z18" s="400"/>
      <c r="AA18" s="401"/>
      <c r="AD18" s="490" t="s">
        <v>497</v>
      </c>
      <c r="AE18" s="426">
        <v>16</v>
      </c>
      <c r="AF18" s="427">
        <v>1633</v>
      </c>
      <c r="AG18" s="429" t="s">
        <v>96</v>
      </c>
      <c r="AH18" s="470"/>
      <c r="AI18" s="470"/>
      <c r="AJ18" s="462">
        <v>2</v>
      </c>
      <c r="AK18" s="462">
        <v>2.99</v>
      </c>
      <c r="AL18" s="460">
        <v>5</v>
      </c>
      <c r="AM18" s="461">
        <v>5.99</v>
      </c>
      <c r="AN18" s="462">
        <v>2</v>
      </c>
      <c r="AO18" s="462">
        <v>2.99</v>
      </c>
      <c r="AP18" s="460">
        <v>4</v>
      </c>
      <c r="AQ18" s="460">
        <v>4.99</v>
      </c>
      <c r="AR18" s="470"/>
      <c r="AS18" s="465">
        <v>4.99</v>
      </c>
      <c r="AT18" s="470"/>
      <c r="AU18" s="465">
        <v>1.99</v>
      </c>
    </row>
    <row r="19" spans="1:47" ht="15.75" x14ac:dyDescent="0.25">
      <c r="A19" s="440"/>
      <c r="B19" s="389"/>
      <c r="C19" s="390">
        <f ca="1">37+$A$33-$A$32</f>
        <v>106</v>
      </c>
      <c r="D19" s="403"/>
      <c r="E19" s="430">
        <v>0</v>
      </c>
      <c r="F19" s="392"/>
      <c r="G19" s="393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393"/>
      <c r="T19" s="393"/>
      <c r="U19" s="399"/>
      <c r="V19" s="400"/>
      <c r="W19" s="400">
        <f t="shared" ref="W19" si="1">COUNTA(H19,J19,L19,N19,P19,R19,T19)</f>
        <v>0</v>
      </c>
      <c r="X19" s="400">
        <v>0</v>
      </c>
      <c r="Y19" s="400">
        <v>0</v>
      </c>
      <c r="Z19" s="400"/>
      <c r="AA19" s="401"/>
      <c r="AB19" s="402"/>
      <c r="AD19" s="490" t="s">
        <v>181</v>
      </c>
      <c r="AE19" s="426">
        <v>16</v>
      </c>
      <c r="AF19" s="427">
        <v>1626</v>
      </c>
      <c r="AG19" s="429"/>
      <c r="AH19" s="468"/>
      <c r="AI19" s="468"/>
      <c r="AJ19" s="462">
        <v>4</v>
      </c>
      <c r="AK19" s="462">
        <v>4.99</v>
      </c>
      <c r="AL19" s="462">
        <v>5</v>
      </c>
      <c r="AM19" s="463">
        <v>5.99</v>
      </c>
      <c r="AN19" s="462">
        <v>4</v>
      </c>
      <c r="AO19" s="462">
        <v>4.99</v>
      </c>
      <c r="AP19" s="468"/>
      <c r="AQ19" s="468"/>
      <c r="AR19" s="460">
        <v>2</v>
      </c>
      <c r="AS19" s="460">
        <v>2.99</v>
      </c>
      <c r="AT19" s="462">
        <v>1</v>
      </c>
      <c r="AU19" s="462">
        <v>1.99</v>
      </c>
    </row>
    <row r="20" spans="1:47" ht="15.75" x14ac:dyDescent="0.25">
      <c r="A20" s="442" t="s">
        <v>671</v>
      </c>
      <c r="B20" s="428">
        <v>15</v>
      </c>
      <c r="C20" s="427">
        <f ca="1">-2+$A$33-$A$32</f>
        <v>67</v>
      </c>
      <c r="D20" s="391"/>
      <c r="E20" s="430">
        <f ca="1">F20-$A$33</f>
        <v>157</v>
      </c>
      <c r="F20" s="392">
        <v>43870</v>
      </c>
      <c r="G20" s="428"/>
      <c r="H20" s="397">
        <v>6.99</v>
      </c>
      <c r="I20" s="428"/>
      <c r="J20" s="398">
        <v>1.99</v>
      </c>
      <c r="K20" s="428"/>
      <c r="L20" s="428"/>
      <c r="M20" s="428"/>
      <c r="N20" s="428"/>
      <c r="O20" s="428"/>
      <c r="P20" s="428"/>
      <c r="Q20" s="395">
        <v>0</v>
      </c>
      <c r="R20" s="428"/>
      <c r="S20" s="428"/>
      <c r="T20" s="428"/>
      <c r="U20" s="408" t="s">
        <v>482</v>
      </c>
      <c r="V20" s="400"/>
      <c r="W20" s="400">
        <f>COUNTA(H20,J20,L20,N20,P20,R20,T20)</f>
        <v>2</v>
      </c>
      <c r="X20" s="400">
        <v>0</v>
      </c>
      <c r="Y20" s="400">
        <v>0</v>
      </c>
      <c r="Z20" s="400"/>
      <c r="AA20" s="401" t="s">
        <v>459</v>
      </c>
      <c r="AB20" s="368"/>
      <c r="AD20" s="490" t="s">
        <v>498</v>
      </c>
      <c r="AE20" s="426">
        <v>17</v>
      </c>
      <c r="AF20" s="427">
        <v>1561</v>
      </c>
      <c r="AG20" s="429" t="s">
        <v>94</v>
      </c>
      <c r="AH20" s="459"/>
      <c r="AI20" s="459"/>
      <c r="AJ20" s="462">
        <v>4</v>
      </c>
      <c r="AK20" s="462">
        <v>4.99</v>
      </c>
      <c r="AL20" s="460">
        <v>5</v>
      </c>
      <c r="AM20" s="461">
        <v>5.99</v>
      </c>
      <c r="AN20" s="462">
        <v>4</v>
      </c>
      <c r="AO20" s="462">
        <v>4.99</v>
      </c>
      <c r="AP20" s="459"/>
      <c r="AQ20" s="459"/>
      <c r="AR20" s="459"/>
      <c r="AS20" s="465">
        <v>2.99</v>
      </c>
      <c r="AT20" s="462">
        <v>3</v>
      </c>
      <c r="AU20" s="462">
        <v>3.99</v>
      </c>
    </row>
    <row r="21" spans="1:47" ht="15.75" x14ac:dyDescent="0.25">
      <c r="A21" s="442" t="s">
        <v>471</v>
      </c>
      <c r="B21" s="402">
        <v>18</v>
      </c>
      <c r="C21" s="390">
        <f ca="1">103+$A$33-$A$32-112</f>
        <v>60</v>
      </c>
      <c r="D21" s="391"/>
      <c r="E21" s="430">
        <v>0</v>
      </c>
      <c r="F21" s="392">
        <f t="shared" ref="F21:F28" ca="1" si="2">TODAY()</f>
        <v>43713</v>
      </c>
      <c r="G21" s="402"/>
      <c r="H21" s="398">
        <v>1.99</v>
      </c>
      <c r="I21" s="394">
        <v>4</v>
      </c>
      <c r="J21" s="405">
        <v>4.99</v>
      </c>
      <c r="K21" s="394">
        <v>3</v>
      </c>
      <c r="L21" s="405">
        <v>3.99</v>
      </c>
      <c r="M21" s="394">
        <v>1</v>
      </c>
      <c r="N21" s="405">
        <v>1.99</v>
      </c>
      <c r="O21" s="402"/>
      <c r="P21" s="396">
        <v>5.99</v>
      </c>
      <c r="Q21" s="395">
        <v>4</v>
      </c>
      <c r="R21" s="396">
        <v>5.99</v>
      </c>
      <c r="S21" s="402"/>
      <c r="T21" s="396">
        <v>5.99</v>
      </c>
      <c r="U21" s="408" t="s">
        <v>472</v>
      </c>
      <c r="V21" s="400"/>
      <c r="W21" s="400">
        <f t="shared" ref="W21:W28" si="3">COUNTA(H21,J21,L21,N21,P21,R21,T21)</f>
        <v>7</v>
      </c>
      <c r="X21" s="400">
        <v>0</v>
      </c>
      <c r="Y21" s="400">
        <v>3</v>
      </c>
      <c r="Z21" s="400"/>
      <c r="AA21" s="401" t="s">
        <v>465</v>
      </c>
      <c r="AB21" s="368"/>
      <c r="AD21" s="490" t="s">
        <v>499</v>
      </c>
      <c r="AE21" s="426">
        <v>17</v>
      </c>
      <c r="AF21" s="427">
        <v>1515</v>
      </c>
      <c r="AG21" s="429"/>
      <c r="AH21" s="468"/>
      <c r="AI21" s="468"/>
      <c r="AJ21" s="460">
        <v>3</v>
      </c>
      <c r="AK21" s="460">
        <v>3.99</v>
      </c>
      <c r="AL21" s="462">
        <v>4</v>
      </c>
      <c r="AM21" s="462">
        <v>4.99</v>
      </c>
      <c r="AN21" s="462">
        <v>5</v>
      </c>
      <c r="AO21" s="463">
        <v>5.99</v>
      </c>
      <c r="AP21" s="468"/>
      <c r="AQ21" s="468"/>
      <c r="AR21" s="462">
        <v>3</v>
      </c>
      <c r="AS21" s="462">
        <v>3.99</v>
      </c>
      <c r="AT21" s="468"/>
      <c r="AU21" s="468"/>
    </row>
    <row r="22" spans="1:47" ht="15.75" x14ac:dyDescent="0.25">
      <c r="A22" s="442" t="s">
        <v>473</v>
      </c>
      <c r="B22" s="402">
        <v>18</v>
      </c>
      <c r="C22" s="390">
        <f ca="1">92+$A$33-$A$32-112</f>
        <v>49</v>
      </c>
      <c r="D22" s="391"/>
      <c r="E22" s="430">
        <v>0</v>
      </c>
      <c r="F22" s="392">
        <f t="shared" ca="1" si="2"/>
        <v>43713</v>
      </c>
      <c r="G22" s="402"/>
      <c r="H22" s="398">
        <v>1.99</v>
      </c>
      <c r="I22" s="394">
        <v>4</v>
      </c>
      <c r="J22" s="405">
        <v>4.99</v>
      </c>
      <c r="K22" s="394">
        <v>3</v>
      </c>
      <c r="L22" s="405">
        <v>3.99</v>
      </c>
      <c r="M22" s="402"/>
      <c r="N22" s="398">
        <v>2.99</v>
      </c>
      <c r="O22" s="402"/>
      <c r="P22" s="396">
        <v>5.99</v>
      </c>
      <c r="Q22" s="394">
        <v>3</v>
      </c>
      <c r="R22" s="405">
        <v>3.99</v>
      </c>
      <c r="S22" s="402"/>
      <c r="T22" s="402"/>
      <c r="U22" s="408" t="s">
        <v>474</v>
      </c>
      <c r="V22" s="400"/>
      <c r="W22" s="400">
        <f t="shared" si="3"/>
        <v>6</v>
      </c>
      <c r="X22" s="400">
        <v>0</v>
      </c>
      <c r="Y22" s="400">
        <v>0</v>
      </c>
      <c r="Z22" s="400"/>
      <c r="AA22" s="401" t="s">
        <v>465</v>
      </c>
      <c r="AB22" s="368"/>
      <c r="AD22" s="490" t="s">
        <v>500</v>
      </c>
      <c r="AE22" s="426">
        <v>19</v>
      </c>
      <c r="AF22" s="427">
        <v>1502</v>
      </c>
      <c r="AG22" s="429"/>
      <c r="AH22" s="468"/>
      <c r="AI22" s="465">
        <v>1.99</v>
      </c>
      <c r="AJ22" s="468"/>
      <c r="AK22" s="465">
        <v>2.99</v>
      </c>
      <c r="AL22" s="465">
        <v>3</v>
      </c>
      <c r="AM22" s="468"/>
      <c r="AN22" s="468"/>
      <c r="AO22" s="468"/>
      <c r="AP22" s="460">
        <v>5</v>
      </c>
      <c r="AQ22" s="471">
        <v>5.99</v>
      </c>
      <c r="AR22" s="468"/>
      <c r="AS22" s="465">
        <v>2.99</v>
      </c>
      <c r="AT22" s="468"/>
      <c r="AU22" s="468"/>
    </row>
    <row r="23" spans="1:47" ht="15.75" x14ac:dyDescent="0.25">
      <c r="A23" s="442" t="s">
        <v>475</v>
      </c>
      <c r="B23" s="389">
        <v>18</v>
      </c>
      <c r="C23" s="416">
        <f ca="1">75+$A$33-$A$32-112</f>
        <v>32</v>
      </c>
      <c r="D23" s="368"/>
      <c r="E23" s="430">
        <v>0</v>
      </c>
      <c r="F23" s="392">
        <f t="shared" ca="1" si="2"/>
        <v>43713</v>
      </c>
      <c r="G23" s="368"/>
      <c r="H23" s="398">
        <v>1.99</v>
      </c>
      <c r="I23" s="394">
        <v>3</v>
      </c>
      <c r="J23" s="405">
        <v>3.99</v>
      </c>
      <c r="K23" s="394">
        <v>3</v>
      </c>
      <c r="L23" s="405">
        <v>3.99</v>
      </c>
      <c r="M23" s="395">
        <v>4</v>
      </c>
      <c r="N23" s="396">
        <v>5.99</v>
      </c>
      <c r="O23" s="406">
        <v>4</v>
      </c>
      <c r="P23" s="407">
        <v>4.99</v>
      </c>
      <c r="Q23" s="368"/>
      <c r="R23" s="398">
        <v>3.99</v>
      </c>
      <c r="S23" s="368"/>
      <c r="T23" s="368"/>
      <c r="U23" s="399" t="s">
        <v>463</v>
      </c>
      <c r="V23" s="368"/>
      <c r="W23" s="400">
        <f t="shared" si="3"/>
        <v>6</v>
      </c>
      <c r="X23" s="370">
        <v>0</v>
      </c>
      <c r="Y23" s="370">
        <v>0</v>
      </c>
      <c r="Z23" s="368"/>
      <c r="AA23" s="401" t="s">
        <v>465</v>
      </c>
      <c r="AB23" s="368"/>
      <c r="AD23" s="490" t="s">
        <v>501</v>
      </c>
      <c r="AE23" s="426">
        <v>18</v>
      </c>
      <c r="AF23" s="427">
        <v>1561</v>
      </c>
      <c r="AG23" s="429"/>
      <c r="AH23" s="459"/>
      <c r="AI23" s="459"/>
      <c r="AJ23" s="465">
        <v>1</v>
      </c>
      <c r="AK23" s="465">
        <v>2.99</v>
      </c>
      <c r="AL23" s="460">
        <v>3</v>
      </c>
      <c r="AM23" s="460">
        <v>3.99</v>
      </c>
      <c r="AN23" s="459"/>
      <c r="AO23" s="464">
        <v>5.99</v>
      </c>
      <c r="AP23" s="465">
        <v>3</v>
      </c>
      <c r="AQ23" s="465">
        <v>4.99</v>
      </c>
      <c r="AR23" s="462">
        <v>1</v>
      </c>
      <c r="AS23" s="462">
        <v>1.99</v>
      </c>
      <c r="AT23" s="459"/>
      <c r="AU23" s="459"/>
    </row>
    <row r="24" spans="1:47" ht="15.75" x14ac:dyDescent="0.25">
      <c r="A24" s="442" t="s">
        <v>476</v>
      </c>
      <c r="B24" s="402">
        <v>18</v>
      </c>
      <c r="C24" s="390">
        <f ca="1">75+$A$33-$A$32-112</f>
        <v>32</v>
      </c>
      <c r="D24" s="403" t="s">
        <v>94</v>
      </c>
      <c r="E24" s="430">
        <v>0</v>
      </c>
      <c r="F24" s="392">
        <f t="shared" ca="1" si="2"/>
        <v>43713</v>
      </c>
      <c r="G24" s="402"/>
      <c r="H24" s="402"/>
      <c r="I24" s="394">
        <v>2</v>
      </c>
      <c r="J24" s="405">
        <v>2.99</v>
      </c>
      <c r="K24" s="394">
        <v>2</v>
      </c>
      <c r="L24" s="405">
        <v>2.99</v>
      </c>
      <c r="M24" s="395">
        <v>5</v>
      </c>
      <c r="N24" s="397">
        <v>6.99</v>
      </c>
      <c r="O24" s="402"/>
      <c r="P24" s="396">
        <v>5.99</v>
      </c>
      <c r="Q24" s="395">
        <v>2</v>
      </c>
      <c r="R24" s="398">
        <v>3.99</v>
      </c>
      <c r="S24" s="402"/>
      <c r="T24" s="398">
        <v>3.99</v>
      </c>
      <c r="U24" s="399" t="s">
        <v>463</v>
      </c>
      <c r="V24" s="400"/>
      <c r="W24" s="400">
        <f t="shared" si="3"/>
        <v>6</v>
      </c>
      <c r="X24" s="400">
        <v>0</v>
      </c>
      <c r="Y24" s="400">
        <v>0</v>
      </c>
      <c r="Z24" s="411">
        <v>1896</v>
      </c>
      <c r="AA24" s="401" t="s">
        <v>459</v>
      </c>
      <c r="AB24" s="402"/>
      <c r="AD24" s="490" t="s">
        <v>502</v>
      </c>
      <c r="AE24" s="426">
        <v>18</v>
      </c>
      <c r="AF24" s="427">
        <v>1540</v>
      </c>
      <c r="AG24" s="429" t="s">
        <v>105</v>
      </c>
      <c r="AH24" s="468"/>
      <c r="AI24" s="468"/>
      <c r="AJ24" s="468"/>
      <c r="AK24" s="465">
        <v>4.99</v>
      </c>
      <c r="AL24" s="462">
        <v>5.5</v>
      </c>
      <c r="AM24" s="463">
        <v>5.99</v>
      </c>
      <c r="AN24" s="462">
        <v>1</v>
      </c>
      <c r="AO24" s="462">
        <v>1.99</v>
      </c>
      <c r="AP24" s="462">
        <v>2</v>
      </c>
      <c r="AQ24" s="462">
        <v>2.99</v>
      </c>
      <c r="AR24" s="462">
        <v>3</v>
      </c>
      <c r="AS24" s="462">
        <v>3.99</v>
      </c>
      <c r="AT24" s="468"/>
      <c r="AU24" s="468"/>
    </row>
    <row r="25" spans="1:47" ht="15.75" x14ac:dyDescent="0.25">
      <c r="A25" s="440" t="s">
        <v>477</v>
      </c>
      <c r="B25" s="389">
        <v>18</v>
      </c>
      <c r="C25" s="390">
        <f ca="1">48+$A$33-$A$32-112</f>
        <v>5</v>
      </c>
      <c r="D25" s="403" t="s">
        <v>67</v>
      </c>
      <c r="E25" s="430">
        <v>0</v>
      </c>
      <c r="F25" s="392">
        <f t="shared" ca="1" si="2"/>
        <v>43713</v>
      </c>
      <c r="G25" s="393"/>
      <c r="H25" s="398">
        <v>1.99</v>
      </c>
      <c r="I25" s="621">
        <v>4</v>
      </c>
      <c r="J25" s="629">
        <v>4.99</v>
      </c>
      <c r="K25" s="394">
        <v>3</v>
      </c>
      <c r="L25" s="405">
        <v>3.99</v>
      </c>
      <c r="M25" s="394">
        <v>2</v>
      </c>
      <c r="N25" s="405">
        <v>2.99</v>
      </c>
      <c r="O25" s="394">
        <v>2</v>
      </c>
      <c r="P25" s="405">
        <v>2.99</v>
      </c>
      <c r="Q25" s="395">
        <v>4</v>
      </c>
      <c r="R25" s="397">
        <v>6.99</v>
      </c>
      <c r="S25" s="393"/>
      <c r="T25" s="393"/>
      <c r="U25" s="399" t="s">
        <v>463</v>
      </c>
      <c r="V25" s="400" t="s">
        <v>464</v>
      </c>
      <c r="W25" s="400">
        <f t="shared" si="3"/>
        <v>6</v>
      </c>
      <c r="X25" s="400">
        <v>0</v>
      </c>
      <c r="Y25" s="400">
        <v>0</v>
      </c>
      <c r="Z25" s="411">
        <v>1969</v>
      </c>
      <c r="AA25" s="401" t="s">
        <v>465</v>
      </c>
      <c r="AB25" s="368"/>
      <c r="AD25" s="490" t="s">
        <v>503</v>
      </c>
      <c r="AE25" s="426">
        <v>18</v>
      </c>
      <c r="AF25" s="427">
        <v>1501</v>
      </c>
      <c r="AG25" s="429" t="s">
        <v>67</v>
      </c>
      <c r="AH25" s="468"/>
      <c r="AI25" s="465">
        <v>1.99</v>
      </c>
      <c r="AJ25" s="468"/>
      <c r="AK25" s="465">
        <v>1.99</v>
      </c>
      <c r="AL25" s="460">
        <v>5</v>
      </c>
      <c r="AM25" s="461">
        <v>5.99</v>
      </c>
      <c r="AN25" s="468"/>
      <c r="AO25" s="465">
        <v>3.99</v>
      </c>
      <c r="AP25" s="462">
        <v>3</v>
      </c>
      <c r="AQ25" s="462">
        <v>3.99</v>
      </c>
      <c r="AR25" s="460">
        <v>2</v>
      </c>
      <c r="AS25" s="460">
        <v>2.99</v>
      </c>
      <c r="AT25" s="468"/>
      <c r="AU25" s="468"/>
    </row>
    <row r="26" spans="1:47" ht="15.75" x14ac:dyDescent="0.25">
      <c r="A26" s="443" t="s">
        <v>478</v>
      </c>
      <c r="B26" s="389">
        <v>17</v>
      </c>
      <c r="C26" s="390">
        <f ca="1">76+$A$33-$A$32-112</f>
        <v>33</v>
      </c>
      <c r="D26" s="403" t="s">
        <v>67</v>
      </c>
      <c r="E26" s="430">
        <v>0</v>
      </c>
      <c r="F26" s="392">
        <f t="shared" ca="1" si="2"/>
        <v>43713</v>
      </c>
      <c r="G26" s="393"/>
      <c r="H26" s="398">
        <v>0.99</v>
      </c>
      <c r="I26" s="394">
        <v>3</v>
      </c>
      <c r="J26" s="405">
        <v>3.99</v>
      </c>
      <c r="K26" s="406">
        <v>4</v>
      </c>
      <c r="L26" s="407">
        <v>4.99</v>
      </c>
      <c r="M26" s="393"/>
      <c r="N26" s="398">
        <v>3.99</v>
      </c>
      <c r="O26" s="393"/>
      <c r="P26" s="397">
        <v>6.99</v>
      </c>
      <c r="Q26" s="393"/>
      <c r="R26" s="398">
        <v>4.99</v>
      </c>
      <c r="S26" s="393"/>
      <c r="T26" s="393"/>
      <c r="U26" s="408" t="s">
        <v>479</v>
      </c>
      <c r="V26" s="400" t="s">
        <v>464</v>
      </c>
      <c r="W26" s="400">
        <f t="shared" si="3"/>
        <v>6</v>
      </c>
      <c r="X26" s="400">
        <v>0</v>
      </c>
      <c r="Y26" s="400">
        <v>0</v>
      </c>
      <c r="Z26" s="411">
        <v>1968</v>
      </c>
      <c r="AA26" s="401" t="s">
        <v>459</v>
      </c>
      <c r="AB26" s="402"/>
      <c r="AD26" s="490" t="s">
        <v>504</v>
      </c>
      <c r="AE26" s="426">
        <v>16</v>
      </c>
      <c r="AF26" s="427">
        <v>1510</v>
      </c>
      <c r="AG26" s="429"/>
      <c r="AH26" s="459"/>
      <c r="AI26" s="465">
        <v>1.99</v>
      </c>
      <c r="AJ26" s="462">
        <v>3</v>
      </c>
      <c r="AK26" s="463">
        <v>3.99</v>
      </c>
      <c r="AL26" s="462">
        <v>5.4</v>
      </c>
      <c r="AM26" s="463">
        <v>5.99</v>
      </c>
      <c r="AN26" s="462">
        <v>2</v>
      </c>
      <c r="AO26" s="462">
        <v>2.99</v>
      </c>
      <c r="AP26" s="459"/>
      <c r="AQ26" s="459"/>
      <c r="AR26" s="462">
        <v>4</v>
      </c>
      <c r="AS26" s="462">
        <v>4.99</v>
      </c>
      <c r="AT26" s="468"/>
      <c r="AU26" s="465">
        <v>3.99</v>
      </c>
    </row>
    <row r="27" spans="1:47" ht="15.75" x14ac:dyDescent="0.25">
      <c r="A27" s="440" t="s">
        <v>480</v>
      </c>
      <c r="B27" s="389">
        <v>17</v>
      </c>
      <c r="C27" s="390">
        <f ca="1">27+$A$33-$A$32</f>
        <v>96</v>
      </c>
      <c r="D27" s="403"/>
      <c r="E27" s="430">
        <v>0</v>
      </c>
      <c r="F27" s="392">
        <f t="shared" ca="1" si="2"/>
        <v>43713</v>
      </c>
      <c r="G27" s="393"/>
      <c r="H27" s="393"/>
      <c r="I27" s="393"/>
      <c r="J27" s="393"/>
      <c r="K27" s="395">
        <v>2</v>
      </c>
      <c r="L27" s="393"/>
      <c r="M27" s="393"/>
      <c r="N27" s="393"/>
      <c r="O27" s="393"/>
      <c r="P27" s="397">
        <v>7</v>
      </c>
      <c r="Q27" s="393"/>
      <c r="R27" s="393"/>
      <c r="S27" s="393"/>
      <c r="T27" s="393"/>
      <c r="U27" s="399" t="s">
        <v>463</v>
      </c>
      <c r="V27" s="400" t="s">
        <v>464</v>
      </c>
      <c r="W27" s="400">
        <f t="shared" si="3"/>
        <v>1</v>
      </c>
      <c r="X27" s="400">
        <v>0</v>
      </c>
      <c r="Y27" s="400">
        <v>0</v>
      </c>
      <c r="Z27" s="400"/>
      <c r="AA27" s="401" t="s">
        <v>465</v>
      </c>
      <c r="AB27" s="368"/>
      <c r="AD27" s="490" t="s">
        <v>505</v>
      </c>
      <c r="AE27" s="426">
        <v>17</v>
      </c>
      <c r="AF27" s="427">
        <v>1456</v>
      </c>
      <c r="AG27" s="429"/>
      <c r="AH27" s="472"/>
      <c r="AI27" s="472"/>
      <c r="AJ27" s="472"/>
      <c r="AK27" s="465">
        <v>3.99</v>
      </c>
      <c r="AL27" s="462">
        <v>2</v>
      </c>
      <c r="AM27" s="462">
        <v>2.99</v>
      </c>
      <c r="AN27" s="462">
        <v>4</v>
      </c>
      <c r="AO27" s="462">
        <v>4.99</v>
      </c>
      <c r="AP27" s="462">
        <v>5</v>
      </c>
      <c r="AQ27" s="463">
        <v>5.99</v>
      </c>
      <c r="AR27" s="462">
        <v>6</v>
      </c>
      <c r="AS27" s="467">
        <v>6.99</v>
      </c>
      <c r="AT27" s="472"/>
      <c r="AU27" s="472"/>
    </row>
    <row r="28" spans="1:47" ht="15.75" x14ac:dyDescent="0.25">
      <c r="A28" s="444" t="s">
        <v>481</v>
      </c>
      <c r="B28" s="402">
        <v>17</v>
      </c>
      <c r="C28" s="390">
        <f ca="1">68+$A$33-$A$32-112</f>
        <v>25</v>
      </c>
      <c r="D28" s="391"/>
      <c r="E28" s="430">
        <v>0</v>
      </c>
      <c r="F28" s="392">
        <f t="shared" ca="1" si="2"/>
        <v>43713</v>
      </c>
      <c r="G28" s="402"/>
      <c r="H28" s="397">
        <v>6.99</v>
      </c>
      <c r="I28" s="621">
        <v>2</v>
      </c>
      <c r="J28" s="629">
        <v>2.99</v>
      </c>
      <c r="K28" s="409">
        <v>1</v>
      </c>
      <c r="L28" s="410">
        <v>1.99</v>
      </c>
      <c r="M28" s="394">
        <v>0</v>
      </c>
      <c r="N28" s="405">
        <v>0.99</v>
      </c>
      <c r="O28" s="402"/>
      <c r="P28" s="398">
        <v>0.99</v>
      </c>
      <c r="Q28" s="402"/>
      <c r="R28" s="398">
        <v>1.99</v>
      </c>
      <c r="S28" s="402"/>
      <c r="T28" s="398">
        <v>1.99</v>
      </c>
      <c r="U28" s="408" t="s">
        <v>482</v>
      </c>
      <c r="V28" s="400"/>
      <c r="W28" s="400">
        <f t="shared" si="3"/>
        <v>7</v>
      </c>
      <c r="X28" s="400">
        <v>0</v>
      </c>
      <c r="Y28" s="400">
        <v>0</v>
      </c>
      <c r="Z28" s="400">
        <v>1808</v>
      </c>
      <c r="AA28" s="401" t="s">
        <v>465</v>
      </c>
      <c r="AB28" s="368"/>
      <c r="AD28" s="490" t="s">
        <v>506</v>
      </c>
      <c r="AE28" s="426">
        <v>17</v>
      </c>
      <c r="AF28" s="427">
        <v>1439</v>
      </c>
      <c r="AG28" s="429" t="s">
        <v>220</v>
      </c>
      <c r="AH28" s="468"/>
      <c r="AI28" s="468"/>
      <c r="AJ28" s="462">
        <v>2</v>
      </c>
      <c r="AK28" s="462">
        <v>2.99</v>
      </c>
      <c r="AL28" s="460">
        <v>4</v>
      </c>
      <c r="AM28" s="460">
        <v>4.99</v>
      </c>
      <c r="AN28" s="468"/>
      <c r="AO28" s="465">
        <v>3.99</v>
      </c>
      <c r="AP28" s="468"/>
      <c r="AQ28" s="465">
        <v>3.99</v>
      </c>
      <c r="AR28" s="462">
        <v>4</v>
      </c>
      <c r="AS28" s="462">
        <v>4.99</v>
      </c>
      <c r="AT28" s="468"/>
      <c r="AU28" s="468"/>
    </row>
    <row r="29" spans="1:47" ht="15.75" x14ac:dyDescent="0.25">
      <c r="A29" s="442" t="s">
        <v>462</v>
      </c>
      <c r="B29" s="389">
        <v>16</v>
      </c>
      <c r="C29" s="390">
        <f ca="1">4+$A$33-$A$32</f>
        <v>73</v>
      </c>
      <c r="D29" s="403"/>
      <c r="E29" s="430">
        <f ca="1">F29-$A$33</f>
        <v>39</v>
      </c>
      <c r="F29" s="392">
        <v>43752</v>
      </c>
      <c r="G29" s="393"/>
      <c r="H29" s="398">
        <v>1.99</v>
      </c>
      <c r="I29" s="394">
        <v>2</v>
      </c>
      <c r="J29" s="405">
        <v>2.99</v>
      </c>
      <c r="K29" s="619">
        <v>4</v>
      </c>
      <c r="L29" s="620">
        <v>4.99</v>
      </c>
      <c r="M29" s="619">
        <v>4</v>
      </c>
      <c r="N29" s="620">
        <v>4.99</v>
      </c>
      <c r="O29" s="395">
        <v>4</v>
      </c>
      <c r="P29" s="396">
        <v>5.99</v>
      </c>
      <c r="Q29" s="393"/>
      <c r="R29" s="398">
        <v>2.99</v>
      </c>
      <c r="S29" s="393"/>
      <c r="T29" s="393"/>
      <c r="U29" s="399" t="s">
        <v>463</v>
      </c>
      <c r="V29" s="400" t="s">
        <v>464</v>
      </c>
      <c r="W29" s="400">
        <f>COUNTA(H29,J29,L29,N29,P29,R29,T29)</f>
        <v>6</v>
      </c>
      <c r="X29" s="400">
        <v>0</v>
      </c>
      <c r="Y29" s="400">
        <v>0</v>
      </c>
      <c r="Z29" s="400"/>
      <c r="AA29" s="401" t="s">
        <v>465</v>
      </c>
      <c r="AB29" s="402"/>
      <c r="AD29" s="490" t="s">
        <v>225</v>
      </c>
      <c r="AE29" s="426">
        <v>17</v>
      </c>
      <c r="AF29" s="427">
        <v>1340</v>
      </c>
      <c r="AG29" s="429" t="s">
        <v>220</v>
      </c>
      <c r="AH29" s="468"/>
      <c r="AI29" s="468"/>
      <c r="AJ29" s="460">
        <v>2</v>
      </c>
      <c r="AK29" s="460">
        <v>2.99</v>
      </c>
      <c r="AL29" s="462">
        <v>6.1</v>
      </c>
      <c r="AM29" s="467">
        <v>6.2</v>
      </c>
      <c r="AN29" s="462">
        <v>4</v>
      </c>
      <c r="AO29" s="462">
        <v>4.99</v>
      </c>
      <c r="AP29" s="462">
        <v>4</v>
      </c>
      <c r="AQ29" s="462">
        <v>4.99</v>
      </c>
      <c r="AR29" s="463">
        <v>5</v>
      </c>
      <c r="AS29" s="463">
        <v>5.99</v>
      </c>
      <c r="AT29" s="468"/>
      <c r="AU29" s="468"/>
    </row>
    <row r="30" spans="1:47" ht="15.75" x14ac:dyDescent="0.25">
      <c r="A30" s="402"/>
      <c r="B30" s="402"/>
      <c r="C30" s="416"/>
      <c r="D30" s="417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17"/>
      <c r="V30" s="417"/>
      <c r="W30" s="417"/>
      <c r="X30" s="417"/>
      <c r="Y30" s="417"/>
      <c r="Z30" s="417"/>
      <c r="AA30" s="418"/>
      <c r="AB30" s="368"/>
      <c r="AD30" s="490" t="s">
        <v>507</v>
      </c>
      <c r="AE30" s="426">
        <v>19</v>
      </c>
      <c r="AF30" s="427">
        <v>1416</v>
      </c>
      <c r="AG30" s="429" t="s">
        <v>67</v>
      </c>
      <c r="AH30" s="470"/>
      <c r="AI30" s="465">
        <v>1.99</v>
      </c>
      <c r="AJ30" s="465">
        <v>5</v>
      </c>
      <c r="AK30" s="466">
        <v>6.99</v>
      </c>
      <c r="AL30" s="462">
        <v>1</v>
      </c>
      <c r="AM30" s="462">
        <v>1.99</v>
      </c>
      <c r="AN30" s="462">
        <v>3</v>
      </c>
      <c r="AO30" s="462">
        <v>3.99</v>
      </c>
      <c r="AP30" s="470"/>
      <c r="AQ30" s="465">
        <v>3.99</v>
      </c>
      <c r="AR30" s="462">
        <v>2</v>
      </c>
      <c r="AS30" s="462">
        <v>2.99</v>
      </c>
      <c r="AT30" s="470"/>
      <c r="AU30" s="465">
        <v>2.99</v>
      </c>
    </row>
    <row r="31" spans="1:47" ht="15.75" x14ac:dyDescent="0.25">
      <c r="A31" s="445" t="s">
        <v>484</v>
      </c>
      <c r="B31" s="447"/>
      <c r="C31" s="447"/>
      <c r="D31" s="428"/>
      <c r="E31" s="414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402"/>
      <c r="R31" s="402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D31" s="490" t="s">
        <v>508</v>
      </c>
      <c r="AE31" s="426">
        <v>19</v>
      </c>
      <c r="AF31" s="427">
        <v>1289</v>
      </c>
      <c r="AG31" s="429"/>
      <c r="AH31" s="470"/>
      <c r="AI31" s="470"/>
      <c r="AJ31" s="470"/>
      <c r="AK31" s="464">
        <v>5.99</v>
      </c>
      <c r="AL31" s="460">
        <v>4</v>
      </c>
      <c r="AM31" s="460">
        <v>4.99</v>
      </c>
      <c r="AN31" s="470"/>
      <c r="AO31" s="465">
        <v>2.99</v>
      </c>
      <c r="AP31" s="465">
        <v>5</v>
      </c>
      <c r="AQ31" s="464">
        <v>5.99</v>
      </c>
      <c r="AR31" s="462">
        <v>5</v>
      </c>
      <c r="AS31" s="463">
        <v>5.99</v>
      </c>
      <c r="AT31" s="462">
        <v>2</v>
      </c>
      <c r="AU31" s="462">
        <v>2.99</v>
      </c>
    </row>
    <row r="32" spans="1:47" ht="15.75" x14ac:dyDescent="0.25">
      <c r="A32" s="446">
        <v>43644</v>
      </c>
      <c r="B32" s="448"/>
      <c r="C32" s="447"/>
      <c r="D32" s="428"/>
      <c r="E32" s="414"/>
      <c r="F32" s="380" t="s">
        <v>235</v>
      </c>
      <c r="G32" s="370"/>
      <c r="H32" s="368"/>
      <c r="I32" s="368"/>
      <c r="J32" s="368"/>
      <c r="K32" s="368"/>
      <c r="L32" s="368"/>
      <c r="M32" s="368"/>
      <c r="N32" s="368"/>
      <c r="O32" s="368"/>
      <c r="P32" s="368"/>
      <c r="Q32" s="402"/>
      <c r="R32" s="402"/>
      <c r="S32" s="368"/>
      <c r="T32" s="368"/>
      <c r="U32" s="368"/>
      <c r="V32" s="368"/>
      <c r="W32" s="368"/>
      <c r="X32" s="368"/>
      <c r="Y32" s="368"/>
      <c r="Z32" s="368"/>
      <c r="AA32" s="419"/>
      <c r="AB32" s="368"/>
      <c r="AD32" s="490" t="s">
        <v>509</v>
      </c>
      <c r="AE32" s="426">
        <v>17</v>
      </c>
      <c r="AF32" s="427">
        <v>1296</v>
      </c>
      <c r="AG32" s="429"/>
      <c r="AH32" s="473"/>
      <c r="AI32" s="465">
        <v>1.99</v>
      </c>
      <c r="AJ32" s="462">
        <v>2</v>
      </c>
      <c r="AK32" s="462">
        <v>2.99</v>
      </c>
      <c r="AL32" s="460">
        <v>3</v>
      </c>
      <c r="AM32" s="460">
        <v>3.99</v>
      </c>
      <c r="AN32" s="462">
        <v>3</v>
      </c>
      <c r="AO32" s="462">
        <v>3.99</v>
      </c>
      <c r="AP32" s="462">
        <v>6</v>
      </c>
      <c r="AQ32" s="467">
        <v>6.99</v>
      </c>
      <c r="AR32" s="460">
        <v>6</v>
      </c>
      <c r="AS32" s="474">
        <v>6.99</v>
      </c>
      <c r="AT32" s="473"/>
      <c r="AU32" s="473"/>
    </row>
    <row r="33" spans="1:47" ht="15.75" x14ac:dyDescent="0.25">
      <c r="A33" s="431">
        <f ca="1">TODAY()</f>
        <v>43713</v>
      </c>
      <c r="B33" s="428"/>
      <c r="C33" s="428"/>
      <c r="D33" s="428"/>
      <c r="E33" s="402"/>
      <c r="F33" s="369" t="s">
        <v>580</v>
      </c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2"/>
      <c r="R33" s="402"/>
      <c r="S33" s="368"/>
      <c r="T33" s="368"/>
      <c r="U33" s="368"/>
      <c r="V33" s="368"/>
      <c r="W33" s="368"/>
      <c r="X33" s="368"/>
      <c r="Y33" s="368"/>
      <c r="Z33" s="368"/>
      <c r="AA33" s="368"/>
      <c r="AD33" s="490" t="s">
        <v>510</v>
      </c>
      <c r="AE33" s="426">
        <v>17</v>
      </c>
      <c r="AF33" s="427">
        <v>1291</v>
      </c>
      <c r="AG33" s="429"/>
      <c r="AH33" s="468"/>
      <c r="AI33" s="468"/>
      <c r="AJ33" s="462">
        <v>1</v>
      </c>
      <c r="AK33" s="462">
        <v>1.99</v>
      </c>
      <c r="AL33" s="465">
        <v>4</v>
      </c>
      <c r="AM33" s="466">
        <v>6.99</v>
      </c>
      <c r="AN33" s="462">
        <v>3</v>
      </c>
      <c r="AO33" s="462">
        <v>3.99</v>
      </c>
      <c r="AP33" s="468"/>
      <c r="AQ33" s="465">
        <v>2.99</v>
      </c>
      <c r="AR33" s="462">
        <v>3</v>
      </c>
      <c r="AS33" s="462">
        <v>3.99</v>
      </c>
      <c r="AT33" s="468"/>
      <c r="AU33" s="468"/>
    </row>
    <row r="34" spans="1:47" ht="15.75" x14ac:dyDescent="0.25">
      <c r="A34" s="431"/>
      <c r="B34" s="432"/>
      <c r="C34" s="432"/>
      <c r="D34" s="428"/>
      <c r="E34" s="402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2"/>
      <c r="R34" s="402"/>
      <c r="AD34" s="490" t="s">
        <v>511</v>
      </c>
      <c r="AE34" s="426">
        <v>17</v>
      </c>
      <c r="AF34" s="427">
        <v>1328</v>
      </c>
      <c r="AG34" s="429"/>
      <c r="AH34" s="468"/>
      <c r="AI34" s="468"/>
      <c r="AJ34" s="462">
        <v>3</v>
      </c>
      <c r="AK34" s="462">
        <v>3.99</v>
      </c>
      <c r="AL34" s="462">
        <v>6</v>
      </c>
      <c r="AM34" s="467">
        <v>6.99</v>
      </c>
      <c r="AN34" s="462">
        <v>3</v>
      </c>
      <c r="AO34" s="462">
        <v>3.99</v>
      </c>
      <c r="AP34" s="460">
        <v>4</v>
      </c>
      <c r="AQ34" s="460">
        <v>4.99</v>
      </c>
      <c r="AR34" s="462">
        <v>4</v>
      </c>
      <c r="AS34" s="462">
        <v>4.99</v>
      </c>
      <c r="AT34" s="468"/>
      <c r="AU34" s="468"/>
    </row>
    <row r="35" spans="1:47" ht="15.75" x14ac:dyDescent="0.25">
      <c r="A35" s="428"/>
      <c r="B35" s="428"/>
      <c r="C35" s="428"/>
      <c r="D35" s="428"/>
      <c r="E35" s="402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9"/>
      <c r="Q35" s="402"/>
      <c r="R35" s="402"/>
      <c r="AD35" s="490" t="s">
        <v>512</v>
      </c>
      <c r="AE35" s="426">
        <v>17</v>
      </c>
      <c r="AF35" s="427">
        <v>-628</v>
      </c>
      <c r="AG35" s="429"/>
      <c r="AH35" s="468"/>
      <c r="AI35" s="468"/>
      <c r="AJ35" s="460">
        <v>6</v>
      </c>
      <c r="AK35" s="474">
        <v>6.99</v>
      </c>
      <c r="AL35" s="460">
        <v>4</v>
      </c>
      <c r="AM35" s="460">
        <v>4.99</v>
      </c>
      <c r="AN35" s="462">
        <v>1</v>
      </c>
      <c r="AO35" s="462">
        <v>1.99</v>
      </c>
      <c r="AP35" s="468"/>
      <c r="AQ35" s="465">
        <v>3.99</v>
      </c>
      <c r="AR35" s="462">
        <v>1</v>
      </c>
      <c r="AS35" s="462">
        <v>1.99</v>
      </c>
      <c r="AT35" s="468"/>
      <c r="AU35" s="465">
        <v>4.99</v>
      </c>
    </row>
    <row r="36" spans="1:47" ht="15.75" x14ac:dyDescent="0.25">
      <c r="AD36" s="490" t="s">
        <v>513</v>
      </c>
      <c r="AE36" s="426">
        <v>17</v>
      </c>
      <c r="AF36" s="427">
        <v>1272</v>
      </c>
      <c r="AG36" s="429"/>
      <c r="AH36" s="475"/>
      <c r="AI36" s="475"/>
      <c r="AJ36" s="462">
        <v>2</v>
      </c>
      <c r="AK36" s="462">
        <v>2.99</v>
      </c>
      <c r="AL36" s="460">
        <v>6</v>
      </c>
      <c r="AM36" s="474">
        <v>6.99</v>
      </c>
      <c r="AN36" s="462">
        <v>3</v>
      </c>
      <c r="AO36" s="462">
        <v>3.99</v>
      </c>
      <c r="AP36" s="462">
        <v>3</v>
      </c>
      <c r="AQ36" s="462">
        <v>3.99</v>
      </c>
      <c r="AR36" s="462">
        <v>2</v>
      </c>
      <c r="AS36" s="462">
        <v>2.99</v>
      </c>
      <c r="AT36" s="462">
        <v>2</v>
      </c>
      <c r="AU36" s="462">
        <v>2.99</v>
      </c>
    </row>
    <row r="37" spans="1:47" ht="15.75" x14ac:dyDescent="0.25">
      <c r="AD37" s="490" t="s">
        <v>258</v>
      </c>
      <c r="AE37" s="426">
        <v>18</v>
      </c>
      <c r="AF37" s="427">
        <v>1200</v>
      </c>
      <c r="AG37" s="429"/>
      <c r="AH37" s="470"/>
      <c r="AI37" s="470"/>
      <c r="AJ37" s="462">
        <v>6</v>
      </c>
      <c r="AK37" s="467">
        <v>6.99</v>
      </c>
      <c r="AL37" s="462">
        <v>6.7</v>
      </c>
      <c r="AM37" s="467">
        <v>6.99</v>
      </c>
      <c r="AN37" s="462">
        <v>5</v>
      </c>
      <c r="AO37" s="463">
        <v>5.99</v>
      </c>
      <c r="AP37" s="462">
        <v>2</v>
      </c>
      <c r="AQ37" s="462">
        <v>2.99</v>
      </c>
      <c r="AR37" s="462">
        <v>3</v>
      </c>
      <c r="AS37" s="462">
        <v>3.99</v>
      </c>
      <c r="AT37" s="470"/>
      <c r="AU37" s="465">
        <v>2.99</v>
      </c>
    </row>
    <row r="38" spans="1:47" ht="15.75" x14ac:dyDescent="0.25">
      <c r="AD38" s="490" t="s">
        <v>514</v>
      </c>
      <c r="AE38" s="426">
        <v>18</v>
      </c>
      <c r="AF38" s="427">
        <v>1220</v>
      </c>
      <c r="AG38" s="429"/>
      <c r="AH38" s="468"/>
      <c r="AI38" s="465">
        <v>1.99</v>
      </c>
      <c r="AJ38" s="460">
        <v>6</v>
      </c>
      <c r="AK38" s="474">
        <v>6.99</v>
      </c>
      <c r="AL38" s="468"/>
      <c r="AM38" s="465">
        <v>3.99</v>
      </c>
      <c r="AN38" s="462">
        <v>3</v>
      </c>
      <c r="AO38" s="462">
        <v>3.99</v>
      </c>
      <c r="AP38" s="462">
        <v>2</v>
      </c>
      <c r="AQ38" s="462">
        <v>2.99</v>
      </c>
      <c r="AR38" s="462">
        <v>4</v>
      </c>
      <c r="AS38" s="462">
        <v>4.99</v>
      </c>
      <c r="AT38" s="468"/>
      <c r="AU38" s="464">
        <v>5.99</v>
      </c>
    </row>
    <row r="39" spans="1:47" ht="15.75" x14ac:dyDescent="0.25">
      <c r="AD39" s="490" t="s">
        <v>515</v>
      </c>
      <c r="AE39" s="426">
        <v>18</v>
      </c>
      <c r="AF39" s="427">
        <v>-673</v>
      </c>
      <c r="AG39" s="429"/>
      <c r="AH39" s="468"/>
      <c r="AI39" s="465">
        <v>1.99</v>
      </c>
      <c r="AJ39" s="462">
        <v>2</v>
      </c>
      <c r="AK39" s="462">
        <v>2.99</v>
      </c>
      <c r="AL39" s="462">
        <v>2</v>
      </c>
      <c r="AM39" s="462">
        <v>2.99</v>
      </c>
      <c r="AN39" s="462">
        <v>5</v>
      </c>
      <c r="AO39" s="463">
        <v>5.99</v>
      </c>
      <c r="AP39" s="465">
        <v>5</v>
      </c>
      <c r="AQ39" s="466">
        <v>6.99</v>
      </c>
      <c r="AR39" s="462">
        <v>4</v>
      </c>
      <c r="AS39" s="462">
        <v>4.99</v>
      </c>
      <c r="AT39" s="468"/>
      <c r="AU39" s="465">
        <v>4.99</v>
      </c>
    </row>
    <row r="40" spans="1:47" ht="15.75" x14ac:dyDescent="0.25">
      <c r="AD40" s="490" t="s">
        <v>297</v>
      </c>
      <c r="AE40" s="426">
        <v>17</v>
      </c>
      <c r="AF40" s="427">
        <v>1145</v>
      </c>
      <c r="AG40" s="429" t="s">
        <v>220</v>
      </c>
      <c r="AH40" s="468"/>
      <c r="AI40" s="465">
        <v>1.99</v>
      </c>
      <c r="AJ40" s="462">
        <v>5</v>
      </c>
      <c r="AK40" s="463">
        <v>5.99</v>
      </c>
      <c r="AL40" s="476">
        <v>7</v>
      </c>
      <c r="AM40" s="477">
        <v>7</v>
      </c>
      <c r="AN40" s="462">
        <v>1</v>
      </c>
      <c r="AO40" s="462">
        <v>1.99</v>
      </c>
      <c r="AP40" s="468"/>
      <c r="AQ40" s="465">
        <v>2.99</v>
      </c>
      <c r="AR40" s="462">
        <v>1</v>
      </c>
      <c r="AS40" s="462">
        <v>1.99</v>
      </c>
      <c r="AT40" s="468"/>
      <c r="AU40" s="468"/>
    </row>
    <row r="41" spans="1:47" ht="15.75" x14ac:dyDescent="0.25">
      <c r="AD41" s="490" t="s">
        <v>516</v>
      </c>
      <c r="AE41" s="426">
        <v>19</v>
      </c>
      <c r="AF41" s="427">
        <v>1042</v>
      </c>
      <c r="AG41" s="429" t="s">
        <v>94</v>
      </c>
      <c r="AH41" s="468"/>
      <c r="AI41" s="465">
        <v>1.99</v>
      </c>
      <c r="AJ41" s="465">
        <v>5</v>
      </c>
      <c r="AK41" s="466">
        <v>6.99</v>
      </c>
      <c r="AL41" s="460">
        <v>4</v>
      </c>
      <c r="AM41" s="460">
        <v>4.99</v>
      </c>
      <c r="AN41" s="462">
        <v>1</v>
      </c>
      <c r="AO41" s="462">
        <v>1.99</v>
      </c>
      <c r="AP41" s="468"/>
      <c r="AQ41" s="465">
        <v>2.99</v>
      </c>
      <c r="AR41" s="465">
        <v>2</v>
      </c>
      <c r="AS41" s="465">
        <v>3.99</v>
      </c>
      <c r="AT41" s="468"/>
      <c r="AU41" s="465">
        <v>1.99</v>
      </c>
    </row>
    <row r="42" spans="1:47" ht="15.75" x14ac:dyDescent="0.25">
      <c r="AD42" s="490" t="s">
        <v>517</v>
      </c>
      <c r="AE42" s="426">
        <v>19</v>
      </c>
      <c r="AF42" s="427">
        <v>-813</v>
      </c>
      <c r="AG42" s="429"/>
      <c r="AH42" s="470"/>
      <c r="AI42" s="465">
        <v>0.99</v>
      </c>
      <c r="AJ42" s="462">
        <v>3</v>
      </c>
      <c r="AK42" s="462">
        <v>3.99</v>
      </c>
      <c r="AL42" s="460">
        <v>5</v>
      </c>
      <c r="AM42" s="461">
        <v>5.99</v>
      </c>
      <c r="AN42" s="462">
        <v>5</v>
      </c>
      <c r="AO42" s="463">
        <v>5.99</v>
      </c>
      <c r="AP42" s="470"/>
      <c r="AQ42" s="470">
        <v>3.99</v>
      </c>
      <c r="AR42" s="470"/>
      <c r="AS42" s="478">
        <v>5.99</v>
      </c>
      <c r="AT42" s="470"/>
      <c r="AU42" s="470"/>
    </row>
    <row r="43" spans="1:47" ht="15.75" x14ac:dyDescent="0.25">
      <c r="AA43" s="564"/>
      <c r="AD43" s="490" t="s">
        <v>518</v>
      </c>
      <c r="AE43" s="426">
        <v>18</v>
      </c>
      <c r="AF43" s="427">
        <v>4</v>
      </c>
      <c r="AG43" s="429" t="s">
        <v>94</v>
      </c>
      <c r="AH43" s="468"/>
      <c r="AI43" s="465">
        <v>1.99</v>
      </c>
      <c r="AJ43" s="462">
        <v>4</v>
      </c>
      <c r="AK43" s="462">
        <v>4.99</v>
      </c>
      <c r="AL43" s="462">
        <v>3</v>
      </c>
      <c r="AM43" s="462">
        <v>3.99</v>
      </c>
      <c r="AN43" s="468"/>
      <c r="AO43" s="466">
        <v>6.99</v>
      </c>
      <c r="AP43" s="468"/>
      <c r="AQ43" s="465">
        <v>3.99</v>
      </c>
      <c r="AR43" s="462">
        <v>2</v>
      </c>
      <c r="AS43" s="462">
        <v>2.99</v>
      </c>
      <c r="AT43" s="468"/>
      <c r="AU43" s="468">
        <v>3.99</v>
      </c>
    </row>
    <row r="44" spans="1:47" ht="15.75" x14ac:dyDescent="0.25">
      <c r="AD44" s="490" t="s">
        <v>519</v>
      </c>
      <c r="AE44" s="426">
        <v>16</v>
      </c>
      <c r="AF44" s="427">
        <v>-718</v>
      </c>
      <c r="AG44" s="429" t="s">
        <v>220</v>
      </c>
      <c r="AH44" s="470"/>
      <c r="AI44" s="465">
        <v>1.99</v>
      </c>
      <c r="AJ44" s="462">
        <v>1</v>
      </c>
      <c r="AK44" s="462">
        <v>1.99</v>
      </c>
      <c r="AL44" s="460">
        <v>6</v>
      </c>
      <c r="AM44" s="474">
        <v>6.99</v>
      </c>
      <c r="AN44" s="470"/>
      <c r="AO44" s="465">
        <v>3.99</v>
      </c>
      <c r="AP44" s="470"/>
      <c r="AQ44" s="465">
        <v>3.99</v>
      </c>
      <c r="AR44" s="462">
        <v>2</v>
      </c>
      <c r="AS44" s="462">
        <v>2.99</v>
      </c>
      <c r="AT44" s="470"/>
      <c r="AU44" s="465">
        <v>2.99</v>
      </c>
    </row>
    <row r="45" spans="1:47" ht="15.75" x14ac:dyDescent="0.25">
      <c r="AD45" s="490" t="s">
        <v>520</v>
      </c>
      <c r="AE45" s="426">
        <v>18</v>
      </c>
      <c r="AF45" s="427">
        <v>1028</v>
      </c>
      <c r="AG45" s="429"/>
      <c r="AH45" s="479"/>
      <c r="AI45" s="479"/>
      <c r="AJ45" s="460">
        <v>5</v>
      </c>
      <c r="AK45" s="461">
        <v>5.99</v>
      </c>
      <c r="AL45" s="462">
        <v>6</v>
      </c>
      <c r="AM45" s="467">
        <v>6.99</v>
      </c>
      <c r="AN45" s="462">
        <v>2</v>
      </c>
      <c r="AO45" s="462">
        <v>2.99</v>
      </c>
      <c r="AP45" s="479"/>
      <c r="AQ45" s="465">
        <v>2.99</v>
      </c>
      <c r="AR45" s="462">
        <v>4</v>
      </c>
      <c r="AS45" s="462">
        <v>4.99</v>
      </c>
      <c r="AT45" s="479"/>
      <c r="AU45" s="479"/>
    </row>
    <row r="46" spans="1:47" ht="15.75" x14ac:dyDescent="0.25">
      <c r="AD46" s="490" t="s">
        <v>521</v>
      </c>
      <c r="AE46" s="426">
        <v>17</v>
      </c>
      <c r="AF46" s="427">
        <v>932</v>
      </c>
      <c r="AG46" s="429"/>
      <c r="AH46" s="468"/>
      <c r="AI46" s="468"/>
      <c r="AJ46" s="462">
        <v>2</v>
      </c>
      <c r="AK46" s="462">
        <v>2.99</v>
      </c>
      <c r="AL46" s="460">
        <v>7</v>
      </c>
      <c r="AM46" s="474">
        <v>7</v>
      </c>
      <c r="AN46" s="460">
        <v>3</v>
      </c>
      <c r="AO46" s="460">
        <v>3.99</v>
      </c>
      <c r="AP46" s="462">
        <v>1</v>
      </c>
      <c r="AQ46" s="462">
        <v>1.99</v>
      </c>
      <c r="AR46" s="468"/>
      <c r="AS46" s="465">
        <v>3.99</v>
      </c>
      <c r="AT46" s="468"/>
      <c r="AU46" s="468"/>
    </row>
    <row r="47" spans="1:47" ht="15.75" x14ac:dyDescent="0.25">
      <c r="AD47" s="490" t="s">
        <v>522</v>
      </c>
      <c r="AE47" s="426">
        <v>18</v>
      </c>
      <c r="AF47" s="427">
        <v>1032</v>
      </c>
      <c r="AG47" s="429" t="s">
        <v>105</v>
      </c>
      <c r="AH47" s="479"/>
      <c r="AI47" s="465">
        <v>1.99</v>
      </c>
      <c r="AJ47" s="479"/>
      <c r="AK47" s="465">
        <v>2.99</v>
      </c>
      <c r="AL47" s="462">
        <v>3</v>
      </c>
      <c r="AM47" s="462">
        <v>3.99</v>
      </c>
      <c r="AN47" s="462">
        <v>5</v>
      </c>
      <c r="AO47" s="463">
        <v>5.99</v>
      </c>
      <c r="AP47" s="462">
        <v>6</v>
      </c>
      <c r="AQ47" s="467">
        <v>6.99</v>
      </c>
      <c r="AR47" s="462">
        <v>2</v>
      </c>
      <c r="AS47" s="462">
        <v>2.99</v>
      </c>
      <c r="AT47" s="462">
        <v>4</v>
      </c>
      <c r="AU47" s="462">
        <v>4.99</v>
      </c>
    </row>
    <row r="48" spans="1:47" ht="15.75" x14ac:dyDescent="0.25">
      <c r="AD48" s="490" t="s">
        <v>523</v>
      </c>
      <c r="AE48" s="426">
        <v>17</v>
      </c>
      <c r="AF48" s="427">
        <v>959</v>
      </c>
      <c r="AG48" s="429"/>
      <c r="AH48" s="480"/>
      <c r="AI48" s="480">
        <v>1.99</v>
      </c>
      <c r="AJ48" s="480"/>
      <c r="AK48" s="465">
        <v>3.99</v>
      </c>
      <c r="AL48" s="460">
        <v>5</v>
      </c>
      <c r="AM48" s="461">
        <v>5.99</v>
      </c>
      <c r="AN48" s="479"/>
      <c r="AO48" s="465">
        <v>2.99</v>
      </c>
      <c r="AP48" s="462">
        <v>5</v>
      </c>
      <c r="AQ48" s="463">
        <v>5.99</v>
      </c>
      <c r="AR48" s="460">
        <v>4</v>
      </c>
      <c r="AS48" s="460">
        <v>4.99</v>
      </c>
      <c r="AT48" s="479"/>
      <c r="AU48" s="479">
        <v>3.99</v>
      </c>
    </row>
    <row r="49" spans="30:47" ht="15.75" x14ac:dyDescent="0.25">
      <c r="AD49" s="490" t="s">
        <v>524</v>
      </c>
      <c r="AE49" s="426">
        <v>17</v>
      </c>
      <c r="AF49" s="427">
        <v>852</v>
      </c>
      <c r="AG49" s="429"/>
      <c r="AH49" s="470"/>
      <c r="AI49" s="470"/>
      <c r="AJ49" s="470"/>
      <c r="AK49" s="465">
        <v>4.99</v>
      </c>
      <c r="AL49" s="462">
        <v>3</v>
      </c>
      <c r="AM49" s="462">
        <v>3.99</v>
      </c>
      <c r="AN49" s="460">
        <v>5</v>
      </c>
      <c r="AO49" s="461">
        <v>5.99</v>
      </c>
      <c r="AP49" s="470"/>
      <c r="AQ49" s="465">
        <v>2.99</v>
      </c>
      <c r="AR49" s="462">
        <v>4</v>
      </c>
      <c r="AS49" s="462">
        <v>4.99</v>
      </c>
      <c r="AT49" s="470"/>
      <c r="AU49" s="470"/>
    </row>
    <row r="50" spans="30:47" ht="15.75" x14ac:dyDescent="0.25">
      <c r="AD50" s="490" t="s">
        <v>525</v>
      </c>
      <c r="AE50" s="426">
        <v>18</v>
      </c>
      <c r="AF50" s="427">
        <v>908</v>
      </c>
      <c r="AG50" s="429" t="s">
        <v>220</v>
      </c>
      <c r="AH50" s="479"/>
      <c r="AI50" s="479"/>
      <c r="AJ50" s="465">
        <v>4</v>
      </c>
      <c r="AK50" s="464">
        <v>5.99</v>
      </c>
      <c r="AL50" s="462">
        <v>3</v>
      </c>
      <c r="AM50" s="462">
        <v>3.99</v>
      </c>
      <c r="AN50" s="460">
        <v>6</v>
      </c>
      <c r="AO50" s="474">
        <v>6.99</v>
      </c>
      <c r="AP50" s="465">
        <v>6</v>
      </c>
      <c r="AQ50" s="466">
        <v>7</v>
      </c>
      <c r="AR50" s="462">
        <v>4</v>
      </c>
      <c r="AS50" s="462">
        <v>4.99</v>
      </c>
      <c r="AT50" s="479"/>
      <c r="AU50" s="465">
        <v>2.99</v>
      </c>
    </row>
    <row r="51" spans="30:47" ht="15.75" x14ac:dyDescent="0.25">
      <c r="AD51" s="490" t="s">
        <v>526</v>
      </c>
      <c r="AE51" s="426">
        <v>17</v>
      </c>
      <c r="AF51" s="427">
        <v>856</v>
      </c>
      <c r="AG51" s="429" t="s">
        <v>220</v>
      </c>
      <c r="AH51" s="468"/>
      <c r="AI51" s="465">
        <v>0.99</v>
      </c>
      <c r="AJ51" s="465">
        <v>4</v>
      </c>
      <c r="AK51" s="464">
        <v>5.99</v>
      </c>
      <c r="AL51" s="462">
        <v>3</v>
      </c>
      <c r="AM51" s="462">
        <v>3.99</v>
      </c>
      <c r="AN51" s="462">
        <v>3</v>
      </c>
      <c r="AO51" s="462">
        <v>3.99</v>
      </c>
      <c r="AP51" s="462">
        <v>5.3</v>
      </c>
      <c r="AQ51" s="463">
        <v>5.99</v>
      </c>
      <c r="AR51" s="465">
        <v>5</v>
      </c>
      <c r="AS51" s="466">
        <v>6.99</v>
      </c>
      <c r="AT51" s="468"/>
      <c r="AU51" s="468"/>
    </row>
    <row r="52" spans="30:47" ht="15.75" x14ac:dyDescent="0.25">
      <c r="AD52" s="490" t="s">
        <v>527</v>
      </c>
      <c r="AE52" s="426">
        <v>18</v>
      </c>
      <c r="AF52" s="427">
        <v>-975</v>
      </c>
      <c r="AG52" s="429" t="s">
        <v>105</v>
      </c>
      <c r="AH52" s="468"/>
      <c r="AI52" s="465">
        <v>1.99</v>
      </c>
      <c r="AJ52" s="465">
        <v>4</v>
      </c>
      <c r="AK52" s="464">
        <v>5.99</v>
      </c>
      <c r="AL52" s="460">
        <v>5</v>
      </c>
      <c r="AM52" s="461">
        <v>5.99</v>
      </c>
      <c r="AN52" s="460">
        <v>4</v>
      </c>
      <c r="AO52" s="460">
        <v>4.99</v>
      </c>
      <c r="AP52" s="462">
        <v>4</v>
      </c>
      <c r="AQ52" s="462">
        <v>4.99</v>
      </c>
      <c r="AR52" s="460">
        <v>3</v>
      </c>
      <c r="AS52" s="460">
        <v>3.99</v>
      </c>
      <c r="AT52" s="468"/>
      <c r="AU52" s="468"/>
    </row>
    <row r="53" spans="30:47" ht="15.75" x14ac:dyDescent="0.25">
      <c r="AD53" s="490" t="s">
        <v>528</v>
      </c>
      <c r="AE53" s="426">
        <v>17</v>
      </c>
      <c r="AF53" s="427">
        <v>724</v>
      </c>
      <c r="AG53" s="429"/>
      <c r="AH53" s="468"/>
      <c r="AI53" s="465">
        <v>1.99</v>
      </c>
      <c r="AJ53" s="462">
        <v>4</v>
      </c>
      <c r="AK53" s="462">
        <v>4.99</v>
      </c>
      <c r="AL53" s="460">
        <v>6</v>
      </c>
      <c r="AM53" s="474">
        <v>6.99</v>
      </c>
      <c r="AN53" s="468"/>
      <c r="AO53" s="465">
        <v>3.99</v>
      </c>
      <c r="AP53" s="462">
        <v>2</v>
      </c>
      <c r="AQ53" s="462">
        <v>2.99</v>
      </c>
      <c r="AR53" s="462">
        <v>3</v>
      </c>
      <c r="AS53" s="462">
        <v>3.99</v>
      </c>
      <c r="AT53" s="468"/>
      <c r="AU53" s="464">
        <v>5.99</v>
      </c>
    </row>
    <row r="54" spans="30:47" ht="15.75" x14ac:dyDescent="0.25">
      <c r="AD54" s="490" t="s">
        <v>529</v>
      </c>
      <c r="AE54" s="426">
        <v>17</v>
      </c>
      <c r="AF54" s="427">
        <v>789</v>
      </c>
      <c r="AG54" s="429" t="s">
        <v>105</v>
      </c>
      <c r="AH54" s="470"/>
      <c r="AI54" s="470"/>
      <c r="AJ54" s="460">
        <v>5</v>
      </c>
      <c r="AK54" s="461">
        <v>5.99</v>
      </c>
      <c r="AL54" s="470"/>
      <c r="AM54" s="465">
        <v>2.99</v>
      </c>
      <c r="AN54" s="465">
        <v>5</v>
      </c>
      <c r="AO54" s="466">
        <v>7</v>
      </c>
      <c r="AP54" s="462">
        <v>3</v>
      </c>
      <c r="AQ54" s="462">
        <v>3.99</v>
      </c>
      <c r="AR54" s="462">
        <v>3</v>
      </c>
      <c r="AS54" s="462">
        <v>3.99</v>
      </c>
      <c r="AT54" s="470"/>
      <c r="AU54" s="465">
        <v>3.99</v>
      </c>
    </row>
    <row r="55" spans="30:47" ht="15.75" x14ac:dyDescent="0.25">
      <c r="AD55" s="490" t="s">
        <v>530</v>
      </c>
      <c r="AE55" s="426">
        <v>16</v>
      </c>
      <c r="AF55" s="427">
        <v>796</v>
      </c>
      <c r="AG55" s="429" t="s">
        <v>220</v>
      </c>
      <c r="AH55" s="479"/>
      <c r="AI55" s="479"/>
      <c r="AJ55" s="462">
        <v>2</v>
      </c>
      <c r="AK55" s="462">
        <v>2.99</v>
      </c>
      <c r="AL55" s="460">
        <v>5</v>
      </c>
      <c r="AM55" s="461">
        <v>5.99</v>
      </c>
      <c r="AN55" s="460">
        <v>5</v>
      </c>
      <c r="AO55" s="461">
        <v>5.99</v>
      </c>
      <c r="AP55" s="462">
        <v>4</v>
      </c>
      <c r="AQ55" s="462">
        <v>4.99</v>
      </c>
      <c r="AR55" s="462">
        <v>3</v>
      </c>
      <c r="AS55" s="462">
        <v>3.99</v>
      </c>
      <c r="AT55" s="479"/>
      <c r="AU55" s="479"/>
    </row>
    <row r="56" spans="30:47" ht="15.75" x14ac:dyDescent="0.25">
      <c r="AD56" s="490" t="s">
        <v>531</v>
      </c>
      <c r="AE56" s="426">
        <v>17</v>
      </c>
      <c r="AF56" s="427">
        <v>681</v>
      </c>
      <c r="AG56" s="429" t="s">
        <v>67</v>
      </c>
      <c r="AH56" s="468"/>
      <c r="AI56" s="465">
        <v>1.99</v>
      </c>
      <c r="AJ56" s="462">
        <v>3</v>
      </c>
      <c r="AK56" s="462">
        <v>3.99</v>
      </c>
      <c r="AL56" s="460">
        <v>5</v>
      </c>
      <c r="AM56" s="461">
        <v>5.99</v>
      </c>
      <c r="AN56" s="468"/>
      <c r="AO56" s="465">
        <v>2.99</v>
      </c>
      <c r="AP56" s="462">
        <v>4</v>
      </c>
      <c r="AQ56" s="462">
        <v>4.99</v>
      </c>
      <c r="AR56" s="462">
        <v>4</v>
      </c>
      <c r="AS56" s="462">
        <v>4.99</v>
      </c>
      <c r="AT56" s="462">
        <v>2</v>
      </c>
      <c r="AU56" s="462">
        <v>2.99</v>
      </c>
    </row>
    <row r="57" spans="30:47" ht="15.75" x14ac:dyDescent="0.25">
      <c r="AD57" s="490" t="s">
        <v>532</v>
      </c>
      <c r="AE57" s="426">
        <v>19</v>
      </c>
      <c r="AF57" s="427">
        <v>686</v>
      </c>
      <c r="AG57" s="429" t="s">
        <v>94</v>
      </c>
      <c r="AH57" s="479"/>
      <c r="AI57" s="465">
        <v>1.99</v>
      </c>
      <c r="AJ57" s="462">
        <v>2</v>
      </c>
      <c r="AK57" s="462">
        <v>2.99</v>
      </c>
      <c r="AL57" s="462">
        <v>3</v>
      </c>
      <c r="AM57" s="462">
        <v>3.99</v>
      </c>
      <c r="AN57" s="465">
        <v>4</v>
      </c>
      <c r="AO57" s="464">
        <v>5.99</v>
      </c>
      <c r="AP57" s="462">
        <v>4</v>
      </c>
      <c r="AQ57" s="462">
        <v>4.99</v>
      </c>
      <c r="AR57" s="462">
        <v>5</v>
      </c>
      <c r="AS57" s="463">
        <v>5.99</v>
      </c>
      <c r="AT57" s="479"/>
      <c r="AU57" s="465">
        <v>3.99</v>
      </c>
    </row>
    <row r="58" spans="30:47" ht="15.75" x14ac:dyDescent="0.25">
      <c r="AD58" s="490" t="s">
        <v>533</v>
      </c>
      <c r="AE58" s="426">
        <v>17</v>
      </c>
      <c r="AF58" s="427">
        <v>736</v>
      </c>
      <c r="AG58" s="429" t="s">
        <v>67</v>
      </c>
      <c r="AH58" s="468"/>
      <c r="AI58" s="465">
        <v>1.99</v>
      </c>
      <c r="AJ58" s="462">
        <v>1</v>
      </c>
      <c r="AK58" s="462">
        <v>1.99</v>
      </c>
      <c r="AL58" s="460">
        <v>6</v>
      </c>
      <c r="AM58" s="474">
        <v>6.99</v>
      </c>
      <c r="AN58" s="468"/>
      <c r="AO58" s="465">
        <v>2.99</v>
      </c>
      <c r="AP58" s="468"/>
      <c r="AQ58" s="465">
        <v>3.99</v>
      </c>
      <c r="AR58" s="468"/>
      <c r="AS58" s="465">
        <v>3.99</v>
      </c>
      <c r="AT58" s="468"/>
      <c r="AU58" s="465">
        <v>2.99</v>
      </c>
    </row>
    <row r="59" spans="30:47" ht="15.75" x14ac:dyDescent="0.25">
      <c r="AD59" s="490" t="s">
        <v>534</v>
      </c>
      <c r="AE59" s="426">
        <v>16</v>
      </c>
      <c r="AF59" s="427">
        <v>774</v>
      </c>
      <c r="AG59" s="429"/>
      <c r="AH59" s="479"/>
      <c r="AI59" s="465">
        <v>1.99</v>
      </c>
      <c r="AJ59" s="465">
        <v>4</v>
      </c>
      <c r="AK59" s="464">
        <v>5.99</v>
      </c>
      <c r="AL59" s="465">
        <v>4</v>
      </c>
      <c r="AM59" s="464">
        <v>5.99</v>
      </c>
      <c r="AN59" s="462">
        <v>5</v>
      </c>
      <c r="AO59" s="463">
        <v>5.99</v>
      </c>
      <c r="AP59" s="479"/>
      <c r="AQ59" s="465">
        <v>3.99</v>
      </c>
      <c r="AR59" s="479"/>
      <c r="AS59" s="465">
        <v>3.99</v>
      </c>
      <c r="AT59" s="479"/>
      <c r="AU59" s="465">
        <v>2.99</v>
      </c>
    </row>
    <row r="60" spans="30:47" ht="15.75" x14ac:dyDescent="0.25">
      <c r="AD60" s="490" t="s">
        <v>535</v>
      </c>
      <c r="AE60" s="426">
        <v>17</v>
      </c>
      <c r="AF60" s="427">
        <v>761</v>
      </c>
      <c r="AG60" s="429" t="s">
        <v>220</v>
      </c>
      <c r="AH60" s="470"/>
      <c r="AI60" s="465">
        <v>1.99</v>
      </c>
      <c r="AJ60" s="460">
        <v>3</v>
      </c>
      <c r="AK60" s="460">
        <v>3.99</v>
      </c>
      <c r="AL60" s="465">
        <v>5</v>
      </c>
      <c r="AM60" s="466">
        <v>6.99</v>
      </c>
      <c r="AN60" s="470"/>
      <c r="AO60" s="465">
        <v>2.99</v>
      </c>
      <c r="AP60" s="462">
        <v>2</v>
      </c>
      <c r="AQ60" s="462">
        <v>2.99</v>
      </c>
      <c r="AR60" s="470"/>
      <c r="AS60" s="464">
        <v>5.99</v>
      </c>
      <c r="AT60" s="462">
        <v>2</v>
      </c>
      <c r="AU60" s="462">
        <v>2.99</v>
      </c>
    </row>
    <row r="61" spans="30:47" ht="15.75" x14ac:dyDescent="0.25">
      <c r="AD61" s="490" t="s">
        <v>536</v>
      </c>
      <c r="AE61" s="426">
        <v>19</v>
      </c>
      <c r="AF61" s="427">
        <v>633</v>
      </c>
      <c r="AG61" s="429"/>
      <c r="AH61" s="468"/>
      <c r="AI61" s="468"/>
      <c r="AJ61" s="465">
        <v>5</v>
      </c>
      <c r="AK61" s="466">
        <v>6.99</v>
      </c>
      <c r="AL61" s="460">
        <v>4</v>
      </c>
      <c r="AM61" s="460">
        <v>4.99</v>
      </c>
      <c r="AN61" s="460">
        <v>4</v>
      </c>
      <c r="AO61" s="460">
        <v>4.99</v>
      </c>
      <c r="AP61" s="462">
        <v>3</v>
      </c>
      <c r="AQ61" s="462">
        <v>3.99</v>
      </c>
      <c r="AR61" s="462">
        <v>3</v>
      </c>
      <c r="AS61" s="462">
        <v>3.99</v>
      </c>
      <c r="AT61" s="468"/>
      <c r="AU61" s="468"/>
    </row>
    <row r="62" spans="30:47" ht="15.75" x14ac:dyDescent="0.25">
      <c r="AD62" s="490" t="s">
        <v>537</v>
      </c>
      <c r="AE62" s="426">
        <v>16</v>
      </c>
      <c r="AF62" s="427">
        <v>679</v>
      </c>
      <c r="AG62" s="429"/>
      <c r="AH62" s="479"/>
      <c r="AI62" s="465">
        <v>1.99</v>
      </c>
      <c r="AJ62" s="460">
        <v>5</v>
      </c>
      <c r="AK62" s="461">
        <v>5.99</v>
      </c>
      <c r="AL62" s="462">
        <v>3</v>
      </c>
      <c r="AM62" s="462">
        <v>3.99</v>
      </c>
      <c r="AN62" s="462">
        <v>4</v>
      </c>
      <c r="AO62" s="462">
        <v>4.99</v>
      </c>
      <c r="AP62" s="465">
        <v>3</v>
      </c>
      <c r="AQ62" s="465">
        <v>4.99</v>
      </c>
      <c r="AR62" s="462">
        <v>1</v>
      </c>
      <c r="AS62" s="462">
        <v>1.99</v>
      </c>
      <c r="AT62" s="479"/>
      <c r="AU62" s="465">
        <v>2.99</v>
      </c>
    </row>
    <row r="63" spans="30:47" ht="15.75" x14ac:dyDescent="0.25">
      <c r="AD63" s="490" t="s">
        <v>538</v>
      </c>
      <c r="AE63" s="426">
        <v>16</v>
      </c>
      <c r="AF63" s="427">
        <v>663</v>
      </c>
      <c r="AG63" s="429" t="s">
        <v>96</v>
      </c>
      <c r="AH63" s="479"/>
      <c r="AI63" s="479"/>
      <c r="AJ63" s="462">
        <v>4</v>
      </c>
      <c r="AK63" s="462">
        <v>4.99</v>
      </c>
      <c r="AL63" s="462">
        <v>5</v>
      </c>
      <c r="AM63" s="463">
        <v>5.99</v>
      </c>
      <c r="AN63" s="460">
        <v>4</v>
      </c>
      <c r="AO63" s="460">
        <v>4.99</v>
      </c>
      <c r="AP63" s="479"/>
      <c r="AQ63" s="465">
        <v>3.99</v>
      </c>
      <c r="AR63" s="462">
        <v>3</v>
      </c>
      <c r="AS63" s="462">
        <v>3.99</v>
      </c>
      <c r="AT63" s="479"/>
      <c r="AU63" s="479"/>
    </row>
    <row r="64" spans="30:47" ht="15.75" x14ac:dyDescent="0.25">
      <c r="AD64" s="490" t="s">
        <v>539</v>
      </c>
      <c r="AE64" s="426">
        <v>16</v>
      </c>
      <c r="AF64" s="427">
        <v>644</v>
      </c>
      <c r="AG64" s="429"/>
      <c r="AH64" s="479"/>
      <c r="AI64" s="465">
        <v>1.99</v>
      </c>
      <c r="AJ64" s="460">
        <v>3</v>
      </c>
      <c r="AK64" s="460">
        <v>3.99</v>
      </c>
      <c r="AL64" s="460">
        <v>6</v>
      </c>
      <c r="AM64" s="474">
        <v>6.99</v>
      </c>
      <c r="AN64" s="460">
        <v>5</v>
      </c>
      <c r="AO64" s="461">
        <v>5.99</v>
      </c>
      <c r="AP64" s="479"/>
      <c r="AQ64" s="465">
        <v>2.99</v>
      </c>
      <c r="AR64" s="462">
        <v>3</v>
      </c>
      <c r="AS64" s="462">
        <v>3.99</v>
      </c>
      <c r="AT64" s="479"/>
      <c r="AU64" s="479"/>
    </row>
    <row r="65" spans="30:47" ht="15.75" x14ac:dyDescent="0.25">
      <c r="AD65" s="490" t="s">
        <v>540</v>
      </c>
      <c r="AE65" s="426">
        <v>16</v>
      </c>
      <c r="AF65" s="427">
        <v>607</v>
      </c>
      <c r="AG65" s="429" t="s">
        <v>94</v>
      </c>
      <c r="AH65" s="479"/>
      <c r="AI65" s="479"/>
      <c r="AJ65" s="462">
        <v>4</v>
      </c>
      <c r="AK65" s="462">
        <v>4.99</v>
      </c>
      <c r="AL65" s="460">
        <v>4</v>
      </c>
      <c r="AM65" s="460">
        <v>4.99</v>
      </c>
      <c r="AN65" s="462">
        <v>4</v>
      </c>
      <c r="AO65" s="462">
        <v>4.99</v>
      </c>
      <c r="AP65" s="460">
        <v>4</v>
      </c>
      <c r="AQ65" s="460">
        <v>4.99</v>
      </c>
      <c r="AR65" s="460">
        <v>5</v>
      </c>
      <c r="AS65" s="461">
        <v>5.99</v>
      </c>
      <c r="AT65" s="479"/>
      <c r="AU65" s="465">
        <v>2.99</v>
      </c>
    </row>
    <row r="66" spans="30:47" ht="15.75" x14ac:dyDescent="0.25">
      <c r="AD66" s="490" t="s">
        <v>541</v>
      </c>
      <c r="AE66" s="426">
        <v>17</v>
      </c>
      <c r="AF66" s="427">
        <v>621</v>
      </c>
      <c r="AG66" s="429" t="s">
        <v>94</v>
      </c>
      <c r="AH66" s="470"/>
      <c r="AI66" s="470"/>
      <c r="AJ66" s="465">
        <v>3</v>
      </c>
      <c r="AK66" s="465">
        <v>4.99</v>
      </c>
      <c r="AL66" s="465">
        <v>5</v>
      </c>
      <c r="AM66" s="466">
        <v>6.99</v>
      </c>
      <c r="AN66" s="462">
        <v>5</v>
      </c>
      <c r="AO66" s="463">
        <v>5.99</v>
      </c>
      <c r="AP66" s="470"/>
      <c r="AQ66" s="465">
        <v>2.99</v>
      </c>
      <c r="AR66" s="460">
        <v>5</v>
      </c>
      <c r="AS66" s="461">
        <v>5.99</v>
      </c>
      <c r="AT66" s="470"/>
      <c r="AU66" s="465">
        <v>3.99</v>
      </c>
    </row>
    <row r="67" spans="30:47" ht="15.75" x14ac:dyDescent="0.25">
      <c r="AD67" s="490" t="s">
        <v>542</v>
      </c>
      <c r="AE67" s="426">
        <v>16</v>
      </c>
      <c r="AF67" s="427">
        <v>571</v>
      </c>
      <c r="AG67" s="429"/>
      <c r="AH67" s="479"/>
      <c r="AI67" s="465">
        <v>1.99</v>
      </c>
      <c r="AJ67" s="460">
        <v>4</v>
      </c>
      <c r="AK67" s="460">
        <v>4.99</v>
      </c>
      <c r="AL67" s="462">
        <v>3</v>
      </c>
      <c r="AM67" s="462">
        <v>3.99</v>
      </c>
      <c r="AN67" s="465">
        <v>7</v>
      </c>
      <c r="AO67" s="466">
        <v>7</v>
      </c>
      <c r="AP67" s="462">
        <v>2</v>
      </c>
      <c r="AQ67" s="462">
        <v>2.99</v>
      </c>
      <c r="AR67" s="460">
        <v>4</v>
      </c>
      <c r="AS67" s="460">
        <v>4.99</v>
      </c>
      <c r="AT67" s="479"/>
      <c r="AU67" s="479"/>
    </row>
    <row r="68" spans="30:47" ht="15.75" x14ac:dyDescent="0.25">
      <c r="AD68" s="490" t="s">
        <v>543</v>
      </c>
      <c r="AE68" s="426">
        <v>17</v>
      </c>
      <c r="AF68" s="427">
        <v>467</v>
      </c>
      <c r="AG68" s="429"/>
      <c r="AH68" s="470"/>
      <c r="AI68" s="470"/>
      <c r="AJ68" s="470"/>
      <c r="AK68" s="465">
        <v>2.99</v>
      </c>
      <c r="AL68" s="462">
        <v>2</v>
      </c>
      <c r="AM68" s="462">
        <v>2.99</v>
      </c>
      <c r="AN68" s="462">
        <v>5</v>
      </c>
      <c r="AO68" s="463">
        <v>5.99</v>
      </c>
      <c r="AP68" s="470"/>
      <c r="AQ68" s="464">
        <v>5.99</v>
      </c>
      <c r="AR68" s="460">
        <v>3</v>
      </c>
      <c r="AS68" s="460">
        <v>3.99</v>
      </c>
      <c r="AT68" s="470"/>
      <c r="AU68" s="470"/>
    </row>
    <row r="69" spans="30:47" ht="15.75" x14ac:dyDescent="0.25">
      <c r="AD69" s="490" t="s">
        <v>544</v>
      </c>
      <c r="AE69" s="426">
        <v>16</v>
      </c>
      <c r="AF69" s="427">
        <v>475</v>
      </c>
      <c r="AG69" s="429"/>
      <c r="AH69" s="479"/>
      <c r="AI69" s="465">
        <v>1.99</v>
      </c>
      <c r="AJ69" s="479"/>
      <c r="AK69" s="465">
        <v>3.99</v>
      </c>
      <c r="AL69" s="460">
        <v>5</v>
      </c>
      <c r="AM69" s="461">
        <v>5.99</v>
      </c>
      <c r="AN69" s="460">
        <v>6</v>
      </c>
      <c r="AO69" s="474">
        <v>6.99</v>
      </c>
      <c r="AP69" s="479"/>
      <c r="AQ69" s="479"/>
      <c r="AR69" s="462">
        <v>2</v>
      </c>
      <c r="AS69" s="462">
        <v>2.99</v>
      </c>
      <c r="AT69" s="479"/>
      <c r="AU69" s="479"/>
    </row>
    <row r="70" spans="30:47" ht="15.75" x14ac:dyDescent="0.25">
      <c r="AD70" s="490" t="s">
        <v>545</v>
      </c>
      <c r="AE70" s="426">
        <v>16</v>
      </c>
      <c r="AF70" s="427">
        <v>422</v>
      </c>
      <c r="AG70" s="429"/>
      <c r="AH70" s="479"/>
      <c r="AI70" s="479"/>
      <c r="AJ70" s="462">
        <v>1</v>
      </c>
      <c r="AK70" s="462">
        <v>1.99</v>
      </c>
      <c r="AL70" s="460">
        <v>5</v>
      </c>
      <c r="AM70" s="461">
        <v>5.99</v>
      </c>
      <c r="AN70" s="460">
        <v>4</v>
      </c>
      <c r="AO70" s="460">
        <v>4.99</v>
      </c>
      <c r="AP70" s="479"/>
      <c r="AQ70" s="465">
        <v>2.99</v>
      </c>
      <c r="AR70" s="479"/>
      <c r="AS70" s="465">
        <v>2.99</v>
      </c>
      <c r="AT70" s="479"/>
      <c r="AU70" s="479"/>
    </row>
    <row r="71" spans="30:47" ht="15.75" x14ac:dyDescent="0.25">
      <c r="AD71" s="490" t="s">
        <v>546</v>
      </c>
      <c r="AE71" s="426">
        <v>16</v>
      </c>
      <c r="AF71" s="427">
        <v>434</v>
      </c>
      <c r="AG71" s="429"/>
      <c r="AH71" s="479"/>
      <c r="AI71" s="465">
        <v>1.99</v>
      </c>
      <c r="AJ71" s="465">
        <v>3</v>
      </c>
      <c r="AK71" s="465">
        <v>4.99</v>
      </c>
      <c r="AL71" s="460">
        <v>2</v>
      </c>
      <c r="AM71" s="460">
        <v>2.99</v>
      </c>
      <c r="AN71" s="465">
        <v>4</v>
      </c>
      <c r="AO71" s="466">
        <v>6.99</v>
      </c>
      <c r="AP71" s="479"/>
      <c r="AQ71" s="465">
        <v>2.99</v>
      </c>
      <c r="AR71" s="479"/>
      <c r="AS71" s="466">
        <v>6.99</v>
      </c>
      <c r="AT71" s="479"/>
      <c r="AU71" s="479"/>
    </row>
    <row r="72" spans="30:47" ht="15.75" x14ac:dyDescent="0.25">
      <c r="AD72" s="490" t="s">
        <v>547</v>
      </c>
      <c r="AE72" s="426">
        <v>16</v>
      </c>
      <c r="AF72" s="427">
        <v>454</v>
      </c>
      <c r="AG72" s="429"/>
      <c r="AH72" s="479"/>
      <c r="AI72" s="465">
        <v>1.99</v>
      </c>
      <c r="AJ72" s="479"/>
      <c r="AK72" s="464">
        <v>5.99</v>
      </c>
      <c r="AL72" s="460">
        <v>5</v>
      </c>
      <c r="AM72" s="461">
        <v>5.99</v>
      </c>
      <c r="AN72" s="462">
        <v>4</v>
      </c>
      <c r="AO72" s="462">
        <v>4.99</v>
      </c>
      <c r="AP72" s="465">
        <v>3</v>
      </c>
      <c r="AQ72" s="464">
        <v>5.99</v>
      </c>
      <c r="AR72" s="465">
        <v>4</v>
      </c>
      <c r="AS72" s="464">
        <v>5.99</v>
      </c>
      <c r="AT72" s="479"/>
      <c r="AU72" s="479"/>
    </row>
    <row r="73" spans="30:47" ht="15.75" x14ac:dyDescent="0.25">
      <c r="AD73" s="490" t="s">
        <v>548</v>
      </c>
      <c r="AE73" s="426">
        <v>16</v>
      </c>
      <c r="AF73" s="427">
        <v>458</v>
      </c>
      <c r="AG73" s="429"/>
      <c r="AH73" s="479"/>
      <c r="AI73" s="479"/>
      <c r="AJ73" s="479"/>
      <c r="AK73" s="465">
        <v>2.99</v>
      </c>
      <c r="AL73" s="460">
        <v>5</v>
      </c>
      <c r="AM73" s="461">
        <v>5.99</v>
      </c>
      <c r="AN73" s="465">
        <v>4</v>
      </c>
      <c r="AO73" s="464">
        <v>5.99</v>
      </c>
      <c r="AP73" s="479"/>
      <c r="AQ73" s="465">
        <v>3.99</v>
      </c>
      <c r="AR73" s="462">
        <v>2</v>
      </c>
      <c r="AS73" s="462">
        <v>2.99</v>
      </c>
      <c r="AT73" s="479"/>
      <c r="AU73" s="479"/>
    </row>
    <row r="74" spans="30:47" ht="15.75" x14ac:dyDescent="0.25">
      <c r="AD74" s="490" t="s">
        <v>549</v>
      </c>
      <c r="AE74" s="426">
        <v>15</v>
      </c>
      <c r="AF74" s="427">
        <v>517</v>
      </c>
      <c r="AG74" s="429"/>
      <c r="AH74" s="479"/>
      <c r="AI74" s="479"/>
      <c r="AJ74" s="479"/>
      <c r="AK74" s="465">
        <v>4.99</v>
      </c>
      <c r="AL74" s="479"/>
      <c r="AM74" s="479"/>
      <c r="AN74" s="479"/>
      <c r="AO74" s="465">
        <v>4.99</v>
      </c>
      <c r="AP74" s="465">
        <v>3</v>
      </c>
      <c r="AQ74" s="479"/>
      <c r="AR74" s="479"/>
      <c r="AS74" s="464">
        <v>5.99</v>
      </c>
      <c r="AT74" s="479"/>
      <c r="AU74" s="479"/>
    </row>
    <row r="75" spans="30:47" ht="15.75" x14ac:dyDescent="0.25">
      <c r="AD75" s="490" t="s">
        <v>550</v>
      </c>
      <c r="AE75" s="426">
        <v>17</v>
      </c>
      <c r="AF75" s="427">
        <v>499</v>
      </c>
      <c r="AG75" s="429"/>
      <c r="AH75" s="479"/>
      <c r="AI75" s="479"/>
      <c r="AJ75" s="465">
        <v>4</v>
      </c>
      <c r="AK75" s="464">
        <v>5.99</v>
      </c>
      <c r="AL75" s="462">
        <v>4</v>
      </c>
      <c r="AM75" s="462">
        <v>4.99</v>
      </c>
      <c r="AN75" s="462">
        <v>4</v>
      </c>
      <c r="AO75" s="462">
        <v>4.99</v>
      </c>
      <c r="AP75" s="479"/>
      <c r="AQ75" s="466">
        <v>6.99</v>
      </c>
      <c r="AR75" s="462">
        <v>2</v>
      </c>
      <c r="AS75" s="462">
        <v>2.99</v>
      </c>
      <c r="AT75" s="479"/>
      <c r="AU75" s="479"/>
    </row>
    <row r="76" spans="30:47" ht="15.75" x14ac:dyDescent="0.25">
      <c r="AD76" s="490" t="s">
        <v>551</v>
      </c>
      <c r="AE76" s="426">
        <v>16</v>
      </c>
      <c r="AF76" s="427">
        <v>-1491</v>
      </c>
      <c r="AG76" s="429"/>
      <c r="AH76" s="470"/>
      <c r="AI76" s="470"/>
      <c r="AJ76" s="481">
        <v>1</v>
      </c>
      <c r="AK76" s="462">
        <v>1.99</v>
      </c>
      <c r="AL76" s="482">
        <v>5</v>
      </c>
      <c r="AM76" s="461">
        <v>5.99</v>
      </c>
      <c r="AN76" s="470"/>
      <c r="AO76" s="465">
        <v>2.99</v>
      </c>
      <c r="AP76" s="482" t="s">
        <v>552</v>
      </c>
      <c r="AQ76" s="461">
        <v>5.99</v>
      </c>
      <c r="AR76" s="482">
        <v>4</v>
      </c>
      <c r="AS76" s="461">
        <v>4.99</v>
      </c>
      <c r="AT76" s="470"/>
      <c r="AU76" s="470"/>
    </row>
    <row r="77" spans="30:47" ht="15.75" x14ac:dyDescent="0.25">
      <c r="AD77" s="490" t="s">
        <v>553</v>
      </c>
      <c r="AE77" s="426">
        <v>16</v>
      </c>
      <c r="AF77" s="427">
        <v>336</v>
      </c>
      <c r="AG77" s="429" t="s">
        <v>67</v>
      </c>
      <c r="AH77" s="470"/>
      <c r="AI77" s="465">
        <v>1.99</v>
      </c>
      <c r="AJ77" s="482">
        <v>6</v>
      </c>
      <c r="AK77" s="474">
        <v>6.99</v>
      </c>
      <c r="AL77" s="482">
        <v>5</v>
      </c>
      <c r="AM77" s="461">
        <v>5.99</v>
      </c>
      <c r="AN77" s="482">
        <v>3</v>
      </c>
      <c r="AO77" s="460">
        <v>3.99</v>
      </c>
      <c r="AP77" s="481">
        <v>1</v>
      </c>
      <c r="AQ77" s="462">
        <v>1.99</v>
      </c>
      <c r="AR77" s="481">
        <v>2</v>
      </c>
      <c r="AS77" s="462">
        <v>2.99</v>
      </c>
      <c r="AT77" s="470"/>
      <c r="AU77" s="470"/>
    </row>
    <row r="78" spans="30:47" ht="15.75" x14ac:dyDescent="0.25">
      <c r="AD78" s="490" t="s">
        <v>554</v>
      </c>
      <c r="AE78" s="426">
        <v>16</v>
      </c>
      <c r="AF78" s="427">
        <v>305</v>
      </c>
      <c r="AG78" s="429" t="s">
        <v>67</v>
      </c>
      <c r="AH78" s="470"/>
      <c r="AI78" s="465">
        <v>1.99</v>
      </c>
      <c r="AJ78" s="470"/>
      <c r="AK78" s="465">
        <v>3.99</v>
      </c>
      <c r="AL78" s="470"/>
      <c r="AM78" s="465">
        <v>2.99</v>
      </c>
      <c r="AN78" s="470"/>
      <c r="AO78" s="465">
        <v>2.99</v>
      </c>
      <c r="AP78" s="481">
        <v>3</v>
      </c>
      <c r="AQ78" s="462">
        <v>3.99</v>
      </c>
      <c r="AR78" s="482">
        <v>5</v>
      </c>
      <c r="AS78" s="461">
        <v>5.99</v>
      </c>
      <c r="AT78" s="470"/>
      <c r="AU78" s="470"/>
    </row>
    <row r="79" spans="30:47" ht="15.75" x14ac:dyDescent="0.25">
      <c r="AD79" s="490" t="s">
        <v>555</v>
      </c>
      <c r="AE79" s="426">
        <v>16</v>
      </c>
      <c r="AF79" s="427">
        <v>262</v>
      </c>
      <c r="AG79" s="429"/>
      <c r="AH79" s="470"/>
      <c r="AI79" s="465">
        <v>1.99</v>
      </c>
      <c r="AJ79" s="481">
        <v>1</v>
      </c>
      <c r="AK79" s="462">
        <v>1.99</v>
      </c>
      <c r="AL79" s="482">
        <v>4</v>
      </c>
      <c r="AM79" s="460">
        <v>4.99</v>
      </c>
      <c r="AN79" s="481">
        <v>5</v>
      </c>
      <c r="AO79" s="463">
        <v>5.99</v>
      </c>
      <c r="AP79" s="482">
        <v>6</v>
      </c>
      <c r="AQ79" s="474">
        <v>6.99</v>
      </c>
      <c r="AR79" s="482">
        <v>2</v>
      </c>
      <c r="AS79" s="460">
        <v>2.99</v>
      </c>
      <c r="AT79" s="470"/>
      <c r="AU79" s="470"/>
    </row>
    <row r="80" spans="30:47" ht="15.75" x14ac:dyDescent="0.25">
      <c r="AD80" s="490" t="s">
        <v>556</v>
      </c>
      <c r="AE80" s="426">
        <v>17</v>
      </c>
      <c r="AF80" s="427">
        <v>208</v>
      </c>
      <c r="AG80" s="429"/>
      <c r="AH80" s="470"/>
      <c r="AI80" s="465">
        <v>1.99</v>
      </c>
      <c r="AJ80" s="481">
        <v>2</v>
      </c>
      <c r="AK80" s="462">
        <v>2.99</v>
      </c>
      <c r="AL80" s="483">
        <v>5</v>
      </c>
      <c r="AM80" s="466">
        <v>7</v>
      </c>
      <c r="AN80" s="481">
        <v>3</v>
      </c>
      <c r="AO80" s="462">
        <v>3.99</v>
      </c>
      <c r="AP80" s="483">
        <v>4</v>
      </c>
      <c r="AQ80" s="466">
        <v>6.99</v>
      </c>
      <c r="AR80" s="470"/>
      <c r="AS80" s="465">
        <v>2.99</v>
      </c>
      <c r="AT80" s="470"/>
      <c r="AU80" s="470"/>
    </row>
    <row r="81" spans="30:47" x14ac:dyDescent="0.25">
      <c r="AD81" s="490" t="s">
        <v>557</v>
      </c>
      <c r="AE81" s="426"/>
      <c r="AF81" s="427"/>
      <c r="AG81" s="429"/>
      <c r="AH81" s="484"/>
      <c r="AI81" s="484"/>
      <c r="AJ81" s="484"/>
      <c r="AK81" s="484"/>
      <c r="AL81" s="484"/>
      <c r="AM81" s="484"/>
      <c r="AN81" s="484"/>
      <c r="AO81" s="484"/>
      <c r="AP81" s="484"/>
      <c r="AQ81" s="484"/>
      <c r="AR81" s="484"/>
      <c r="AS81" s="484"/>
      <c r="AT81" s="484"/>
      <c r="AU81" s="484"/>
    </row>
    <row r="82" spans="30:47" x14ac:dyDescent="0.25">
      <c r="AD82" s="490" t="s">
        <v>558</v>
      </c>
      <c r="AE82" s="426"/>
      <c r="AF82" s="427"/>
      <c r="AG82" s="429"/>
      <c r="AH82" s="484"/>
      <c r="AI82" s="484"/>
      <c r="AJ82" s="484"/>
      <c r="AK82" s="484"/>
      <c r="AL82" s="484"/>
      <c r="AM82" s="484"/>
      <c r="AN82" s="484"/>
      <c r="AO82" s="484"/>
      <c r="AP82" s="484"/>
      <c r="AQ82" s="484"/>
      <c r="AR82" s="484"/>
      <c r="AS82" s="484"/>
      <c r="AT82" s="484"/>
      <c r="AU82" s="484"/>
    </row>
    <row r="83" spans="30:47" x14ac:dyDescent="0.25">
      <c r="AD83" s="490" t="s">
        <v>559</v>
      </c>
      <c r="AE83" s="426"/>
      <c r="AF83" s="427"/>
      <c r="AG83" s="429"/>
      <c r="AH83" s="484"/>
      <c r="AI83" s="484"/>
      <c r="AJ83" s="484"/>
      <c r="AK83" s="484"/>
      <c r="AL83" s="484"/>
      <c r="AM83" s="484"/>
      <c r="AN83" s="484"/>
      <c r="AO83" s="484"/>
      <c r="AP83" s="484"/>
      <c r="AQ83" s="484"/>
      <c r="AR83" s="484"/>
      <c r="AS83" s="484"/>
      <c r="AT83" s="484"/>
      <c r="AU83" s="484"/>
    </row>
    <row r="84" spans="30:47" ht="15.75" x14ac:dyDescent="0.25">
      <c r="AD84" s="490" t="s">
        <v>560</v>
      </c>
      <c r="AE84" s="426">
        <v>16</v>
      </c>
      <c r="AF84" s="427">
        <v>146</v>
      </c>
      <c r="AG84" s="429"/>
      <c r="AH84" s="470"/>
      <c r="AI84" s="470"/>
      <c r="AJ84" s="481">
        <v>3</v>
      </c>
      <c r="AK84" s="462">
        <v>3.99</v>
      </c>
      <c r="AL84" s="481">
        <v>5</v>
      </c>
      <c r="AM84" s="463">
        <v>5.99</v>
      </c>
      <c r="AN84" s="481">
        <v>3</v>
      </c>
      <c r="AO84" s="462">
        <v>3.99</v>
      </c>
      <c r="AP84" s="481">
        <v>1</v>
      </c>
      <c r="AQ84" s="462">
        <v>1.99</v>
      </c>
      <c r="AR84" s="470"/>
      <c r="AS84" s="465">
        <v>1.99</v>
      </c>
      <c r="AT84" s="470"/>
      <c r="AU84" s="470"/>
    </row>
    <row r="85" spans="30:47" ht="15.75" x14ac:dyDescent="0.25">
      <c r="AD85" s="490" t="s">
        <v>561</v>
      </c>
      <c r="AE85" s="426">
        <v>16</v>
      </c>
      <c r="AF85" s="427">
        <v>210</v>
      </c>
      <c r="AG85" s="429"/>
      <c r="AH85" s="482">
        <v>6</v>
      </c>
      <c r="AI85" s="474">
        <v>6.99</v>
      </c>
      <c r="AJ85" s="481">
        <v>2.6</v>
      </c>
      <c r="AK85" s="462">
        <v>2.99</v>
      </c>
      <c r="AL85" s="470"/>
      <c r="AM85" s="465">
        <v>3.99</v>
      </c>
      <c r="AN85" s="470"/>
      <c r="AO85" s="465">
        <v>1.99</v>
      </c>
      <c r="AP85" s="470"/>
      <c r="AQ85" s="465">
        <v>0.99</v>
      </c>
      <c r="AR85" s="470"/>
      <c r="AS85" s="465">
        <v>2.99</v>
      </c>
      <c r="AT85" s="470"/>
      <c r="AU85" s="470"/>
    </row>
    <row r="86" spans="30:47" ht="15.75" x14ac:dyDescent="0.25">
      <c r="AD86" s="490" t="s">
        <v>562</v>
      </c>
      <c r="AE86" s="426">
        <v>17</v>
      </c>
      <c r="AF86" s="427">
        <v>384</v>
      </c>
      <c r="AG86" s="429" t="s">
        <v>105</v>
      </c>
      <c r="AH86" s="470"/>
      <c r="AI86" s="465">
        <v>1.99</v>
      </c>
      <c r="AJ86" s="481">
        <v>3</v>
      </c>
      <c r="AK86" s="462">
        <v>3.99</v>
      </c>
      <c r="AL86" s="481">
        <v>5</v>
      </c>
      <c r="AM86" s="463">
        <v>5.99</v>
      </c>
      <c r="AN86" s="481">
        <v>1</v>
      </c>
      <c r="AO86" s="462">
        <v>1.99</v>
      </c>
      <c r="AP86" s="481">
        <v>4</v>
      </c>
      <c r="AQ86" s="462">
        <v>4.99</v>
      </c>
      <c r="AR86" s="482">
        <v>4</v>
      </c>
      <c r="AS86" s="460">
        <v>4.99</v>
      </c>
      <c r="AT86" s="470"/>
      <c r="AU86" s="470"/>
    </row>
    <row r="87" spans="30:47" ht="15.75" x14ac:dyDescent="0.25">
      <c r="AD87" s="490" t="s">
        <v>563</v>
      </c>
      <c r="AE87" s="426">
        <v>17</v>
      </c>
      <c r="AF87" s="427">
        <v>382</v>
      </c>
      <c r="AG87" s="429"/>
      <c r="AH87" s="479"/>
      <c r="AI87" s="465">
        <v>1.99</v>
      </c>
      <c r="AJ87" s="482">
        <v>5</v>
      </c>
      <c r="AK87" s="461">
        <v>5.99</v>
      </c>
      <c r="AL87" s="481">
        <v>4</v>
      </c>
      <c r="AM87" s="462">
        <v>4.99</v>
      </c>
      <c r="AN87" s="483">
        <v>2</v>
      </c>
      <c r="AO87" s="465">
        <v>3.99</v>
      </c>
      <c r="AP87" s="481">
        <v>4</v>
      </c>
      <c r="AQ87" s="462">
        <v>4.99</v>
      </c>
      <c r="AR87" s="479"/>
      <c r="AS87" s="465">
        <v>4.99</v>
      </c>
      <c r="AT87" s="479"/>
      <c r="AU87" s="479"/>
    </row>
    <row r="88" spans="30:47" ht="15.75" x14ac:dyDescent="0.25">
      <c r="AD88" s="490" t="s">
        <v>564</v>
      </c>
      <c r="AE88" s="426">
        <v>18</v>
      </c>
      <c r="AF88" s="427">
        <v>408</v>
      </c>
      <c r="AG88" s="429"/>
      <c r="AH88" s="470"/>
      <c r="AI88" s="465">
        <v>1.99</v>
      </c>
      <c r="AJ88" s="481">
        <v>2</v>
      </c>
      <c r="AK88" s="462">
        <v>2.99</v>
      </c>
      <c r="AL88" s="470"/>
      <c r="AM88" s="465">
        <v>4.99</v>
      </c>
      <c r="AN88" s="470"/>
      <c r="AO88" s="464">
        <v>5.99</v>
      </c>
      <c r="AP88" s="481">
        <v>4</v>
      </c>
      <c r="AQ88" s="462">
        <v>4.99</v>
      </c>
      <c r="AR88" s="481">
        <v>3</v>
      </c>
      <c r="AS88" s="462">
        <v>3.99</v>
      </c>
      <c r="AT88" s="470"/>
      <c r="AU88" s="470"/>
    </row>
    <row r="89" spans="30:47" ht="15.75" x14ac:dyDescent="0.25">
      <c r="AD89" s="490" t="s">
        <v>565</v>
      </c>
      <c r="AE89" s="426">
        <v>18</v>
      </c>
      <c r="AF89" s="427">
        <v>423</v>
      </c>
      <c r="AG89" s="429" t="s">
        <v>94</v>
      </c>
      <c r="AH89" s="479"/>
      <c r="AI89" s="465">
        <v>1.99</v>
      </c>
      <c r="AJ89" s="481">
        <v>2</v>
      </c>
      <c r="AK89" s="462">
        <v>2.99</v>
      </c>
      <c r="AL89" s="482">
        <v>4</v>
      </c>
      <c r="AM89" s="460">
        <v>4.99</v>
      </c>
      <c r="AN89" s="481">
        <v>5</v>
      </c>
      <c r="AO89" s="463">
        <v>5.99</v>
      </c>
      <c r="AP89" s="481">
        <v>3</v>
      </c>
      <c r="AQ89" s="462">
        <v>3.99</v>
      </c>
      <c r="AR89" s="483">
        <v>3</v>
      </c>
      <c r="AS89" s="466">
        <v>7</v>
      </c>
      <c r="AT89" s="479"/>
      <c r="AU89" s="479"/>
    </row>
    <row r="90" spans="30:47" ht="15.75" x14ac:dyDescent="0.25">
      <c r="AD90" s="490" t="s">
        <v>566</v>
      </c>
      <c r="AE90" s="426">
        <v>17</v>
      </c>
      <c r="AF90" s="427">
        <v>408</v>
      </c>
      <c r="AG90" s="429" t="s">
        <v>105</v>
      </c>
      <c r="AH90" s="470"/>
      <c r="AI90" s="465">
        <v>0.99</v>
      </c>
      <c r="AJ90" s="481">
        <v>4</v>
      </c>
      <c r="AK90" s="462">
        <v>4.99</v>
      </c>
      <c r="AL90" s="481">
        <v>2</v>
      </c>
      <c r="AM90" s="462">
        <v>2.99</v>
      </c>
      <c r="AN90" s="483">
        <v>4</v>
      </c>
      <c r="AO90" s="464">
        <v>5.99</v>
      </c>
      <c r="AP90" s="481">
        <v>2</v>
      </c>
      <c r="AQ90" s="462">
        <v>2.99</v>
      </c>
      <c r="AR90" s="481">
        <v>2</v>
      </c>
      <c r="AS90" s="462">
        <v>2.99</v>
      </c>
      <c r="AT90" s="470"/>
      <c r="AU90" s="470"/>
    </row>
    <row r="91" spans="30:47" ht="15.75" x14ac:dyDescent="0.25">
      <c r="AD91" s="490" t="s">
        <v>567</v>
      </c>
      <c r="AE91" s="426">
        <v>17</v>
      </c>
      <c r="AF91" s="427">
        <v>330</v>
      </c>
      <c r="AG91" s="429"/>
      <c r="AH91" s="479"/>
      <c r="AI91" s="479"/>
      <c r="AJ91" s="479"/>
      <c r="AK91" s="465">
        <v>2.99</v>
      </c>
      <c r="AL91" s="481">
        <v>3</v>
      </c>
      <c r="AM91" s="462">
        <v>3.99</v>
      </c>
      <c r="AN91" s="483">
        <v>5</v>
      </c>
      <c r="AO91" s="466">
        <v>6.99</v>
      </c>
      <c r="AP91" s="482">
        <v>4</v>
      </c>
      <c r="AQ91" s="460">
        <v>4.99</v>
      </c>
      <c r="AR91" s="482">
        <v>4</v>
      </c>
      <c r="AS91" s="460">
        <v>4.99</v>
      </c>
      <c r="AT91" s="479"/>
      <c r="AU91" s="479"/>
    </row>
    <row r="92" spans="30:47" ht="15.75" x14ac:dyDescent="0.25">
      <c r="AD92" s="490" t="s">
        <v>568</v>
      </c>
      <c r="AE92" s="426">
        <v>16</v>
      </c>
      <c r="AF92" s="427">
        <v>329</v>
      </c>
      <c r="AG92" s="429"/>
      <c r="AH92" s="479"/>
      <c r="AI92" s="479"/>
      <c r="AJ92" s="482">
        <v>3</v>
      </c>
      <c r="AK92" s="460">
        <v>3.99</v>
      </c>
      <c r="AL92" s="483">
        <v>4</v>
      </c>
      <c r="AM92" s="466">
        <v>6.99</v>
      </c>
      <c r="AN92" s="479"/>
      <c r="AO92" s="465">
        <v>3.99</v>
      </c>
      <c r="AP92" s="482">
        <v>3</v>
      </c>
      <c r="AQ92" s="460">
        <v>3.99</v>
      </c>
      <c r="AR92" s="479"/>
      <c r="AS92" s="465">
        <v>3.99</v>
      </c>
      <c r="AT92" s="479"/>
      <c r="AU92" s="479"/>
    </row>
    <row r="93" spans="30:47" ht="15.75" x14ac:dyDescent="0.25">
      <c r="AD93" s="490" t="s">
        <v>569</v>
      </c>
      <c r="AE93" s="426">
        <v>16</v>
      </c>
      <c r="AF93" s="427">
        <v>331</v>
      </c>
      <c r="AG93" s="429"/>
      <c r="AH93" s="479"/>
      <c r="AI93" s="479"/>
      <c r="AJ93" s="481">
        <v>2</v>
      </c>
      <c r="AK93" s="462">
        <v>2.99</v>
      </c>
      <c r="AL93" s="482">
        <v>4</v>
      </c>
      <c r="AM93" s="460">
        <v>4.99</v>
      </c>
      <c r="AN93" s="481">
        <v>2</v>
      </c>
      <c r="AO93" s="462">
        <v>2.99</v>
      </c>
      <c r="AP93" s="481">
        <v>3</v>
      </c>
      <c r="AQ93" s="462">
        <v>3.99</v>
      </c>
      <c r="AR93" s="483">
        <v>4</v>
      </c>
      <c r="AS93" s="466">
        <v>6.99</v>
      </c>
      <c r="AT93" s="479"/>
      <c r="AU93" s="479"/>
    </row>
    <row r="94" spans="30:47" ht="15.75" x14ac:dyDescent="0.25">
      <c r="AD94" s="490" t="s">
        <v>570</v>
      </c>
      <c r="AE94" s="426">
        <v>16</v>
      </c>
      <c r="AF94" s="427">
        <v>342</v>
      </c>
      <c r="AG94" s="429"/>
      <c r="AH94" s="479"/>
      <c r="AI94" s="479"/>
      <c r="AJ94" s="483">
        <v>4</v>
      </c>
      <c r="AK94" s="466">
        <v>6.99</v>
      </c>
      <c r="AL94" s="481">
        <v>2</v>
      </c>
      <c r="AM94" s="462">
        <v>2.99</v>
      </c>
      <c r="AN94" s="485">
        <v>2</v>
      </c>
      <c r="AO94" s="486">
        <v>2.99</v>
      </c>
      <c r="AP94" s="482">
        <v>5</v>
      </c>
      <c r="AQ94" s="461">
        <v>5.99</v>
      </c>
      <c r="AR94" s="483">
        <v>1</v>
      </c>
      <c r="AS94" s="465">
        <v>2.99</v>
      </c>
      <c r="AT94" s="479"/>
      <c r="AU94" s="465">
        <v>3.99</v>
      </c>
    </row>
    <row r="95" spans="30:47" ht="15.75" x14ac:dyDescent="0.25">
      <c r="AD95" s="490" t="s">
        <v>571</v>
      </c>
      <c r="AE95" s="426">
        <v>16</v>
      </c>
      <c r="AF95" s="427">
        <v>373</v>
      </c>
      <c r="AG95" s="429"/>
      <c r="AH95" s="470"/>
      <c r="AI95" s="470"/>
      <c r="AJ95" s="482">
        <v>5</v>
      </c>
      <c r="AK95" s="461">
        <v>5.99</v>
      </c>
      <c r="AL95" s="481">
        <v>5</v>
      </c>
      <c r="AM95" s="463">
        <v>5.99</v>
      </c>
      <c r="AN95" s="470"/>
      <c r="AO95" s="465">
        <v>4.99</v>
      </c>
      <c r="AP95" s="470"/>
      <c r="AQ95" s="465">
        <v>4.99</v>
      </c>
      <c r="AR95" s="470"/>
      <c r="AS95" s="465">
        <v>4.99</v>
      </c>
      <c r="AT95" s="470"/>
      <c r="AU95" s="470"/>
    </row>
    <row r="96" spans="30:47" ht="15.75" x14ac:dyDescent="0.25">
      <c r="AD96" s="490" t="s">
        <v>572</v>
      </c>
      <c r="AE96" s="426">
        <v>16</v>
      </c>
      <c r="AF96" s="427">
        <v>390</v>
      </c>
      <c r="AG96" s="429" t="s">
        <v>67</v>
      </c>
      <c r="AH96" s="470"/>
      <c r="AI96" s="470"/>
      <c r="AJ96" s="481">
        <v>1</v>
      </c>
      <c r="AK96" s="462">
        <v>1.99</v>
      </c>
      <c r="AL96" s="481">
        <v>6</v>
      </c>
      <c r="AM96" s="467">
        <v>6.99</v>
      </c>
      <c r="AN96" s="482">
        <v>2</v>
      </c>
      <c r="AO96" s="460">
        <v>2.99</v>
      </c>
      <c r="AP96" s="481">
        <v>5</v>
      </c>
      <c r="AQ96" s="463">
        <v>5.99</v>
      </c>
      <c r="AR96" s="482">
        <v>4</v>
      </c>
      <c r="AS96" s="460">
        <v>4.99</v>
      </c>
      <c r="AT96" s="470"/>
      <c r="AU96" s="465">
        <v>3.99</v>
      </c>
    </row>
    <row r="97" spans="30:47" ht="15.75" x14ac:dyDescent="0.25">
      <c r="AD97" s="490" t="s">
        <v>573</v>
      </c>
      <c r="AE97" s="426">
        <v>16</v>
      </c>
      <c r="AF97" s="427">
        <v>262</v>
      </c>
      <c r="AG97" s="429"/>
      <c r="AH97" s="470"/>
      <c r="AI97" s="470"/>
      <c r="AJ97" s="482">
        <v>6</v>
      </c>
      <c r="AK97" s="474">
        <v>6.99</v>
      </c>
      <c r="AL97" s="485">
        <v>3</v>
      </c>
      <c r="AM97" s="460">
        <v>3.99</v>
      </c>
      <c r="AN97" s="482">
        <v>5</v>
      </c>
      <c r="AO97" s="461">
        <v>5.99</v>
      </c>
      <c r="AP97" s="470"/>
      <c r="AQ97" s="465">
        <v>2.99</v>
      </c>
      <c r="AR97" s="483">
        <v>3</v>
      </c>
      <c r="AS97" s="465">
        <v>4.99</v>
      </c>
      <c r="AT97" s="470"/>
      <c r="AU97" s="470"/>
    </row>
    <row r="98" spans="30:47" ht="15.75" x14ac:dyDescent="0.25">
      <c r="AD98" s="490" t="s">
        <v>574</v>
      </c>
      <c r="AE98" s="426">
        <v>16</v>
      </c>
      <c r="AF98" s="427">
        <v>240</v>
      </c>
      <c r="AG98" s="429" t="s">
        <v>67</v>
      </c>
      <c r="AH98" s="470"/>
      <c r="AI98" s="470"/>
      <c r="AJ98" s="470"/>
      <c r="AK98" s="465">
        <v>2.99</v>
      </c>
      <c r="AL98" s="482">
        <v>5</v>
      </c>
      <c r="AM98" s="461">
        <v>5.99</v>
      </c>
      <c r="AN98" s="481">
        <v>2</v>
      </c>
      <c r="AO98" s="462">
        <v>2.99</v>
      </c>
      <c r="AP98" s="481">
        <v>3</v>
      </c>
      <c r="AQ98" s="462">
        <v>3.99</v>
      </c>
      <c r="AR98" s="483">
        <v>3</v>
      </c>
      <c r="AS98" s="465">
        <v>4.99</v>
      </c>
      <c r="AT98" s="470"/>
      <c r="AU98" s="470"/>
    </row>
    <row r="99" spans="30:47" ht="15.75" x14ac:dyDescent="0.25">
      <c r="AD99" s="490" t="s">
        <v>575</v>
      </c>
      <c r="AE99" s="426">
        <v>16</v>
      </c>
      <c r="AF99" s="427">
        <v>255</v>
      </c>
      <c r="AG99" s="429"/>
      <c r="AH99" s="470"/>
      <c r="AI99" s="465">
        <v>0.99</v>
      </c>
      <c r="AJ99" s="481">
        <v>2</v>
      </c>
      <c r="AK99" s="462">
        <v>2.99</v>
      </c>
      <c r="AL99" s="483">
        <v>5</v>
      </c>
      <c r="AM99" s="466">
        <v>6.99</v>
      </c>
      <c r="AN99" s="485">
        <v>2</v>
      </c>
      <c r="AO99" s="486">
        <v>2.99</v>
      </c>
      <c r="AP99" s="481">
        <v>2</v>
      </c>
      <c r="AQ99" s="462">
        <v>2.99</v>
      </c>
      <c r="AR99" s="481">
        <v>2</v>
      </c>
      <c r="AS99" s="462">
        <v>2.99</v>
      </c>
      <c r="AT99" s="470"/>
      <c r="AU99" s="470"/>
    </row>
    <row r="100" spans="30:47" ht="15.75" x14ac:dyDescent="0.25">
      <c r="AD100" s="490" t="s">
        <v>576</v>
      </c>
      <c r="AE100" s="421">
        <v>18</v>
      </c>
      <c r="AF100" s="422">
        <v>238</v>
      </c>
      <c r="AG100" s="423" t="s">
        <v>94</v>
      </c>
      <c r="AH100" s="479"/>
      <c r="AI100" s="465">
        <v>1.99</v>
      </c>
      <c r="AJ100" s="482">
        <v>4</v>
      </c>
      <c r="AK100" s="460">
        <v>4.99</v>
      </c>
      <c r="AL100" s="481">
        <v>2</v>
      </c>
      <c r="AM100" s="462">
        <v>2.99</v>
      </c>
      <c r="AN100" s="481">
        <v>3</v>
      </c>
      <c r="AO100" s="462">
        <v>3.99</v>
      </c>
      <c r="AP100" s="481">
        <v>1</v>
      </c>
      <c r="AQ100" s="462">
        <v>1.99</v>
      </c>
      <c r="AR100" s="483">
        <v>4</v>
      </c>
      <c r="AS100" s="466">
        <v>6.99</v>
      </c>
      <c r="AT100" s="479"/>
      <c r="AU100" s="479"/>
    </row>
    <row r="101" spans="30:47" ht="15.75" x14ac:dyDescent="0.25">
      <c r="AD101" s="490" t="s">
        <v>577</v>
      </c>
      <c r="AE101" s="426">
        <v>17</v>
      </c>
      <c r="AF101" s="427">
        <v>105</v>
      </c>
      <c r="AG101" s="429" t="s">
        <v>94</v>
      </c>
      <c r="AH101" s="470"/>
      <c r="AI101" s="465">
        <v>1.99</v>
      </c>
      <c r="AJ101" s="481">
        <v>3</v>
      </c>
      <c r="AK101" s="462">
        <v>3.99</v>
      </c>
      <c r="AL101" s="482">
        <v>5</v>
      </c>
      <c r="AM101" s="461">
        <v>5.99</v>
      </c>
      <c r="AN101" s="481">
        <v>4</v>
      </c>
      <c r="AO101" s="462">
        <v>4.99</v>
      </c>
      <c r="AP101" s="481">
        <v>4</v>
      </c>
      <c r="AQ101" s="462">
        <v>4.99</v>
      </c>
      <c r="AR101" s="470"/>
      <c r="AS101" s="465">
        <v>2.99</v>
      </c>
      <c r="AT101" s="470"/>
      <c r="AU101" s="470"/>
    </row>
    <row r="102" spans="30:47" ht="15.75" x14ac:dyDescent="0.25">
      <c r="AD102" s="490" t="s">
        <v>578</v>
      </c>
      <c r="AE102" s="426">
        <v>17</v>
      </c>
      <c r="AF102" s="427">
        <v>181</v>
      </c>
      <c r="AG102" s="429" t="s">
        <v>105</v>
      </c>
      <c r="AH102" s="470"/>
      <c r="AI102" s="470"/>
      <c r="AJ102" s="482">
        <v>5</v>
      </c>
      <c r="AK102" s="461">
        <v>5.99</v>
      </c>
      <c r="AL102" s="482">
        <v>4</v>
      </c>
      <c r="AM102" s="460">
        <v>4.99</v>
      </c>
      <c r="AN102" s="470"/>
      <c r="AO102" s="464">
        <v>5.99</v>
      </c>
      <c r="AP102" s="481">
        <v>3</v>
      </c>
      <c r="AQ102" s="462">
        <v>3.99</v>
      </c>
      <c r="AR102" s="470"/>
      <c r="AS102" s="465">
        <v>2.99</v>
      </c>
      <c r="AT102" s="470"/>
      <c r="AU102" s="470"/>
    </row>
    <row r="103" spans="30:47" ht="15.75" x14ac:dyDescent="0.25">
      <c r="AD103" s="490" t="s">
        <v>579</v>
      </c>
      <c r="AE103" s="426">
        <v>17</v>
      </c>
      <c r="AF103" s="427">
        <v>34</v>
      </c>
      <c r="AG103" s="429" t="s">
        <v>220</v>
      </c>
      <c r="AH103" s="479"/>
      <c r="AI103" s="465">
        <v>0.99</v>
      </c>
      <c r="AJ103" s="481">
        <v>5</v>
      </c>
      <c r="AK103" s="463">
        <v>5.99</v>
      </c>
      <c r="AL103" s="483">
        <v>4</v>
      </c>
      <c r="AM103" s="464">
        <v>5.99</v>
      </c>
      <c r="AN103" s="487">
        <v>6</v>
      </c>
      <c r="AO103" s="488">
        <v>6.99</v>
      </c>
      <c r="AP103" s="479"/>
      <c r="AQ103" s="465">
        <v>2.99</v>
      </c>
      <c r="AR103" s="487">
        <v>5</v>
      </c>
      <c r="AS103" s="489">
        <v>5.99</v>
      </c>
      <c r="AT103" s="479"/>
      <c r="AU103" s="479"/>
    </row>
    <row r="104" spans="30:47" ht="15.75" x14ac:dyDescent="0.25">
      <c r="AD104" s="624" t="s">
        <v>467</v>
      </c>
      <c r="AE104" s="428">
        <v>17</v>
      </c>
      <c r="AF104" s="427">
        <v>51</v>
      </c>
      <c r="AG104" s="429" t="s">
        <v>67</v>
      </c>
      <c r="AH104" s="470"/>
      <c r="AI104" s="470"/>
      <c r="AJ104" s="481">
        <v>5</v>
      </c>
      <c r="AK104" s="463">
        <v>5.99</v>
      </c>
      <c r="AL104" s="482">
        <v>4</v>
      </c>
      <c r="AM104" s="460">
        <v>4.99</v>
      </c>
      <c r="AN104" s="470"/>
      <c r="AO104" s="465">
        <v>2.99</v>
      </c>
      <c r="AP104" s="470"/>
      <c r="AQ104" s="465">
        <v>3.99</v>
      </c>
      <c r="AR104" s="485">
        <v>3</v>
      </c>
      <c r="AS104" s="486">
        <v>3.99</v>
      </c>
      <c r="AT104" s="470"/>
      <c r="AU104" s="470"/>
    </row>
    <row r="105" spans="30:47" ht="15.75" x14ac:dyDescent="0.25">
      <c r="AD105" s="624" t="s">
        <v>470</v>
      </c>
      <c r="AE105" s="428">
        <v>18</v>
      </c>
      <c r="AF105" s="427">
        <v>26</v>
      </c>
      <c r="AG105" s="429"/>
      <c r="AH105" s="470"/>
      <c r="AI105" s="465">
        <v>0.99</v>
      </c>
      <c r="AJ105" s="487">
        <v>6</v>
      </c>
      <c r="AK105" s="488">
        <v>6.99</v>
      </c>
      <c r="AL105" s="482">
        <v>4</v>
      </c>
      <c r="AM105" s="460">
        <v>4.99</v>
      </c>
      <c r="AN105" s="470"/>
      <c r="AO105" s="465">
        <v>3.99</v>
      </c>
      <c r="AP105" s="470"/>
      <c r="AQ105" s="465">
        <v>2.99</v>
      </c>
      <c r="AR105" s="470"/>
      <c r="AS105" s="465">
        <v>2.99</v>
      </c>
      <c r="AT105" s="470"/>
      <c r="AU105" s="470"/>
    </row>
    <row r="106" spans="30:47" x14ac:dyDescent="0.25">
      <c r="AD106" s="624" t="s">
        <v>458</v>
      </c>
      <c r="AE106" s="428">
        <v>17</v>
      </c>
      <c r="AF106" s="427">
        <v>43</v>
      </c>
      <c r="AG106" s="429" t="s">
        <v>94</v>
      </c>
      <c r="AH106" s="3"/>
      <c r="AI106" s="3"/>
      <c r="AJ106" s="643">
        <v>6</v>
      </c>
      <c r="AK106" s="644">
        <v>6.99</v>
      </c>
      <c r="AL106" s="645">
        <v>5</v>
      </c>
      <c r="AM106" s="646">
        <v>5.99</v>
      </c>
      <c r="AN106" s="643">
        <v>6</v>
      </c>
      <c r="AO106" s="644">
        <v>6.99</v>
      </c>
      <c r="AP106" s="645">
        <v>2</v>
      </c>
      <c r="AQ106" s="647">
        <v>2.99</v>
      </c>
      <c r="AR106" s="648">
        <v>3</v>
      </c>
      <c r="AS106" s="455">
        <v>3.99</v>
      </c>
      <c r="AT106" s="470"/>
      <c r="AU106" s="470"/>
    </row>
    <row r="107" spans="30:47" ht="15.75" x14ac:dyDescent="0.25">
      <c r="AD107" s="442" t="s">
        <v>483</v>
      </c>
      <c r="AE107" s="428">
        <v>17</v>
      </c>
      <c r="AF107" s="427">
        <v>58</v>
      </c>
      <c r="AG107" s="391"/>
      <c r="AH107" s="470"/>
      <c r="AI107" s="470"/>
      <c r="AJ107" s="487">
        <v>6</v>
      </c>
      <c r="AK107" s="488">
        <v>6.99</v>
      </c>
      <c r="AL107" s="484"/>
      <c r="AM107" s="465">
        <v>2.99</v>
      </c>
      <c r="AN107" s="470"/>
      <c r="AO107" s="465">
        <v>1.99</v>
      </c>
      <c r="AP107" s="483">
        <v>2</v>
      </c>
      <c r="AQ107" s="465">
        <v>2.99</v>
      </c>
      <c r="AR107" s="470"/>
      <c r="AS107" s="466">
        <v>6.99</v>
      </c>
      <c r="AT107" s="470"/>
      <c r="AU107" s="465">
        <v>2.99</v>
      </c>
    </row>
    <row r="108" spans="30:47" ht="15.75" x14ac:dyDescent="0.25">
      <c r="AD108" s="440" t="s">
        <v>468</v>
      </c>
      <c r="AE108" s="428">
        <v>17</v>
      </c>
      <c r="AF108" s="427">
        <v>68</v>
      </c>
      <c r="AG108" s="429"/>
      <c r="AH108" s="470"/>
      <c r="AI108" s="465">
        <v>1.99</v>
      </c>
      <c r="AJ108" s="481">
        <v>1</v>
      </c>
      <c r="AK108" s="462">
        <v>1.99</v>
      </c>
      <c r="AL108" s="481">
        <v>4</v>
      </c>
      <c r="AM108" s="462">
        <v>4.99</v>
      </c>
      <c r="AN108" s="653">
        <v>5</v>
      </c>
      <c r="AO108" s="654">
        <v>5.99</v>
      </c>
      <c r="AP108" s="653">
        <v>3</v>
      </c>
      <c r="AQ108" s="655">
        <v>3.99</v>
      </c>
      <c r="AR108" s="483">
        <v>3</v>
      </c>
      <c r="AS108" s="466">
        <v>6.99</v>
      </c>
      <c r="AT108" s="470"/>
      <c r="AU108" s="470"/>
    </row>
    <row r="109" spans="30:47" ht="15.75" x14ac:dyDescent="0.25">
      <c r="AD109" s="440" t="s">
        <v>466</v>
      </c>
      <c r="AE109" s="426">
        <v>17</v>
      </c>
      <c r="AF109" s="427">
        <f ca="1">37+$A$33-$A$32</f>
        <v>106</v>
      </c>
      <c r="AG109" s="429"/>
      <c r="AH109" s="479"/>
      <c r="AI109" s="479"/>
      <c r="AJ109" s="487">
        <v>6</v>
      </c>
      <c r="AK109" s="488">
        <v>6.99</v>
      </c>
      <c r="AL109" s="483">
        <v>4</v>
      </c>
      <c r="AM109" s="466">
        <v>6.99</v>
      </c>
      <c r="AN109" s="657">
        <v>4</v>
      </c>
      <c r="AO109" s="658">
        <v>4.99</v>
      </c>
      <c r="AP109" s="481">
        <v>2</v>
      </c>
      <c r="AQ109" s="462">
        <v>2.99</v>
      </c>
      <c r="AR109" s="487">
        <v>4</v>
      </c>
      <c r="AS109" s="659">
        <v>4.99</v>
      </c>
      <c r="AT109" s="479"/>
      <c r="AU109" s="479"/>
    </row>
  </sheetData>
  <mergeCells count="7">
    <mergeCell ref="A13:E13"/>
    <mergeCell ref="AD3:AG3"/>
    <mergeCell ref="AH3:AU3"/>
    <mergeCell ref="AD1:AG1"/>
    <mergeCell ref="A1:E1"/>
    <mergeCell ref="A3:E3"/>
    <mergeCell ref="A9:E9"/>
  </mergeCells>
  <conditionalFormatting sqref="E26:E29 E6:E8 E16:E20">
    <cfRule type="cellIs" dxfId="68" priority="39" operator="between">
      <formula>1</formula>
      <formula>50</formula>
    </cfRule>
    <cfRule type="cellIs" dxfId="67" priority="40" operator="greaterThan">
      <formula>50</formula>
    </cfRule>
    <cfRule type="cellIs" dxfId="66" priority="41" operator="lessThan">
      <formula>1</formula>
    </cfRule>
  </conditionalFormatting>
  <conditionalFormatting sqref="E20">
    <cfRule type="cellIs" dxfId="65" priority="35" operator="between">
      <formula>1</formula>
      <formula>50</formula>
    </cfRule>
    <cfRule type="cellIs" dxfId="64" priority="36" operator="greaterThan">
      <formula>50</formula>
    </cfRule>
    <cfRule type="cellIs" dxfId="63" priority="37" operator="lessThan">
      <formula>1</formula>
    </cfRule>
  </conditionalFormatting>
  <conditionalFormatting sqref="W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ellIs" dxfId="62" priority="27" operator="between">
      <formula>1</formula>
      <formula>50</formula>
    </cfRule>
    <cfRule type="cellIs" dxfId="61" priority="28" operator="greaterThan">
      <formula>50</formula>
    </cfRule>
    <cfRule type="cellIs" dxfId="60" priority="29" operator="lessThan">
      <formula>1</formula>
    </cfRule>
  </conditionalFormatting>
  <conditionalFormatting sqref="E21">
    <cfRule type="cellIs" dxfId="59" priority="24" operator="between">
      <formula>1</formula>
      <formula>50</formula>
    </cfRule>
    <cfRule type="cellIs" dxfId="58" priority="25" operator="greaterThan">
      <formula>50</formula>
    </cfRule>
    <cfRule type="cellIs" dxfId="57" priority="26" operator="lessThan">
      <formula>1</formula>
    </cfRule>
  </conditionalFormatting>
  <conditionalFormatting sqref="E22">
    <cfRule type="cellIs" dxfId="56" priority="21" operator="between">
      <formula>1</formula>
      <formula>50</formula>
    </cfRule>
    <cfRule type="cellIs" dxfId="55" priority="22" operator="greaterThan">
      <formula>50</formula>
    </cfRule>
    <cfRule type="cellIs" dxfId="54" priority="23" operator="lessThan">
      <formula>1</formula>
    </cfRule>
  </conditionalFormatting>
  <conditionalFormatting sqref="E23">
    <cfRule type="cellIs" dxfId="53" priority="18" operator="between">
      <formula>1</formula>
      <formula>50</formula>
    </cfRule>
    <cfRule type="cellIs" dxfId="52" priority="19" operator="greaterThan">
      <formula>50</formula>
    </cfRule>
    <cfRule type="cellIs" dxfId="51" priority="20" operator="lessThan">
      <formula>1</formula>
    </cfRule>
  </conditionalFormatting>
  <conditionalFormatting sqref="E24">
    <cfRule type="cellIs" dxfId="50" priority="15" operator="between">
      <formula>1</formula>
      <formula>50</formula>
    </cfRule>
    <cfRule type="cellIs" dxfId="49" priority="16" operator="greaterThan">
      <formula>50</formula>
    </cfRule>
    <cfRule type="cellIs" dxfId="48" priority="17" operator="lessThan">
      <formula>1</formula>
    </cfRule>
  </conditionalFormatting>
  <conditionalFormatting sqref="E25">
    <cfRule type="cellIs" dxfId="47" priority="12" operator="between">
      <formula>1</formula>
      <formula>50</formula>
    </cfRule>
    <cfRule type="cellIs" dxfId="46" priority="13" operator="greaterThan">
      <formula>50</formula>
    </cfRule>
    <cfRule type="cellIs" dxfId="45" priority="14" operator="lessThan">
      <formula>1</formula>
    </cfRule>
  </conditionalFormatting>
  <conditionalFormatting sqref="E12">
    <cfRule type="cellIs" dxfId="44" priority="4" operator="between">
      <formula>1</formula>
      <formula>50</formula>
    </cfRule>
    <cfRule type="cellIs" dxfId="43" priority="5" operator="greaterThan">
      <formula>50</formula>
    </cfRule>
    <cfRule type="cellIs" dxfId="42" priority="6" operator="lessThan">
      <formula>1</formula>
    </cfRule>
  </conditionalFormatting>
  <conditionalFormatting sqref="E12">
    <cfRule type="cellIs" dxfId="41" priority="1" operator="between">
      <formula>1</formula>
      <formula>50</formula>
    </cfRule>
    <cfRule type="cellIs" dxfId="40" priority="2" operator="greaterThan">
      <formula>50</formula>
    </cfRule>
    <cfRule type="cellIs" dxfId="39" priority="3" operator="lessThan">
      <formula>1</formula>
    </cfRule>
  </conditionalFormatting>
  <conditionalFormatting sqref="W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9 W16:W19 W6:W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X11" sqref="X1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10304</v>
      </c>
      <c r="O2" s="51">
        <f>SUM(O4:O17)</f>
        <v>10974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  <c r="AI3" s="2" t="s">
        <v>429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33</v>
      </c>
      <c r="AI4" t="s">
        <v>430</v>
      </c>
    </row>
    <row r="5" spans="1:35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431</v>
      </c>
    </row>
    <row r="6" spans="1:35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432</v>
      </c>
    </row>
    <row r="7" spans="1:35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50</v>
      </c>
      <c r="AI7" t="s">
        <v>433</v>
      </c>
    </row>
    <row r="8" spans="1:35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3.125</v>
      </c>
    </row>
    <row r="9" spans="1:35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9.4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8.1999999999999993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10.166666666666666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10.166666666666666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8.25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9.6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11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 t="str">
        <f t="shared" si="53"/>
        <v>CAB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 t="str">
        <f t="shared" si="22"/>
        <v>CAB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440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440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workbookViewId="0">
      <selection activeCell="H19" sqref="H19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6"/>
      <c r="N2" s="51">
        <f>SUM(N4:N17)</f>
        <v>10304</v>
      </c>
      <c r="O2" s="51">
        <f>SUM(O4:O17)</f>
        <v>10974</v>
      </c>
      <c r="R2" s="656"/>
      <c r="AC2" s="51">
        <f>SUM(AC4:AC17)</f>
        <v>10304</v>
      </c>
      <c r="AD2" s="51">
        <f>SUM(AD4:AD17)</f>
        <v>12364.8</v>
      </c>
    </row>
    <row r="3" spans="1:33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24</v>
      </c>
    </row>
    <row r="5" spans="1:33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3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3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3"/>
        <v>0</v>
      </c>
      <c r="AF7" s="328" t="s">
        <v>246</v>
      </c>
      <c r="AG7">
        <f>AG5+AG4+AG3+AG6</f>
        <v>24</v>
      </c>
    </row>
    <row r="8" spans="1:33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3"/>
        <v>0</v>
      </c>
      <c r="AF8" s="328" t="s">
        <v>60</v>
      </c>
      <c r="AG8" s="83">
        <f>AG7/16</f>
        <v>1.5</v>
      </c>
    </row>
    <row r="9" spans="1:33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1"/>
        <v>0</v>
      </c>
      <c r="W9" s="331">
        <f t="shared" si="1"/>
        <v>2</v>
      </c>
      <c r="X9" s="331">
        <f t="shared" si="1"/>
        <v>2</v>
      </c>
      <c r="Y9" s="331">
        <f t="shared" si="1"/>
        <v>2</v>
      </c>
      <c r="Z9" s="331">
        <f t="shared" si="1"/>
        <v>2</v>
      </c>
      <c r="AA9" s="331">
        <f t="shared" si="1"/>
        <v>2</v>
      </c>
      <c r="AB9" s="331">
        <f t="shared" si="1"/>
        <v>2</v>
      </c>
      <c r="AC9" s="115">
        <f>N9</f>
        <v>0</v>
      </c>
      <c r="AD9" s="51">
        <f t="shared" si="3"/>
        <v>0</v>
      </c>
    </row>
    <row r="10" spans="1:33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9.4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E10+2</f>
        <v>20</v>
      </c>
      <c r="U10" s="134">
        <f>F10+$AG$7*7-112-112</f>
        <v>8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 t="shared" ref="AC10:AC15" si="4">N10</f>
        <v>1884</v>
      </c>
      <c r="AD10" s="51">
        <f t="shared" ref="AD10:AD15" si="5">AC10*1.2</f>
        <v>2260.7999999999997</v>
      </c>
    </row>
    <row r="11" spans="1:33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8.1999999999999993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6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E11+1</f>
        <v>19</v>
      </c>
      <c r="U11" s="134">
        <f>F11+$AG$7*7-112</f>
        <v>63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 t="shared" si="4"/>
        <v>1490</v>
      </c>
      <c r="AD11" s="51">
        <f t="shared" si="5"/>
        <v>1788</v>
      </c>
    </row>
    <row r="12" spans="1:33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10.166666666666666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6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7">E12+2</f>
        <v>20</v>
      </c>
      <c r="U12" s="134">
        <f t="shared" ref="U12:U13" si="8">F12+$AG$7*7-112-112</f>
        <v>24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 t="shared" si="4"/>
        <v>2436</v>
      </c>
      <c r="AD12" s="51">
        <f t="shared" si="5"/>
        <v>2923.2</v>
      </c>
    </row>
    <row r="13" spans="1:33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10.166666666666666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6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7"/>
        <v>20</v>
      </c>
      <c r="U13" s="134">
        <f t="shared" si="8"/>
        <v>24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 t="shared" si="4"/>
        <v>2604</v>
      </c>
      <c r="AD13" s="51">
        <f t="shared" si="5"/>
        <v>3124.7999999999997</v>
      </c>
    </row>
    <row r="14" spans="1:33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8.25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6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f t="shared" ref="T14" si="9">E14+2</f>
        <v>20</v>
      </c>
      <c r="U14" s="134">
        <f t="shared" ref="U14" si="10">F14+$AG$7*7-112-112</f>
        <v>10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 t="shared" si="4"/>
        <v>1020</v>
      </c>
      <c r="AD14" s="51">
        <f t="shared" si="5"/>
        <v>1224</v>
      </c>
    </row>
    <row r="15" spans="1:33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9.6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6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E15+1</f>
        <v>20</v>
      </c>
      <c r="U15" s="134">
        <f>F15+$AG$7*7-112</f>
        <v>65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 t="shared" si="4"/>
        <v>870</v>
      </c>
      <c r="AD15" s="51">
        <f t="shared" si="5"/>
        <v>1044</v>
      </c>
    </row>
    <row r="16" spans="1:33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3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3"/>
        <v>0</v>
      </c>
    </row>
    <row r="19" spans="1:33" x14ac:dyDescent="0.25">
      <c r="B19" s="656"/>
      <c r="N19" s="51">
        <f>SUM(N21:N34)</f>
        <v>34315.94</v>
      </c>
      <c r="O19" s="51">
        <f>SUM(O21:O34)</f>
        <v>40879.128000000004</v>
      </c>
      <c r="R19" s="656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31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671</v>
      </c>
      <c r="D21" s="134"/>
      <c r="E21" s="134">
        <v>17</v>
      </c>
      <c r="F21" s="134">
        <v>0</v>
      </c>
      <c r="G21" s="331">
        <v>6</v>
      </c>
      <c r="H21" s="331">
        <v>4</v>
      </c>
      <c r="I21" s="331">
        <v>0</v>
      </c>
      <c r="J21" s="331">
        <f t="shared" ref="J21:O34" si="11">Y4</f>
        <v>0</v>
      </c>
      <c r="K21" s="331">
        <f t="shared" si="11"/>
        <v>0</v>
      </c>
      <c r="L21" s="331">
        <f t="shared" si="11"/>
        <v>0</v>
      </c>
      <c r="M21" s="331">
        <v>4</v>
      </c>
      <c r="N21" s="115">
        <v>1500</v>
      </c>
      <c r="O21" s="115">
        <f>N21</f>
        <v>1500</v>
      </c>
      <c r="Q21" s="329" t="s">
        <v>170</v>
      </c>
      <c r="R21" s="330" t="str">
        <f t="shared" ref="R21:R32" si="12">B21</f>
        <v>POR</v>
      </c>
      <c r="S21" s="134"/>
      <c r="T21" s="134">
        <f>E21+3</f>
        <v>20</v>
      </c>
      <c r="U21" s="134">
        <f>F21+$AG$24*7-112-112-112</f>
        <v>42</v>
      </c>
      <c r="V21" s="331">
        <f>G21</f>
        <v>6</v>
      </c>
      <c r="W21" s="331">
        <v>10</v>
      </c>
      <c r="X21" s="331">
        <f t="shared" ref="W21:AA34" si="13">I21</f>
        <v>0</v>
      </c>
      <c r="Y21" s="331">
        <f t="shared" si="13"/>
        <v>0</v>
      </c>
      <c r="Z21" s="331">
        <f t="shared" si="13"/>
        <v>0</v>
      </c>
      <c r="AA21" s="331">
        <f t="shared" si="13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14">A5</f>
        <v>#2</v>
      </c>
      <c r="B22" s="330" t="str">
        <f t="shared" si="14"/>
        <v>DEF</v>
      </c>
      <c r="C22" s="134" t="s">
        <v>66</v>
      </c>
      <c r="D22" s="134" t="s">
        <v>672</v>
      </c>
      <c r="E22" s="134">
        <v>20</v>
      </c>
      <c r="F22" s="134">
        <v>8</v>
      </c>
      <c r="G22" s="331">
        <f t="shared" ref="G22:I32" si="15">V5</f>
        <v>0</v>
      </c>
      <c r="H22" s="331">
        <v>12</v>
      </c>
      <c r="I22" s="331">
        <v>7</v>
      </c>
      <c r="J22" s="331">
        <f t="shared" si="11"/>
        <v>2</v>
      </c>
      <c r="K22" s="331">
        <f t="shared" si="11"/>
        <v>2</v>
      </c>
      <c r="L22" s="331">
        <v>5</v>
      </c>
      <c r="M22" s="331">
        <v>3</v>
      </c>
      <c r="N22" s="115">
        <f>(7010+255+150)*1.012</f>
        <v>7503.9800000000005</v>
      </c>
      <c r="O22" s="115">
        <f t="shared" ref="O22:O24" si="16">N22*1.2</f>
        <v>9004.7759999999998</v>
      </c>
      <c r="Q22" s="329" t="s">
        <v>222</v>
      </c>
      <c r="R22" s="330" t="str">
        <f t="shared" si="12"/>
        <v>DEF</v>
      </c>
      <c r="S22" s="134" t="str">
        <f t="shared" ref="S22:S32" si="17">D22</f>
        <v>CAB/IMP</v>
      </c>
      <c r="T22" s="134">
        <f>E22+3</f>
        <v>23</v>
      </c>
      <c r="U22" s="134">
        <f>F22+$AG$24*7-112-112-112</f>
        <v>50</v>
      </c>
      <c r="V22" s="331">
        <f t="shared" ref="V22:V34" si="18">G22</f>
        <v>0</v>
      </c>
      <c r="W22" s="331">
        <f>14+8/15</f>
        <v>14.533333333333333</v>
      </c>
      <c r="X22" s="331">
        <f t="shared" si="13"/>
        <v>7</v>
      </c>
      <c r="Y22" s="331">
        <f t="shared" si="13"/>
        <v>2</v>
      </c>
      <c r="Z22" s="331">
        <f t="shared" si="13"/>
        <v>2</v>
      </c>
      <c r="AA22" s="331">
        <f t="shared" si="13"/>
        <v>5</v>
      </c>
      <c r="AB22" s="331">
        <v>15</v>
      </c>
      <c r="AC22" s="115">
        <f>(18370+135+245)*1.04</f>
        <v>19500</v>
      </c>
      <c r="AD22" s="51">
        <f t="shared" ref="AD22:AD34" si="19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14"/>
        <v>#3</v>
      </c>
      <c r="B23" s="330" t="str">
        <f t="shared" si="14"/>
        <v>DEF</v>
      </c>
      <c r="C23" s="134" t="s">
        <v>66</v>
      </c>
      <c r="D23" s="134" t="s">
        <v>672</v>
      </c>
      <c r="E23" s="134">
        <v>20</v>
      </c>
      <c r="F23" s="134">
        <v>8</v>
      </c>
      <c r="G23" s="331">
        <f t="shared" si="15"/>
        <v>0</v>
      </c>
      <c r="H23" s="331">
        <v>12</v>
      </c>
      <c r="I23" s="331">
        <v>7</v>
      </c>
      <c r="J23" s="331">
        <f t="shared" si="11"/>
        <v>2</v>
      </c>
      <c r="K23" s="331">
        <f t="shared" si="11"/>
        <v>2</v>
      </c>
      <c r="L23" s="331">
        <v>5</v>
      </c>
      <c r="M23" s="331">
        <v>3</v>
      </c>
      <c r="N23" s="115">
        <f t="shared" ref="N23:N24" si="20">(7010+255+150)*1.012</f>
        <v>7503.9800000000005</v>
      </c>
      <c r="O23" s="115">
        <f t="shared" si="16"/>
        <v>9004.7759999999998</v>
      </c>
      <c r="Q23" s="329" t="s">
        <v>172</v>
      </c>
      <c r="R23" s="330" t="str">
        <f t="shared" si="12"/>
        <v>DEF</v>
      </c>
      <c r="S23" s="134" t="str">
        <f t="shared" si="17"/>
        <v>CAB/IMP</v>
      </c>
      <c r="T23" s="134">
        <f t="shared" ref="T23:T27" si="21">E23+3</f>
        <v>23</v>
      </c>
      <c r="U23" s="134">
        <f t="shared" ref="U23:U27" si="22">F23+$AG$24*7-112-112-112</f>
        <v>50</v>
      </c>
      <c r="V23" s="331">
        <f t="shared" si="18"/>
        <v>0</v>
      </c>
      <c r="W23" s="331">
        <f>14+8/15</f>
        <v>14.533333333333333</v>
      </c>
      <c r="X23" s="331">
        <f t="shared" si="13"/>
        <v>7</v>
      </c>
      <c r="Y23" s="331">
        <f t="shared" si="13"/>
        <v>2</v>
      </c>
      <c r="Z23" s="331">
        <f t="shared" si="13"/>
        <v>2</v>
      </c>
      <c r="AA23" s="331">
        <f t="shared" si="13"/>
        <v>5</v>
      </c>
      <c r="AB23" s="331">
        <v>15</v>
      </c>
      <c r="AC23" s="115">
        <f t="shared" ref="AC23:AC26" si="23">(18370+135+245)*1.04</f>
        <v>19500</v>
      </c>
      <c r="AD23" s="51">
        <f t="shared" si="19"/>
        <v>23400</v>
      </c>
      <c r="AF23" s="328" t="s">
        <v>322</v>
      </c>
      <c r="AG23">
        <v>0</v>
      </c>
    </row>
    <row r="24" spans="1:33" x14ac:dyDescent="0.25">
      <c r="A24" s="329" t="str">
        <f t="shared" si="14"/>
        <v>#4</v>
      </c>
      <c r="B24" s="330" t="str">
        <f t="shared" si="14"/>
        <v>DEF</v>
      </c>
      <c r="C24" s="134" t="s">
        <v>66</v>
      </c>
      <c r="D24" s="134" t="s">
        <v>672</v>
      </c>
      <c r="E24" s="134">
        <v>20</v>
      </c>
      <c r="F24" s="134">
        <v>8</v>
      </c>
      <c r="G24" s="331">
        <f t="shared" si="15"/>
        <v>0</v>
      </c>
      <c r="H24" s="331">
        <v>12</v>
      </c>
      <c r="I24" s="331">
        <v>7</v>
      </c>
      <c r="J24" s="331">
        <f t="shared" si="11"/>
        <v>2</v>
      </c>
      <c r="K24" s="331">
        <f t="shared" si="11"/>
        <v>2</v>
      </c>
      <c r="L24" s="331">
        <v>5</v>
      </c>
      <c r="M24" s="331">
        <v>3</v>
      </c>
      <c r="N24" s="115">
        <f t="shared" si="20"/>
        <v>7503.9800000000005</v>
      </c>
      <c r="O24" s="115">
        <f t="shared" si="16"/>
        <v>9004.7759999999998</v>
      </c>
      <c r="Q24" s="329" t="s">
        <v>174</v>
      </c>
      <c r="R24" s="330" t="str">
        <f t="shared" si="12"/>
        <v>DEF</v>
      </c>
      <c r="S24" s="134" t="str">
        <f t="shared" si="17"/>
        <v>CAB/IMP</v>
      </c>
      <c r="T24" s="134">
        <f t="shared" si="21"/>
        <v>23</v>
      </c>
      <c r="U24" s="134">
        <f t="shared" si="22"/>
        <v>50</v>
      </c>
      <c r="V24" s="331">
        <f t="shared" si="18"/>
        <v>0</v>
      </c>
      <c r="W24" s="331">
        <f>14+8/15</f>
        <v>14.533333333333333</v>
      </c>
      <c r="X24" s="331">
        <f t="shared" si="13"/>
        <v>7</v>
      </c>
      <c r="Y24" s="331">
        <f t="shared" si="13"/>
        <v>2</v>
      </c>
      <c r="Z24" s="331">
        <f t="shared" si="13"/>
        <v>2</v>
      </c>
      <c r="AA24" s="331">
        <f t="shared" si="13"/>
        <v>5</v>
      </c>
      <c r="AB24" s="331">
        <v>15</v>
      </c>
      <c r="AC24" s="115">
        <f t="shared" si="23"/>
        <v>19500</v>
      </c>
      <c r="AD24" s="51">
        <f t="shared" si="19"/>
        <v>23400</v>
      </c>
      <c r="AF24" s="328" t="s">
        <v>246</v>
      </c>
      <c r="AG24">
        <f>AG22+AG21+AG20+AG23</f>
        <v>54</v>
      </c>
    </row>
    <row r="25" spans="1:33" x14ac:dyDescent="0.25">
      <c r="A25" s="329" t="str">
        <f t="shared" si="14"/>
        <v>#5</v>
      </c>
      <c r="B25" s="330"/>
      <c r="C25" s="134"/>
      <c r="D25" s="134"/>
      <c r="E25" s="134"/>
      <c r="F25" s="134"/>
      <c r="G25" s="331">
        <f t="shared" si="15"/>
        <v>0</v>
      </c>
      <c r="H25" s="331">
        <v>2</v>
      </c>
      <c r="I25" s="331">
        <v>2</v>
      </c>
      <c r="J25" s="331">
        <v>2</v>
      </c>
      <c r="K25" s="331">
        <f t="shared" si="11"/>
        <v>2</v>
      </c>
      <c r="L25" s="331">
        <f t="shared" ref="L25" si="24">AA8</f>
        <v>2</v>
      </c>
      <c r="M25" s="331">
        <f t="shared" ref="M25" si="25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8"/>
        <v>0</v>
      </c>
      <c r="W25" s="331">
        <f t="shared" si="13"/>
        <v>2</v>
      </c>
      <c r="X25" s="331">
        <f t="shared" si="13"/>
        <v>2</v>
      </c>
      <c r="Y25" s="331">
        <f t="shared" si="13"/>
        <v>2</v>
      </c>
      <c r="Z25" s="331">
        <f t="shared" si="13"/>
        <v>2</v>
      </c>
      <c r="AA25" s="331">
        <f t="shared" si="13"/>
        <v>2</v>
      </c>
      <c r="AB25" s="331">
        <v>2</v>
      </c>
      <c r="AC25" s="115">
        <f t="shared" si="23"/>
        <v>19500</v>
      </c>
      <c r="AD25" s="51">
        <f t="shared" si="19"/>
        <v>23400</v>
      </c>
      <c r="AF25" s="328" t="s">
        <v>60</v>
      </c>
      <c r="AG25" s="83">
        <f>AG24/16</f>
        <v>3.375</v>
      </c>
    </row>
    <row r="26" spans="1:33" x14ac:dyDescent="0.25">
      <c r="A26" s="329" t="str">
        <f t="shared" si="14"/>
        <v>#6</v>
      </c>
      <c r="B26" s="330"/>
      <c r="C26" s="134"/>
      <c r="D26" s="134"/>
      <c r="E26" s="134"/>
      <c r="F26" s="134"/>
      <c r="G26" s="331">
        <f t="shared" ref="G26" si="26">V9</f>
        <v>0</v>
      </c>
      <c r="H26" s="331">
        <v>2</v>
      </c>
      <c r="I26" s="331">
        <v>2</v>
      </c>
      <c r="J26" s="331">
        <v>2</v>
      </c>
      <c r="K26" s="331">
        <f t="shared" ref="K26" si="27">Z9</f>
        <v>2</v>
      </c>
      <c r="L26" s="331">
        <f t="shared" ref="L26" si="28">AA9</f>
        <v>2</v>
      </c>
      <c r="M26" s="331">
        <f t="shared" ref="M26" si="29">AB9</f>
        <v>2</v>
      </c>
      <c r="N26" s="115"/>
      <c r="O26" s="115"/>
      <c r="Q26" s="329" t="s">
        <v>173</v>
      </c>
      <c r="R26" s="330"/>
      <c r="S26" s="134"/>
      <c r="T26" s="134"/>
      <c r="U26" s="134"/>
      <c r="V26" s="331">
        <f t="shared" si="18"/>
        <v>0</v>
      </c>
      <c r="W26" s="331">
        <f t="shared" si="13"/>
        <v>2</v>
      </c>
      <c r="X26" s="331">
        <f t="shared" si="13"/>
        <v>2</v>
      </c>
      <c r="Y26" s="331">
        <f t="shared" si="13"/>
        <v>2</v>
      </c>
      <c r="Z26" s="331">
        <f t="shared" si="13"/>
        <v>2</v>
      </c>
      <c r="AA26" s="331">
        <f t="shared" si="13"/>
        <v>2</v>
      </c>
      <c r="AB26" s="331">
        <v>2</v>
      </c>
      <c r="AC26" s="115">
        <f t="shared" si="23"/>
        <v>19500</v>
      </c>
      <c r="AD26" s="51">
        <f t="shared" si="19"/>
        <v>23400</v>
      </c>
    </row>
    <row r="27" spans="1:33" x14ac:dyDescent="0.25">
      <c r="A27" s="329" t="str">
        <f t="shared" si="14"/>
        <v>#7</v>
      </c>
      <c r="B27" s="330" t="str">
        <f t="shared" si="14"/>
        <v>Inners</v>
      </c>
      <c r="C27" s="134" t="str">
        <f t="shared" si="14"/>
        <v>I. Vanags</v>
      </c>
      <c r="D27" s="134" t="str">
        <f t="shared" si="14"/>
        <v>CAB</v>
      </c>
      <c r="E27" s="134">
        <f>T10</f>
        <v>20</v>
      </c>
      <c r="F27" s="134">
        <f>U10</f>
        <v>8</v>
      </c>
      <c r="G27" s="331">
        <f t="shared" si="15"/>
        <v>0</v>
      </c>
      <c r="H27" s="331">
        <f t="shared" si="15"/>
        <v>4</v>
      </c>
      <c r="I27" s="331">
        <f t="shared" si="15"/>
        <v>12.75</v>
      </c>
      <c r="J27" s="331">
        <f t="shared" si="11"/>
        <v>3</v>
      </c>
      <c r="K27" s="331">
        <f t="shared" si="11"/>
        <v>4</v>
      </c>
      <c r="L27" s="331">
        <f t="shared" si="11"/>
        <v>7</v>
      </c>
      <c r="M27" s="331">
        <f t="shared" si="11"/>
        <v>6</v>
      </c>
      <c r="N27" s="115">
        <f t="shared" si="11"/>
        <v>1884</v>
      </c>
      <c r="O27" s="115">
        <f t="shared" si="11"/>
        <v>2260.7999999999997</v>
      </c>
      <c r="Q27" s="329" t="s">
        <v>175</v>
      </c>
      <c r="R27" s="330" t="str">
        <f t="shared" si="12"/>
        <v>Inners</v>
      </c>
      <c r="S27" s="134" t="str">
        <f t="shared" si="17"/>
        <v>CAB</v>
      </c>
      <c r="T27" s="134">
        <f t="shared" si="21"/>
        <v>23</v>
      </c>
      <c r="U27" s="134">
        <f t="shared" si="22"/>
        <v>50</v>
      </c>
      <c r="V27" s="331">
        <f t="shared" si="18"/>
        <v>0</v>
      </c>
      <c r="W27" s="331">
        <v>10</v>
      </c>
      <c r="X27" s="331">
        <f t="shared" si="13"/>
        <v>12.75</v>
      </c>
      <c r="Y27" s="331">
        <f t="shared" si="13"/>
        <v>3</v>
      </c>
      <c r="Z27" s="331">
        <f t="shared" si="13"/>
        <v>4</v>
      </c>
      <c r="AA27" s="331">
        <f t="shared" si="13"/>
        <v>7</v>
      </c>
      <c r="AB27" s="331">
        <v>16</v>
      </c>
      <c r="AC27" s="115">
        <f>(20000+1500+125+125)*1.043</f>
        <v>22685.25</v>
      </c>
      <c r="AD27" s="51">
        <f t="shared" si="19"/>
        <v>27222.3</v>
      </c>
    </row>
    <row r="28" spans="1:33" x14ac:dyDescent="0.25">
      <c r="A28" s="329" t="str">
        <f t="shared" si="14"/>
        <v>#8</v>
      </c>
      <c r="B28" s="330" t="str">
        <f t="shared" si="14"/>
        <v>Inners</v>
      </c>
      <c r="C28" s="134" t="str">
        <f t="shared" si="14"/>
        <v>I. Stone</v>
      </c>
      <c r="D28" s="134" t="str">
        <f t="shared" si="14"/>
        <v>RAP</v>
      </c>
      <c r="E28" s="134">
        <f t="shared" ref="E28:F32" si="30">T11</f>
        <v>19</v>
      </c>
      <c r="F28" s="134">
        <f t="shared" si="30"/>
        <v>63</v>
      </c>
      <c r="G28" s="331">
        <f t="shared" si="15"/>
        <v>0</v>
      </c>
      <c r="H28" s="331">
        <f t="shared" si="15"/>
        <v>3</v>
      </c>
      <c r="I28" s="331">
        <f t="shared" si="15"/>
        <v>12</v>
      </c>
      <c r="J28" s="331">
        <f t="shared" si="11"/>
        <v>2</v>
      </c>
      <c r="K28" s="331">
        <f t="shared" si="11"/>
        <v>6</v>
      </c>
      <c r="L28" s="331">
        <f t="shared" si="11"/>
        <v>9</v>
      </c>
      <c r="M28" s="331">
        <f t="shared" si="11"/>
        <v>2</v>
      </c>
      <c r="N28" s="115">
        <f t="shared" si="11"/>
        <v>1490</v>
      </c>
      <c r="O28" s="115">
        <f t="shared" si="11"/>
        <v>1788</v>
      </c>
      <c r="Q28" s="329" t="s">
        <v>179</v>
      </c>
      <c r="R28" s="330" t="str">
        <f t="shared" si="12"/>
        <v>Inners</v>
      </c>
      <c r="S28" s="134" t="str">
        <f t="shared" si="17"/>
        <v>RAP</v>
      </c>
      <c r="T28" s="134">
        <f t="shared" ref="T28:T32" si="31">E28+3</f>
        <v>22</v>
      </c>
      <c r="U28" s="134">
        <f t="shared" ref="U28:U32" si="32">F28+$AG$24*7-112-112-112</f>
        <v>105</v>
      </c>
      <c r="V28" s="331">
        <f t="shared" si="18"/>
        <v>0</v>
      </c>
      <c r="W28" s="331">
        <f>9+3/7</f>
        <v>9.4285714285714288</v>
      </c>
      <c r="X28" s="331">
        <f t="shared" si="13"/>
        <v>12</v>
      </c>
      <c r="Y28" s="331">
        <f t="shared" si="13"/>
        <v>2</v>
      </c>
      <c r="Z28" s="331">
        <f t="shared" si="13"/>
        <v>6</v>
      </c>
      <c r="AA28" s="331">
        <f t="shared" si="13"/>
        <v>9</v>
      </c>
      <c r="AB28" s="331">
        <v>15</v>
      </c>
      <c r="AC28" s="115">
        <f>(14490+3125+145)*1.038</f>
        <v>18434.88</v>
      </c>
      <c r="AD28" s="51">
        <f t="shared" si="19"/>
        <v>22121.856</v>
      </c>
    </row>
    <row r="29" spans="1:33" x14ac:dyDescent="0.25">
      <c r="A29" s="329" t="str">
        <f t="shared" si="14"/>
        <v>#9</v>
      </c>
      <c r="B29" s="330" t="str">
        <f t="shared" si="14"/>
        <v>Inners</v>
      </c>
      <c r="C29" s="134" t="str">
        <f t="shared" si="14"/>
        <v>G. Piscaer</v>
      </c>
      <c r="D29" s="134" t="str">
        <f t="shared" si="14"/>
        <v>IMP</v>
      </c>
      <c r="E29" s="134">
        <f t="shared" si="30"/>
        <v>20</v>
      </c>
      <c r="F29" s="134">
        <f t="shared" si="30"/>
        <v>24</v>
      </c>
      <c r="G29" s="331">
        <f t="shared" si="15"/>
        <v>0</v>
      </c>
      <c r="H29" s="331">
        <f t="shared" si="15"/>
        <v>4</v>
      </c>
      <c r="I29" s="331">
        <f t="shared" si="15"/>
        <v>13.111111111111111</v>
      </c>
      <c r="J29" s="331">
        <f t="shared" si="11"/>
        <v>3</v>
      </c>
      <c r="K29" s="331">
        <f t="shared" si="11"/>
        <v>2</v>
      </c>
      <c r="L29" s="331">
        <f t="shared" si="11"/>
        <v>8</v>
      </c>
      <c r="M29" s="331">
        <f t="shared" si="11"/>
        <v>0</v>
      </c>
      <c r="N29" s="115">
        <f t="shared" si="11"/>
        <v>2436</v>
      </c>
      <c r="O29" s="115">
        <f t="shared" si="11"/>
        <v>2923.2</v>
      </c>
      <c r="Q29" s="329" t="s">
        <v>224</v>
      </c>
      <c r="R29" s="330" t="str">
        <f t="shared" si="12"/>
        <v>Inners</v>
      </c>
      <c r="S29" s="134" t="str">
        <f t="shared" si="17"/>
        <v>IMP</v>
      </c>
      <c r="T29" s="134">
        <f t="shared" si="31"/>
        <v>23</v>
      </c>
      <c r="U29" s="134">
        <f t="shared" si="32"/>
        <v>66</v>
      </c>
      <c r="V29" s="331">
        <f t="shared" si="18"/>
        <v>0</v>
      </c>
      <c r="W29" s="331">
        <v>10</v>
      </c>
      <c r="X29" s="331">
        <f t="shared" si="13"/>
        <v>13.111111111111111</v>
      </c>
      <c r="Y29" s="331">
        <f t="shared" si="13"/>
        <v>3</v>
      </c>
      <c r="Z29" s="331">
        <f t="shared" si="13"/>
        <v>2</v>
      </c>
      <c r="AA29" s="331">
        <f t="shared" si="13"/>
        <v>8</v>
      </c>
      <c r="AB29" s="331">
        <v>14</v>
      </c>
      <c r="AC29" s="115">
        <f>(23500+2295+125)*1.035</f>
        <v>26827.199999999997</v>
      </c>
      <c r="AD29" s="51">
        <f t="shared" si="19"/>
        <v>32192.639999999996</v>
      </c>
    </row>
    <row r="30" spans="1:33" x14ac:dyDescent="0.25">
      <c r="A30" s="329" t="str">
        <f t="shared" si="14"/>
        <v>#10</v>
      </c>
      <c r="B30" s="330" t="str">
        <f t="shared" si="14"/>
        <v>Inners</v>
      </c>
      <c r="C30" s="134" t="str">
        <f t="shared" si="14"/>
        <v>M. Bondarewski</v>
      </c>
      <c r="D30" s="134" t="str">
        <f t="shared" si="14"/>
        <v>RAP</v>
      </c>
      <c r="E30" s="134">
        <f t="shared" si="30"/>
        <v>20</v>
      </c>
      <c r="F30" s="134">
        <f t="shared" si="30"/>
        <v>24</v>
      </c>
      <c r="G30" s="331">
        <f t="shared" si="15"/>
        <v>0</v>
      </c>
      <c r="H30" s="331">
        <f t="shared" si="15"/>
        <v>2</v>
      </c>
      <c r="I30" s="331">
        <f t="shared" si="15"/>
        <v>13.2</v>
      </c>
      <c r="J30" s="331">
        <f t="shared" si="11"/>
        <v>5</v>
      </c>
      <c r="K30" s="331">
        <f t="shared" si="11"/>
        <v>4</v>
      </c>
      <c r="L30" s="331">
        <f t="shared" si="11"/>
        <v>8</v>
      </c>
      <c r="M30" s="331">
        <f t="shared" si="11"/>
        <v>6</v>
      </c>
      <c r="N30" s="115">
        <f t="shared" si="11"/>
        <v>2604</v>
      </c>
      <c r="O30" s="115">
        <f t="shared" si="11"/>
        <v>3124.7999999999997</v>
      </c>
      <c r="Q30" s="329" t="s">
        <v>176</v>
      </c>
      <c r="R30" s="330" t="str">
        <f t="shared" si="12"/>
        <v>Inners</v>
      </c>
      <c r="S30" s="134" t="str">
        <f t="shared" si="17"/>
        <v>RAP</v>
      </c>
      <c r="T30" s="134">
        <f t="shared" si="31"/>
        <v>23</v>
      </c>
      <c r="U30" s="134">
        <f t="shared" si="32"/>
        <v>66</v>
      </c>
      <c r="V30" s="331">
        <f t="shared" si="18"/>
        <v>0</v>
      </c>
      <c r="W30" s="331">
        <f>9+1/7</f>
        <v>9.1428571428571423</v>
      </c>
      <c r="X30" s="331">
        <f t="shared" si="13"/>
        <v>13.2</v>
      </c>
      <c r="Y30" s="331">
        <f t="shared" si="13"/>
        <v>5</v>
      </c>
      <c r="Z30" s="331">
        <f t="shared" si="13"/>
        <v>4</v>
      </c>
      <c r="AA30" s="331">
        <f t="shared" si="13"/>
        <v>8</v>
      </c>
      <c r="AB30" s="331">
        <v>16</v>
      </c>
      <c r="AC30" s="115">
        <f>(23500+2295+125+125)*1.043</f>
        <v>27164.934999999998</v>
      </c>
      <c r="AD30" s="51">
        <f t="shared" si="19"/>
        <v>32597.921999999995</v>
      </c>
    </row>
    <row r="31" spans="1:33" x14ac:dyDescent="0.25">
      <c r="A31" s="329" t="str">
        <f t="shared" si="14"/>
        <v>#11</v>
      </c>
      <c r="B31" s="330" t="str">
        <f t="shared" si="14"/>
        <v>Inners</v>
      </c>
      <c r="C31" s="134" t="str">
        <f t="shared" si="14"/>
        <v>P. Tuderek</v>
      </c>
      <c r="D31" s="134" t="str">
        <f t="shared" si="14"/>
        <v>CAB</v>
      </c>
      <c r="E31" s="134">
        <f t="shared" si="30"/>
        <v>20</v>
      </c>
      <c r="F31" s="134">
        <f t="shared" si="30"/>
        <v>10</v>
      </c>
      <c r="G31" s="331">
        <f t="shared" si="15"/>
        <v>0</v>
      </c>
      <c r="H31" s="331">
        <f t="shared" si="15"/>
        <v>6</v>
      </c>
      <c r="I31" s="331">
        <f t="shared" si="15"/>
        <v>12</v>
      </c>
      <c r="J31" s="331">
        <f t="shared" si="11"/>
        <v>2</v>
      </c>
      <c r="K31" s="331">
        <f t="shared" si="11"/>
        <v>3</v>
      </c>
      <c r="L31" s="331">
        <f t="shared" si="11"/>
        <v>6</v>
      </c>
      <c r="M31" s="331">
        <f t="shared" si="11"/>
        <v>8</v>
      </c>
      <c r="N31" s="115">
        <f t="shared" si="11"/>
        <v>1020</v>
      </c>
      <c r="O31" s="115">
        <f t="shared" si="11"/>
        <v>1224</v>
      </c>
      <c r="Q31" s="329" t="s">
        <v>177</v>
      </c>
      <c r="R31" s="330" t="str">
        <f t="shared" si="12"/>
        <v>Inners</v>
      </c>
      <c r="S31" s="134" t="str">
        <f t="shared" si="17"/>
        <v>CAB</v>
      </c>
      <c r="T31" s="134">
        <f t="shared" si="31"/>
        <v>23</v>
      </c>
      <c r="U31" s="134">
        <f t="shared" si="32"/>
        <v>52</v>
      </c>
      <c r="V31" s="331">
        <f t="shared" si="18"/>
        <v>0</v>
      </c>
      <c r="W31" s="331">
        <f>10+8/9</f>
        <v>10.888888888888889</v>
      </c>
      <c r="X31" s="331">
        <f t="shared" si="13"/>
        <v>12</v>
      </c>
      <c r="Y31" s="331">
        <f t="shared" si="13"/>
        <v>2</v>
      </c>
      <c r="Z31" s="331">
        <f t="shared" si="13"/>
        <v>3</v>
      </c>
      <c r="AA31" s="331">
        <f t="shared" si="13"/>
        <v>6</v>
      </c>
      <c r="AB31" s="331">
        <v>16.5</v>
      </c>
      <c r="AC31" s="115">
        <f>(20000+1020+225)*1.047</f>
        <v>22243.514999999999</v>
      </c>
      <c r="AD31" s="51">
        <f t="shared" si="19"/>
        <v>26692.217999999997</v>
      </c>
    </row>
    <row r="32" spans="1:33" x14ac:dyDescent="0.25">
      <c r="A32" s="329" t="str">
        <f t="shared" si="14"/>
        <v>#12</v>
      </c>
      <c r="B32" s="330" t="str">
        <f t="shared" si="14"/>
        <v>Inners</v>
      </c>
      <c r="C32" s="134" t="str">
        <f t="shared" si="14"/>
        <v>R. Forsyth</v>
      </c>
      <c r="D32" s="134" t="str">
        <f t="shared" si="14"/>
        <v>POT</v>
      </c>
      <c r="E32" s="134">
        <f t="shared" si="30"/>
        <v>20</v>
      </c>
      <c r="F32" s="134">
        <f t="shared" si="30"/>
        <v>65</v>
      </c>
      <c r="G32" s="331">
        <f t="shared" si="15"/>
        <v>0</v>
      </c>
      <c r="H32" s="331">
        <f t="shared" si="15"/>
        <v>7</v>
      </c>
      <c r="I32" s="331">
        <f t="shared" si="15"/>
        <v>12.222222222222221</v>
      </c>
      <c r="J32" s="331">
        <f t="shared" si="11"/>
        <v>2</v>
      </c>
      <c r="K32" s="331">
        <f t="shared" si="11"/>
        <v>4</v>
      </c>
      <c r="L32" s="331">
        <f t="shared" si="11"/>
        <v>6</v>
      </c>
      <c r="M32" s="331">
        <f t="shared" si="11"/>
        <v>2</v>
      </c>
      <c r="N32" s="115">
        <f t="shared" si="11"/>
        <v>870</v>
      </c>
      <c r="O32" s="115">
        <f t="shared" si="11"/>
        <v>1044</v>
      </c>
      <c r="Q32" s="329" t="s">
        <v>171</v>
      </c>
      <c r="R32" s="330" t="str">
        <f t="shared" si="12"/>
        <v>Inners</v>
      </c>
      <c r="S32" s="134" t="str">
        <f t="shared" si="17"/>
        <v>POT</v>
      </c>
      <c r="T32" s="134">
        <f t="shared" si="31"/>
        <v>23</v>
      </c>
      <c r="U32" s="134">
        <f t="shared" si="32"/>
        <v>107</v>
      </c>
      <c r="V32" s="331">
        <f t="shared" si="18"/>
        <v>0</v>
      </c>
      <c r="W32" s="331">
        <f>11+3/10</f>
        <v>11.3</v>
      </c>
      <c r="X32" s="331">
        <f t="shared" si="13"/>
        <v>12.222222222222221</v>
      </c>
      <c r="Y32" s="331">
        <f t="shared" si="13"/>
        <v>2</v>
      </c>
      <c r="Z32" s="331">
        <f t="shared" si="13"/>
        <v>4</v>
      </c>
      <c r="AA32" s="331">
        <f t="shared" si="13"/>
        <v>6</v>
      </c>
      <c r="AB32" s="331">
        <v>15</v>
      </c>
      <c r="AC32" s="115">
        <f>(20000+1020+225+125)*1.038</f>
        <v>22182.06</v>
      </c>
      <c r="AD32" s="51">
        <f t="shared" si="19"/>
        <v>26618.472000000002</v>
      </c>
    </row>
    <row r="33" spans="1:30" x14ac:dyDescent="0.25">
      <c r="A33" s="329" t="str">
        <f t="shared" si="14"/>
        <v>#13</v>
      </c>
      <c r="B33" s="330"/>
      <c r="C33" s="134"/>
      <c r="D33" s="134"/>
      <c r="E33" s="134"/>
      <c r="F33" s="134"/>
      <c r="G33" s="331">
        <f t="shared" ref="G33:G34" si="33">V16</f>
        <v>0</v>
      </c>
      <c r="H33" s="331">
        <v>2</v>
      </c>
      <c r="I33" s="331">
        <v>2</v>
      </c>
      <c r="J33" s="331">
        <v>2</v>
      </c>
      <c r="K33" s="331">
        <f t="shared" ref="K33:K34" si="34">Z16</f>
        <v>2</v>
      </c>
      <c r="L33" s="331">
        <f t="shared" si="11"/>
        <v>2</v>
      </c>
      <c r="M33" s="331">
        <f t="shared" si="11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8"/>
        <v>0</v>
      </c>
      <c r="W33" s="331">
        <f t="shared" si="13"/>
        <v>2</v>
      </c>
      <c r="X33" s="331">
        <f t="shared" si="13"/>
        <v>2</v>
      </c>
      <c r="Y33" s="331">
        <f t="shared" si="13"/>
        <v>2</v>
      </c>
      <c r="Z33" s="331">
        <f t="shared" si="13"/>
        <v>2</v>
      </c>
      <c r="AA33" s="331">
        <f t="shared" si="13"/>
        <v>2</v>
      </c>
      <c r="AB33" s="331">
        <v>2</v>
      </c>
      <c r="AC33" s="115">
        <f>(22400+2295)*1.048</f>
        <v>25880.36</v>
      </c>
      <c r="AD33" s="51">
        <f t="shared" si="19"/>
        <v>31056.432000000001</v>
      </c>
    </row>
    <row r="34" spans="1:30" x14ac:dyDescent="0.25">
      <c r="A34" s="329" t="str">
        <f t="shared" si="14"/>
        <v>#14</v>
      </c>
      <c r="B34" s="330"/>
      <c r="C34" s="134"/>
      <c r="D34" s="134"/>
      <c r="E34" s="134"/>
      <c r="F34" s="134"/>
      <c r="G34" s="331">
        <f t="shared" si="33"/>
        <v>0</v>
      </c>
      <c r="H34" s="331">
        <v>2</v>
      </c>
      <c r="I34" s="331">
        <v>2</v>
      </c>
      <c r="J34" s="331">
        <v>2</v>
      </c>
      <c r="K34" s="331">
        <f t="shared" si="34"/>
        <v>2</v>
      </c>
      <c r="L34" s="331">
        <f t="shared" si="11"/>
        <v>2</v>
      </c>
      <c r="M34" s="331">
        <f t="shared" si="11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8"/>
        <v>0</v>
      </c>
      <c r="W34" s="331">
        <f t="shared" si="13"/>
        <v>2</v>
      </c>
      <c r="X34" s="331">
        <f t="shared" si="13"/>
        <v>2</v>
      </c>
      <c r="Y34" s="331">
        <f t="shared" si="13"/>
        <v>2</v>
      </c>
      <c r="Z34" s="331">
        <f t="shared" si="13"/>
        <v>2</v>
      </c>
      <c r="AA34" s="331">
        <f t="shared" si="13"/>
        <v>2</v>
      </c>
      <c r="AB34" s="331">
        <v>2</v>
      </c>
      <c r="AC34" s="115">
        <f>(22400+2295)*1.048</f>
        <v>25880.36</v>
      </c>
      <c r="AD34" s="51">
        <f t="shared" si="19"/>
        <v>31056.432000000001</v>
      </c>
    </row>
  </sheetData>
  <conditionalFormatting sqref="V4:AB17">
    <cfRule type="colorScale" priority="6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5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4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E18" sqref="E18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4"/>
      <c r="B1" s="494"/>
      <c r="C1" s="494"/>
      <c r="D1" s="671" t="s">
        <v>645</v>
      </c>
      <c r="E1" s="672"/>
      <c r="F1" s="672"/>
      <c r="G1" s="672"/>
      <c r="H1" s="672"/>
      <c r="I1" s="673"/>
      <c r="K1" s="494"/>
      <c r="L1" s="495"/>
      <c r="M1" s="495"/>
      <c r="N1" s="496">
        <v>43637</v>
      </c>
      <c r="O1" s="496">
        <f t="shared" ref="O1:AD1" si="0">N1+7</f>
        <v>43644</v>
      </c>
      <c r="P1" s="496">
        <f t="shared" si="0"/>
        <v>43651</v>
      </c>
      <c r="Q1" s="496">
        <f t="shared" si="0"/>
        <v>43658</v>
      </c>
      <c r="R1" s="496">
        <f t="shared" si="0"/>
        <v>43665</v>
      </c>
      <c r="S1" s="569">
        <f t="shared" si="0"/>
        <v>43672</v>
      </c>
      <c r="T1" s="496">
        <f t="shared" si="0"/>
        <v>43679</v>
      </c>
      <c r="U1" s="496">
        <f t="shared" si="0"/>
        <v>43686</v>
      </c>
      <c r="V1" s="496">
        <f t="shared" si="0"/>
        <v>43693</v>
      </c>
      <c r="W1" s="496">
        <f t="shared" si="0"/>
        <v>43700</v>
      </c>
      <c r="X1" s="496">
        <f t="shared" si="0"/>
        <v>43707</v>
      </c>
      <c r="Y1" s="496">
        <f t="shared" si="0"/>
        <v>43714</v>
      </c>
      <c r="Z1" s="496">
        <f t="shared" si="0"/>
        <v>43721</v>
      </c>
      <c r="AA1" s="496">
        <f t="shared" si="0"/>
        <v>43728</v>
      </c>
      <c r="AB1" s="496">
        <f t="shared" si="0"/>
        <v>43735</v>
      </c>
      <c r="AC1" s="496">
        <f t="shared" si="0"/>
        <v>43742</v>
      </c>
      <c r="AD1" s="496">
        <f t="shared" si="0"/>
        <v>43749</v>
      </c>
    </row>
    <row r="2" spans="1:33" x14ac:dyDescent="0.25">
      <c r="A2" s="499"/>
      <c r="B2" s="499"/>
      <c r="C2" s="499"/>
      <c r="D2" s="674" t="s">
        <v>583</v>
      </c>
      <c r="E2" s="675"/>
      <c r="F2" s="676"/>
      <c r="G2" s="676"/>
      <c r="H2" s="676"/>
      <c r="I2" s="677"/>
      <c r="K2" s="497"/>
      <c r="L2" s="497"/>
      <c r="M2" s="497" t="s">
        <v>582</v>
      </c>
      <c r="N2" s="498" t="s">
        <v>43</v>
      </c>
      <c r="O2" s="498" t="s">
        <v>28</v>
      </c>
      <c r="P2" s="498" t="s">
        <v>29</v>
      </c>
      <c r="Q2" s="498" t="s">
        <v>30</v>
      </c>
      <c r="R2" s="498" t="s">
        <v>31</v>
      </c>
      <c r="S2" s="585" t="s">
        <v>32</v>
      </c>
      <c r="T2" s="498" t="s">
        <v>33</v>
      </c>
      <c r="U2" s="498" t="s">
        <v>34</v>
      </c>
      <c r="V2" s="498" t="s">
        <v>35</v>
      </c>
      <c r="W2" s="498" t="s">
        <v>36</v>
      </c>
      <c r="X2" s="498" t="s">
        <v>37</v>
      </c>
      <c r="Y2" s="498" t="s">
        <v>38</v>
      </c>
      <c r="Z2" s="498" t="s">
        <v>39</v>
      </c>
      <c r="AA2" s="498" t="s">
        <v>40</v>
      </c>
      <c r="AB2" s="498" t="s">
        <v>41</v>
      </c>
      <c r="AC2" s="498" t="s">
        <v>42</v>
      </c>
      <c r="AD2" s="498" t="s">
        <v>43</v>
      </c>
    </row>
    <row r="3" spans="1:33" ht="18.75" x14ac:dyDescent="0.3">
      <c r="A3" s="502"/>
      <c r="B3" s="502"/>
      <c r="C3" s="502"/>
      <c r="D3" s="678" t="s">
        <v>585</v>
      </c>
      <c r="E3" s="679"/>
      <c r="F3" s="618"/>
      <c r="G3" s="680" t="s">
        <v>586</v>
      </c>
      <c r="H3" s="681"/>
      <c r="I3" s="503"/>
      <c r="K3" s="491"/>
      <c r="L3" s="500"/>
      <c r="M3" s="500" t="s">
        <v>584</v>
      </c>
      <c r="N3" s="501">
        <f>3345+6</f>
        <v>3351</v>
      </c>
      <c r="O3" s="501">
        <v>3345</v>
      </c>
      <c r="P3" s="501">
        <f>O3+O11</f>
        <v>3345</v>
      </c>
      <c r="Q3" s="501">
        <f t="shared" ref="Q3:AD3" si="1">P3+P11</f>
        <v>3435</v>
      </c>
      <c r="R3" s="501">
        <f>Q3+Q11-2</f>
        <v>3433</v>
      </c>
      <c r="S3" s="570">
        <f t="shared" si="1"/>
        <v>3433</v>
      </c>
      <c r="T3" s="501">
        <f t="shared" si="1"/>
        <v>3433</v>
      </c>
      <c r="U3" s="501">
        <f t="shared" si="1"/>
        <v>3433</v>
      </c>
      <c r="V3" s="501">
        <f t="shared" si="1"/>
        <v>3433</v>
      </c>
      <c r="W3" s="501">
        <f t="shared" si="1"/>
        <v>3433</v>
      </c>
      <c r="X3" s="501">
        <f t="shared" si="1"/>
        <v>3433</v>
      </c>
      <c r="Y3" s="501">
        <f t="shared" si="1"/>
        <v>3433</v>
      </c>
      <c r="Z3" s="501">
        <f t="shared" si="1"/>
        <v>3433</v>
      </c>
      <c r="AA3" s="501">
        <f t="shared" si="1"/>
        <v>3433</v>
      </c>
      <c r="AB3" s="501">
        <f t="shared" si="1"/>
        <v>3433</v>
      </c>
      <c r="AC3" s="501">
        <f t="shared" si="1"/>
        <v>3433</v>
      </c>
      <c r="AD3" s="501">
        <f t="shared" si="1"/>
        <v>3433</v>
      </c>
    </row>
    <row r="4" spans="1:33" ht="18.75" x14ac:dyDescent="0.3">
      <c r="A4" s="502"/>
      <c r="B4" s="502"/>
      <c r="C4" s="502"/>
      <c r="D4" s="512"/>
      <c r="E4" s="522"/>
      <c r="F4" s="554"/>
      <c r="G4" s="508"/>
      <c r="H4" s="554"/>
      <c r="I4" s="509"/>
      <c r="K4" s="586" t="s">
        <v>640</v>
      </c>
      <c r="L4" s="586"/>
      <c r="M4" s="587">
        <f>10164100+500000</f>
        <v>10664100</v>
      </c>
      <c r="N4" s="588">
        <f>M4</f>
        <v>10664100</v>
      </c>
      <c r="O4" s="588">
        <f>N4-N13+N23</f>
        <v>10164100</v>
      </c>
      <c r="P4" s="588">
        <f t="shared" ref="P4:AD4" si="2">O4-O13+O23</f>
        <v>9664100</v>
      </c>
      <c r="Q4" s="588">
        <f t="shared" si="2"/>
        <v>9164100</v>
      </c>
      <c r="R4" s="588">
        <f t="shared" si="2"/>
        <v>8664100</v>
      </c>
      <c r="S4" s="588">
        <f t="shared" si="2"/>
        <v>8164100</v>
      </c>
      <c r="T4" s="588">
        <f t="shared" si="2"/>
        <v>7664100</v>
      </c>
      <c r="U4" s="588">
        <f t="shared" si="2"/>
        <v>7164100</v>
      </c>
      <c r="V4" s="588">
        <f t="shared" si="2"/>
        <v>6664100</v>
      </c>
      <c r="W4" s="588">
        <f t="shared" si="2"/>
        <v>6164100</v>
      </c>
      <c r="X4" s="588">
        <f t="shared" si="2"/>
        <v>5664100</v>
      </c>
      <c r="Y4" s="588">
        <f t="shared" si="2"/>
        <v>5164100</v>
      </c>
      <c r="Z4" s="588">
        <f t="shared" si="2"/>
        <v>4664100</v>
      </c>
      <c r="AA4" s="588">
        <f t="shared" si="2"/>
        <v>4164100</v>
      </c>
      <c r="AB4" s="588">
        <f t="shared" si="2"/>
        <v>3664100</v>
      </c>
      <c r="AC4" s="588">
        <f t="shared" si="2"/>
        <v>3164100</v>
      </c>
      <c r="AD4" s="588">
        <f t="shared" si="2"/>
        <v>2664100</v>
      </c>
    </row>
    <row r="5" spans="1:33" ht="18.75" x14ac:dyDescent="0.3">
      <c r="A5" s="507"/>
      <c r="B5" s="507"/>
      <c r="C5" s="507"/>
      <c r="D5" s="512" t="s">
        <v>589</v>
      </c>
      <c r="E5" s="513">
        <f>SUM(E6:E8)</f>
        <v>8627340</v>
      </c>
      <c r="F5" s="592">
        <f>E5/E35</f>
        <v>0.10662584879735491</v>
      </c>
      <c r="G5" s="512" t="s">
        <v>590</v>
      </c>
      <c r="H5" s="602">
        <f>H6+H7</f>
        <v>63454367</v>
      </c>
      <c r="I5" s="514">
        <f>H5/$H$35</f>
        <v>0.78423659450930039</v>
      </c>
      <c r="K5" s="504" t="s">
        <v>587</v>
      </c>
      <c r="L5" s="504"/>
      <c r="M5" s="505">
        <f>16859431-5919847+1711665-500000</f>
        <v>12151249</v>
      </c>
      <c r="N5" s="506">
        <f>M5</f>
        <v>12151249</v>
      </c>
      <c r="O5" s="506">
        <f t="shared" ref="O5:AD5" si="3">N26</f>
        <v>16853431</v>
      </c>
      <c r="P5" s="506">
        <f t="shared" si="3"/>
        <v>11755916</v>
      </c>
      <c r="Q5" s="506">
        <f t="shared" si="3"/>
        <v>12415332</v>
      </c>
      <c r="R5" s="506">
        <f t="shared" si="3"/>
        <v>13710711</v>
      </c>
      <c r="S5" s="506">
        <f t="shared" si="3"/>
        <v>14306291</v>
      </c>
      <c r="T5" s="506">
        <f t="shared" si="3"/>
        <v>16625519</v>
      </c>
      <c r="U5" s="506">
        <f t="shared" si="3"/>
        <v>17197346</v>
      </c>
      <c r="V5" s="506">
        <f t="shared" si="3"/>
        <v>18069173</v>
      </c>
      <c r="W5" s="506">
        <f t="shared" si="3"/>
        <v>18641000</v>
      </c>
      <c r="X5" s="506">
        <f t="shared" si="3"/>
        <v>19512827</v>
      </c>
      <c r="Y5" s="506">
        <f t="shared" si="3"/>
        <v>20084654</v>
      </c>
      <c r="Z5" s="506">
        <f t="shared" si="3"/>
        <v>20956481</v>
      </c>
      <c r="AA5" s="506">
        <f t="shared" si="3"/>
        <v>21528308</v>
      </c>
      <c r="AB5" s="506">
        <f t="shared" si="3"/>
        <v>22400135</v>
      </c>
      <c r="AC5" s="506">
        <f t="shared" si="3"/>
        <v>22971962</v>
      </c>
      <c r="AD5" s="506">
        <f t="shared" si="3"/>
        <v>23543789</v>
      </c>
    </row>
    <row r="6" spans="1:33" x14ac:dyDescent="0.25">
      <c r="A6" s="510" t="str">
        <f t="shared" ref="A6:A13" si="4">L6</f>
        <v>Taquillas</v>
      </c>
      <c r="B6" s="511">
        <f t="shared" ref="B6:B13" si="5">M6/$M$14</f>
        <v>0.13695454470105958</v>
      </c>
      <c r="D6" s="515" t="s">
        <v>592</v>
      </c>
      <c r="E6" s="516">
        <v>4158040</v>
      </c>
      <c r="F6" s="593">
        <f>E6/E35</f>
        <v>5.1389483239718571E-2</v>
      </c>
      <c r="G6" s="517" t="s">
        <v>593</v>
      </c>
      <c r="H6" s="603">
        <v>300000</v>
      </c>
      <c r="I6" s="518">
        <f>H6/$H$35</f>
        <v>3.707719255205715E-3</v>
      </c>
      <c r="K6" s="566" t="s">
        <v>588</v>
      </c>
      <c r="L6" s="566" t="s">
        <v>588</v>
      </c>
      <c r="M6" s="583">
        <f t="shared" ref="M6:M25" si="6">SUM(N6:AD6)</f>
        <v>3122989</v>
      </c>
      <c r="N6" s="649">
        <v>27384</v>
      </c>
      <c r="O6" s="649">
        <f>2819+34650</f>
        <v>37469</v>
      </c>
      <c r="P6" s="649">
        <v>34650</v>
      </c>
      <c r="Q6" s="649">
        <f>734316+34267</f>
        <v>768583</v>
      </c>
      <c r="R6" s="649">
        <f>60291</f>
        <v>60291</v>
      </c>
      <c r="S6" s="567">
        <v>664612</v>
      </c>
      <c r="T6" s="567">
        <v>30000</v>
      </c>
      <c r="U6" s="567">
        <v>330000</v>
      </c>
      <c r="V6" s="567">
        <v>30000</v>
      </c>
      <c r="W6" s="567">
        <v>330000</v>
      </c>
      <c r="X6" s="567">
        <v>30000</v>
      </c>
      <c r="Y6" s="567">
        <v>330000</v>
      </c>
      <c r="Z6" s="567">
        <v>30000</v>
      </c>
      <c r="AA6" s="567">
        <v>330000</v>
      </c>
      <c r="AB6" s="567">
        <v>30000</v>
      </c>
      <c r="AC6" s="567">
        <v>30000</v>
      </c>
      <c r="AD6" s="567">
        <v>30000</v>
      </c>
    </row>
    <row r="7" spans="1:33" x14ac:dyDescent="0.25">
      <c r="A7" s="510" t="str">
        <f t="shared" si="4"/>
        <v>Patrocinadores</v>
      </c>
      <c r="B7" s="511">
        <f t="shared" si="5"/>
        <v>0.18784432261113904</v>
      </c>
      <c r="D7" s="515" t="s">
        <v>596</v>
      </c>
      <c r="E7" s="516">
        <f>1916000+300+2553000</f>
        <v>4469300</v>
      </c>
      <c r="F7" s="593">
        <f>E7/E35</f>
        <v>5.5236365557636342E-2</v>
      </c>
      <c r="G7" s="517" t="s">
        <v>597</v>
      </c>
      <c r="H7" s="603">
        <f>63609618-455251</f>
        <v>63154367</v>
      </c>
      <c r="I7" s="518">
        <f>H7/$H$35</f>
        <v>0.78052887525409465</v>
      </c>
      <c r="K7" s="566" t="s">
        <v>591</v>
      </c>
      <c r="L7" s="566" t="s">
        <v>591</v>
      </c>
      <c r="M7" s="583">
        <f t="shared" si="6"/>
        <v>4283434</v>
      </c>
      <c r="N7" s="650">
        <v>270844</v>
      </c>
      <c r="O7" s="650">
        <v>187040</v>
      </c>
      <c r="P7" s="650">
        <v>224225</v>
      </c>
      <c r="Q7" s="650">
        <v>246055</v>
      </c>
      <c r="R7" s="650">
        <v>257710</v>
      </c>
      <c r="S7" s="568">
        <v>263630</v>
      </c>
      <c r="T7" s="568">
        <f t="shared" ref="T7:AD7" si="7">S7-1000</f>
        <v>262630</v>
      </c>
      <c r="U7" s="568">
        <f t="shared" si="7"/>
        <v>261630</v>
      </c>
      <c r="V7" s="568">
        <f t="shared" si="7"/>
        <v>260630</v>
      </c>
      <c r="W7" s="568">
        <f t="shared" si="7"/>
        <v>259630</v>
      </c>
      <c r="X7" s="568">
        <f t="shared" si="7"/>
        <v>258630</v>
      </c>
      <c r="Y7" s="568">
        <f t="shared" si="7"/>
        <v>257630</v>
      </c>
      <c r="Z7" s="568">
        <f t="shared" si="7"/>
        <v>256630</v>
      </c>
      <c r="AA7" s="568">
        <f t="shared" si="7"/>
        <v>255630</v>
      </c>
      <c r="AB7" s="568">
        <f t="shared" si="7"/>
        <v>254630</v>
      </c>
      <c r="AC7" s="568">
        <f t="shared" si="7"/>
        <v>253630</v>
      </c>
      <c r="AD7" s="568">
        <f t="shared" si="7"/>
        <v>252630</v>
      </c>
    </row>
    <row r="8" spans="1:33" x14ac:dyDescent="0.25">
      <c r="A8" s="510" t="str">
        <f t="shared" si="4"/>
        <v>Ventas</v>
      </c>
      <c r="B8" s="511">
        <f t="shared" si="5"/>
        <v>0.17082054523624984</v>
      </c>
      <c r="D8" s="519" t="s">
        <v>599</v>
      </c>
      <c r="E8" s="520">
        <v>0</v>
      </c>
      <c r="F8" s="593">
        <f>E8/E35</f>
        <v>0</v>
      </c>
      <c r="G8" s="523"/>
      <c r="H8" s="601"/>
      <c r="I8" s="514"/>
      <c r="K8" s="566" t="s">
        <v>594</v>
      </c>
      <c r="L8" s="566" t="s">
        <v>595</v>
      </c>
      <c r="M8" s="583">
        <f t="shared" si="6"/>
        <v>3895239</v>
      </c>
      <c r="N8" s="649">
        <f>959086+1751596+1184557</f>
        <v>3895239</v>
      </c>
      <c r="O8" s="649">
        <v>0</v>
      </c>
      <c r="P8" s="649">
        <v>0</v>
      </c>
      <c r="Q8" s="649">
        <v>0</v>
      </c>
      <c r="R8" s="649">
        <v>0</v>
      </c>
      <c r="S8" s="567">
        <v>0</v>
      </c>
      <c r="T8" s="567">
        <v>0</v>
      </c>
      <c r="U8" s="567">
        <v>0</v>
      </c>
      <c r="V8" s="567">
        <v>0</v>
      </c>
      <c r="W8" s="567">
        <v>0</v>
      </c>
      <c r="X8" s="567">
        <v>0</v>
      </c>
      <c r="Y8" s="567">
        <v>0</v>
      </c>
      <c r="Z8" s="567">
        <v>0</v>
      </c>
      <c r="AA8" s="567">
        <v>0</v>
      </c>
      <c r="AB8" s="567">
        <v>0</v>
      </c>
      <c r="AC8" s="567">
        <v>0</v>
      </c>
      <c r="AD8" s="567">
        <v>0</v>
      </c>
      <c r="AF8" s="493"/>
      <c r="AG8" s="493"/>
    </row>
    <row r="9" spans="1:33" x14ac:dyDescent="0.25">
      <c r="A9" s="510" t="str">
        <f t="shared" si="4"/>
        <v>VentasCantera</v>
      </c>
      <c r="B9" s="511">
        <f t="shared" si="5"/>
        <v>6.5241112329171291E-2</v>
      </c>
      <c r="D9" s="521"/>
      <c r="E9" s="522"/>
      <c r="F9" s="592"/>
      <c r="G9" s="523"/>
      <c r="H9" s="601"/>
      <c r="I9" s="514"/>
      <c r="K9" s="566"/>
      <c r="L9" s="566" t="s">
        <v>598</v>
      </c>
      <c r="M9" s="583">
        <f t="shared" si="6"/>
        <v>1487700</v>
      </c>
      <c r="N9" s="649">
        <f>515850</f>
        <v>515850</v>
      </c>
      <c r="O9" s="649">
        <v>0</v>
      </c>
      <c r="P9" s="649">
        <v>0</v>
      </c>
      <c r="Q9" s="649">
        <v>0</v>
      </c>
      <c r="R9" s="649">
        <v>950</v>
      </c>
      <c r="S9" s="567">
        <v>970900</v>
      </c>
      <c r="T9" s="567">
        <v>0</v>
      </c>
      <c r="U9" s="567">
        <v>0</v>
      </c>
      <c r="V9" s="567">
        <v>0</v>
      </c>
      <c r="W9" s="567">
        <v>0</v>
      </c>
      <c r="X9" s="567">
        <v>0</v>
      </c>
      <c r="Y9" s="567">
        <v>0</v>
      </c>
      <c r="Z9" s="567">
        <v>0</v>
      </c>
      <c r="AA9" s="567">
        <v>0</v>
      </c>
      <c r="AB9" s="567">
        <v>0</v>
      </c>
      <c r="AC9" s="567">
        <v>0</v>
      </c>
      <c r="AD9" s="567">
        <v>0</v>
      </c>
    </row>
    <row r="10" spans="1:33" x14ac:dyDescent="0.25">
      <c r="A10" s="510" t="str">
        <f t="shared" si="4"/>
        <v>Comisiones</v>
      </c>
      <c r="B10" s="511">
        <f t="shared" si="5"/>
        <v>9.7848073854500343E-3</v>
      </c>
      <c r="D10" s="512" t="s">
        <v>642</v>
      </c>
      <c r="E10" s="513">
        <f>E11+E12+E13</f>
        <v>2164100</v>
      </c>
      <c r="F10" s="592">
        <f>E10/E35</f>
        <v>2.6746250800635626E-2</v>
      </c>
      <c r="G10" s="512" t="s">
        <v>604</v>
      </c>
      <c r="H10" s="602">
        <f>SUM(H11:H16)</f>
        <v>6619169</v>
      </c>
      <c r="I10" s="514">
        <f t="shared" ref="I10:I16" si="8">H10/$H$35</f>
        <v>8.1806734515869187E-2</v>
      </c>
      <c r="K10" s="566" t="s">
        <v>600</v>
      </c>
      <c r="L10" s="566" t="s">
        <v>600</v>
      </c>
      <c r="M10" s="583">
        <f t="shared" si="6"/>
        <v>223124</v>
      </c>
      <c r="N10" s="650">
        <v>60000</v>
      </c>
      <c r="O10" s="650">
        <f>15320+1915</f>
        <v>17235</v>
      </c>
      <c r="P10" s="650">
        <v>120000</v>
      </c>
      <c r="Q10" s="650">
        <v>0</v>
      </c>
      <c r="R10" s="650">
        <v>0</v>
      </c>
      <c r="S10" s="568">
        <v>3889</v>
      </c>
      <c r="T10" s="568">
        <v>2000</v>
      </c>
      <c r="U10" s="568">
        <f t="shared" ref="U10:AD10" si="9">T10</f>
        <v>2000</v>
      </c>
      <c r="V10" s="568">
        <f t="shared" si="9"/>
        <v>2000</v>
      </c>
      <c r="W10" s="568">
        <f t="shared" si="9"/>
        <v>2000</v>
      </c>
      <c r="X10" s="568">
        <f t="shared" si="9"/>
        <v>2000</v>
      </c>
      <c r="Y10" s="568">
        <f t="shared" si="9"/>
        <v>2000</v>
      </c>
      <c r="Z10" s="568">
        <f t="shared" si="9"/>
        <v>2000</v>
      </c>
      <c r="AA10" s="568">
        <f t="shared" si="9"/>
        <v>2000</v>
      </c>
      <c r="AB10" s="568">
        <f t="shared" si="9"/>
        <v>2000</v>
      </c>
      <c r="AC10" s="568">
        <f t="shared" si="9"/>
        <v>2000</v>
      </c>
      <c r="AD10" s="568">
        <f t="shared" si="9"/>
        <v>2000</v>
      </c>
    </row>
    <row r="11" spans="1:33" x14ac:dyDescent="0.25">
      <c r="A11" s="510" t="str">
        <f t="shared" si="4"/>
        <v>Nuevos Socios</v>
      </c>
      <c r="B11" s="511">
        <f t="shared" si="5"/>
        <v>4.4125567806420759E-3</v>
      </c>
      <c r="D11" s="524" t="s">
        <v>647</v>
      </c>
      <c r="E11" s="525">
        <f>N4</f>
        <v>10664100</v>
      </c>
      <c r="F11" s="593">
        <f>E11/E35</f>
        <v>0.13179829636479756</v>
      </c>
      <c r="G11" s="547" t="s">
        <v>607</v>
      </c>
      <c r="H11" s="615">
        <v>0</v>
      </c>
      <c r="I11" s="518">
        <f t="shared" si="8"/>
        <v>0</v>
      </c>
      <c r="K11" s="684" t="s">
        <v>601</v>
      </c>
      <c r="L11" s="566" t="s">
        <v>602</v>
      </c>
      <c r="M11" s="583">
        <f t="shared" si="6"/>
        <v>100620</v>
      </c>
      <c r="N11" s="650">
        <v>100530</v>
      </c>
      <c r="O11" s="650">
        <v>0</v>
      </c>
      <c r="P11" s="650">
        <f>30+60</f>
        <v>90</v>
      </c>
      <c r="Q11" s="650">
        <v>0</v>
      </c>
      <c r="R11" s="650">
        <f t="shared" ref="R11:AD11" si="10">Q11</f>
        <v>0</v>
      </c>
      <c r="S11" s="568">
        <f t="shared" si="10"/>
        <v>0</v>
      </c>
      <c r="T11" s="568">
        <f t="shared" si="10"/>
        <v>0</v>
      </c>
      <c r="U11" s="568">
        <f t="shared" si="10"/>
        <v>0</v>
      </c>
      <c r="V11" s="568">
        <f t="shared" si="10"/>
        <v>0</v>
      </c>
      <c r="W11" s="568">
        <f t="shared" si="10"/>
        <v>0</v>
      </c>
      <c r="X11" s="568">
        <f t="shared" si="10"/>
        <v>0</v>
      </c>
      <c r="Y11" s="568">
        <f t="shared" si="10"/>
        <v>0</v>
      </c>
      <c r="Z11" s="568">
        <f t="shared" si="10"/>
        <v>0</v>
      </c>
      <c r="AA11" s="568">
        <f t="shared" si="10"/>
        <v>0</v>
      </c>
      <c r="AB11" s="568">
        <f t="shared" si="10"/>
        <v>0</v>
      </c>
      <c r="AC11" s="568">
        <f t="shared" si="10"/>
        <v>0</v>
      </c>
      <c r="AD11" s="568">
        <f t="shared" si="10"/>
        <v>0</v>
      </c>
    </row>
    <row r="12" spans="1:33" x14ac:dyDescent="0.25">
      <c r="A12" s="510" t="str">
        <f t="shared" si="4"/>
        <v>Premios</v>
      </c>
      <c r="B12" s="511">
        <f t="shared" si="5"/>
        <v>5.2185873275333632E-2</v>
      </c>
      <c r="D12" s="524" t="str">
        <f>L13</f>
        <v>Ing Reservas</v>
      </c>
      <c r="E12" s="525">
        <f>M13*-1</f>
        <v>-8500000</v>
      </c>
      <c r="F12" s="593">
        <f>E12/E35</f>
        <v>-0.10505204556416192</v>
      </c>
      <c r="G12" s="616" t="s">
        <v>609</v>
      </c>
      <c r="H12" s="617">
        <v>0</v>
      </c>
      <c r="I12" s="591">
        <f t="shared" si="8"/>
        <v>0</v>
      </c>
      <c r="K12" s="685"/>
      <c r="L12" s="566" t="s">
        <v>605</v>
      </c>
      <c r="M12" s="583">
        <f t="shared" si="6"/>
        <v>1190000</v>
      </c>
      <c r="N12" s="650">
        <v>1050000</v>
      </c>
      <c r="O12" s="650">
        <v>0</v>
      </c>
      <c r="P12" s="650">
        <v>0</v>
      </c>
      <c r="Q12" s="650">
        <v>0</v>
      </c>
      <c r="R12" s="650">
        <v>0</v>
      </c>
      <c r="S12" s="568">
        <v>140000</v>
      </c>
      <c r="T12" s="568">
        <v>0</v>
      </c>
      <c r="U12" s="568">
        <v>0</v>
      </c>
      <c r="V12" s="568">
        <v>0</v>
      </c>
      <c r="W12" s="568">
        <v>0</v>
      </c>
      <c r="X12" s="568">
        <v>0</v>
      </c>
      <c r="Y12" s="568">
        <v>0</v>
      </c>
      <c r="Z12" s="568">
        <v>0</v>
      </c>
      <c r="AA12" s="568">
        <v>0</v>
      </c>
      <c r="AB12" s="568">
        <v>0</v>
      </c>
      <c r="AC12" s="568">
        <v>0</v>
      </c>
      <c r="AD12" s="568">
        <v>0</v>
      </c>
    </row>
    <row r="13" spans="1:33" s="582" customFormat="1" ht="18.75" x14ac:dyDescent="0.3">
      <c r="A13" s="510" t="str">
        <f t="shared" si="4"/>
        <v>Ing Reservas</v>
      </c>
      <c r="B13" s="511">
        <f t="shared" si="5"/>
        <v>0.37275623768095451</v>
      </c>
      <c r="C13" s="580"/>
      <c r="D13" s="524" t="str">
        <f>L23</f>
        <v>Pago Reservas</v>
      </c>
      <c r="E13" s="525">
        <f>M23</f>
        <v>0</v>
      </c>
      <c r="F13" s="593">
        <f>E13/E35</f>
        <v>0</v>
      </c>
      <c r="G13" s="547" t="s">
        <v>612</v>
      </c>
      <c r="H13" s="615">
        <f>515850+950+970900</f>
        <v>1487700</v>
      </c>
      <c r="I13" s="518">
        <f t="shared" si="8"/>
        <v>1.838657978656514E-2</v>
      </c>
      <c r="K13" s="686"/>
      <c r="L13" s="566" t="s">
        <v>643</v>
      </c>
      <c r="M13" s="583">
        <f t="shared" si="6"/>
        <v>8500000</v>
      </c>
      <c r="N13" s="650">
        <v>500000</v>
      </c>
      <c r="O13" s="650">
        <f>N13</f>
        <v>500000</v>
      </c>
      <c r="P13" s="650">
        <f t="shared" ref="P13:AD13" si="11">O13</f>
        <v>500000</v>
      </c>
      <c r="Q13" s="650">
        <f t="shared" si="11"/>
        <v>500000</v>
      </c>
      <c r="R13" s="650">
        <f t="shared" si="11"/>
        <v>500000</v>
      </c>
      <c r="S13" s="568">
        <f t="shared" si="11"/>
        <v>500000</v>
      </c>
      <c r="T13" s="568">
        <f t="shared" si="11"/>
        <v>500000</v>
      </c>
      <c r="U13" s="568">
        <f t="shared" si="11"/>
        <v>500000</v>
      </c>
      <c r="V13" s="568">
        <f t="shared" si="11"/>
        <v>500000</v>
      </c>
      <c r="W13" s="568">
        <f t="shared" si="11"/>
        <v>500000</v>
      </c>
      <c r="X13" s="568">
        <f t="shared" si="11"/>
        <v>500000</v>
      </c>
      <c r="Y13" s="568">
        <f t="shared" si="11"/>
        <v>500000</v>
      </c>
      <c r="Z13" s="568">
        <f t="shared" si="11"/>
        <v>500000</v>
      </c>
      <c r="AA13" s="568">
        <f t="shared" si="11"/>
        <v>500000</v>
      </c>
      <c r="AB13" s="568">
        <f t="shared" si="11"/>
        <v>500000</v>
      </c>
      <c r="AC13" s="568">
        <f t="shared" si="11"/>
        <v>500000</v>
      </c>
      <c r="AD13" s="568">
        <f t="shared" si="11"/>
        <v>500000</v>
      </c>
    </row>
    <row r="14" spans="1:33" ht="18.75" x14ac:dyDescent="0.3">
      <c r="A14" s="580"/>
      <c r="B14" s="581">
        <f>SUM(B6:B13)</f>
        <v>1</v>
      </c>
      <c r="D14" s="521"/>
      <c r="E14" s="595"/>
      <c r="G14" s="547" t="s">
        <v>615</v>
      </c>
      <c r="H14" s="615">
        <f>959086-941000-910+1751596-1140-1841100+1184557-1900-1169788</f>
        <v>-60599</v>
      </c>
      <c r="I14" s="518">
        <f t="shared" si="8"/>
        <v>-7.4894693048737043E-4</v>
      </c>
      <c r="K14" s="577" t="s">
        <v>608</v>
      </c>
      <c r="L14" s="578"/>
      <c r="M14" s="584">
        <f t="shared" si="6"/>
        <v>22803106</v>
      </c>
      <c r="N14" s="579">
        <f>SUM(N6:N13)</f>
        <v>6419847</v>
      </c>
      <c r="O14" s="579">
        <f t="shared" ref="O14:AD14" si="12">SUM(O6:O13)</f>
        <v>741744</v>
      </c>
      <c r="P14" s="579">
        <f t="shared" si="12"/>
        <v>878965</v>
      </c>
      <c r="Q14" s="579">
        <f t="shared" si="12"/>
        <v>1514638</v>
      </c>
      <c r="R14" s="579">
        <f t="shared" si="12"/>
        <v>818951</v>
      </c>
      <c r="S14" s="579">
        <f t="shared" si="12"/>
        <v>2543031</v>
      </c>
      <c r="T14" s="579">
        <f t="shared" si="12"/>
        <v>794630</v>
      </c>
      <c r="U14" s="579">
        <f t="shared" si="12"/>
        <v>1093630</v>
      </c>
      <c r="V14" s="579">
        <f t="shared" si="12"/>
        <v>792630</v>
      </c>
      <c r="W14" s="579">
        <f t="shared" si="12"/>
        <v>1091630</v>
      </c>
      <c r="X14" s="579">
        <f t="shared" si="12"/>
        <v>790630</v>
      </c>
      <c r="Y14" s="579">
        <f t="shared" si="12"/>
        <v>1089630</v>
      </c>
      <c r="Z14" s="579">
        <f t="shared" si="12"/>
        <v>788630</v>
      </c>
      <c r="AA14" s="579">
        <f t="shared" si="12"/>
        <v>1087630</v>
      </c>
      <c r="AB14" s="579">
        <f t="shared" si="12"/>
        <v>786630</v>
      </c>
      <c r="AC14" s="579">
        <f t="shared" si="12"/>
        <v>785630</v>
      </c>
      <c r="AD14" s="579">
        <f t="shared" si="12"/>
        <v>784630</v>
      </c>
    </row>
    <row r="15" spans="1:33" ht="18.75" x14ac:dyDescent="0.3">
      <c r="A15" s="682">
        <f>M14</f>
        <v>22803106</v>
      </c>
      <c r="B15" s="682"/>
      <c r="D15" s="512" t="s">
        <v>603</v>
      </c>
      <c r="E15" s="513">
        <f>SUM(E16:E19)</f>
        <v>35166480</v>
      </c>
      <c r="F15" s="592">
        <f>E15/E35</f>
        <v>0.43462478344602223</v>
      </c>
      <c r="G15" s="547" t="s">
        <v>617</v>
      </c>
      <c r="H15" s="615">
        <v>0</v>
      </c>
      <c r="I15" s="518">
        <f t="shared" si="8"/>
        <v>0</v>
      </c>
      <c r="K15" s="573" t="s">
        <v>610</v>
      </c>
      <c r="L15" s="574" t="str">
        <f>K15</f>
        <v>Sueldos</v>
      </c>
      <c r="M15" s="526">
        <f t="shared" si="6"/>
        <v>1389690</v>
      </c>
      <c r="N15" s="651">
        <v>82664</v>
      </c>
      <c r="O15" s="651">
        <v>79866</v>
      </c>
      <c r="P15" s="651">
        <v>85172</v>
      </c>
      <c r="Q15" s="651">
        <v>84882</v>
      </c>
      <c r="R15" s="651">
        <v>85994</v>
      </c>
      <c r="S15" s="571">
        <v>86426</v>
      </c>
      <c r="T15" s="571">
        <f t="shared" ref="T15:AD15" si="13">S15-1000</f>
        <v>85426</v>
      </c>
      <c r="U15" s="571">
        <f t="shared" si="13"/>
        <v>84426</v>
      </c>
      <c r="V15" s="571">
        <f t="shared" si="13"/>
        <v>83426</v>
      </c>
      <c r="W15" s="571">
        <f t="shared" si="13"/>
        <v>82426</v>
      </c>
      <c r="X15" s="571">
        <f t="shared" si="13"/>
        <v>81426</v>
      </c>
      <c r="Y15" s="571">
        <f t="shared" si="13"/>
        <v>80426</v>
      </c>
      <c r="Z15" s="571">
        <f t="shared" si="13"/>
        <v>79426</v>
      </c>
      <c r="AA15" s="571">
        <f t="shared" si="13"/>
        <v>78426</v>
      </c>
      <c r="AB15" s="571">
        <f t="shared" si="13"/>
        <v>77426</v>
      </c>
      <c r="AC15" s="571">
        <f t="shared" si="13"/>
        <v>76426</v>
      </c>
      <c r="AD15" s="571">
        <f t="shared" si="13"/>
        <v>75426</v>
      </c>
    </row>
    <row r="16" spans="1:33" x14ac:dyDescent="0.25">
      <c r="D16" s="524" t="s">
        <v>606</v>
      </c>
      <c r="E16" s="525">
        <v>0</v>
      </c>
      <c r="F16" s="593">
        <f>E16/E35</f>
        <v>0</v>
      </c>
      <c r="G16" s="610" t="s">
        <v>619</v>
      </c>
      <c r="H16" s="604">
        <f>E29-H26</f>
        <v>5192068</v>
      </c>
      <c r="I16" s="518">
        <f t="shared" si="8"/>
        <v>6.4169101659791422E-2</v>
      </c>
      <c r="K16" s="573" t="s">
        <v>613</v>
      </c>
      <c r="L16" s="574" t="str">
        <f>K16</f>
        <v xml:space="preserve">Mantenimiento </v>
      </c>
      <c r="M16" s="526">
        <f t="shared" si="6"/>
        <v>834649</v>
      </c>
      <c r="N16" s="651">
        <v>49097</v>
      </c>
      <c r="O16" s="651">
        <f>N16</f>
        <v>49097</v>
      </c>
      <c r="P16" s="651">
        <f t="shared" ref="P16:AD16" si="14">O16</f>
        <v>49097</v>
      </c>
      <c r="Q16" s="651">
        <f t="shared" si="14"/>
        <v>49097</v>
      </c>
      <c r="R16" s="651">
        <f t="shared" si="14"/>
        <v>49097</v>
      </c>
      <c r="S16" s="571">
        <f t="shared" si="14"/>
        <v>49097</v>
      </c>
      <c r="T16" s="571">
        <f t="shared" si="14"/>
        <v>49097</v>
      </c>
      <c r="U16" s="571">
        <f t="shared" si="14"/>
        <v>49097</v>
      </c>
      <c r="V16" s="571">
        <f t="shared" si="14"/>
        <v>49097</v>
      </c>
      <c r="W16" s="571">
        <f t="shared" si="14"/>
        <v>49097</v>
      </c>
      <c r="X16" s="571">
        <f t="shared" si="14"/>
        <v>49097</v>
      </c>
      <c r="Y16" s="571">
        <f t="shared" si="14"/>
        <v>49097</v>
      </c>
      <c r="Z16" s="571">
        <f t="shared" si="14"/>
        <v>49097</v>
      </c>
      <c r="AA16" s="571">
        <f t="shared" si="14"/>
        <v>49097</v>
      </c>
      <c r="AB16" s="571">
        <f t="shared" si="14"/>
        <v>49097</v>
      </c>
      <c r="AC16" s="571">
        <f t="shared" si="14"/>
        <v>49097</v>
      </c>
      <c r="AD16" s="571">
        <f t="shared" si="14"/>
        <v>49097</v>
      </c>
    </row>
    <row r="17" spans="1:30" ht="15.75" customHeight="1" x14ac:dyDescent="0.25">
      <c r="D17" s="589" t="s">
        <v>603</v>
      </c>
      <c r="E17" s="590">
        <f>11662680+35000</f>
        <v>11697680</v>
      </c>
      <c r="F17" s="594">
        <f>E17/E35</f>
        <v>0.14457237792411595</v>
      </c>
      <c r="G17" s="521"/>
      <c r="H17" s="601"/>
      <c r="I17" s="530"/>
      <c r="K17" s="573" t="s">
        <v>616</v>
      </c>
      <c r="L17" s="574" t="s">
        <v>592</v>
      </c>
      <c r="M17" s="526">
        <f t="shared" si="6"/>
        <v>0</v>
      </c>
      <c r="N17" s="651">
        <v>0</v>
      </c>
      <c r="O17" s="651">
        <v>0</v>
      </c>
      <c r="P17" s="651">
        <v>0</v>
      </c>
      <c r="Q17" s="651">
        <v>0</v>
      </c>
      <c r="R17" s="651">
        <v>0</v>
      </c>
      <c r="S17" s="571">
        <v>0</v>
      </c>
      <c r="T17" s="571">
        <v>0</v>
      </c>
      <c r="U17" s="571">
        <v>0</v>
      </c>
      <c r="V17" s="571">
        <v>0</v>
      </c>
      <c r="W17" s="571">
        <v>0</v>
      </c>
      <c r="X17" s="571">
        <v>0</v>
      </c>
      <c r="Y17" s="571">
        <v>0</v>
      </c>
      <c r="Z17" s="571">
        <v>0</v>
      </c>
      <c r="AA17" s="571">
        <v>0</v>
      </c>
      <c r="AB17" s="571">
        <v>0</v>
      </c>
      <c r="AC17" s="571">
        <v>0</v>
      </c>
      <c r="AD17" s="571">
        <v>0</v>
      </c>
    </row>
    <row r="18" spans="1:30" x14ac:dyDescent="0.25">
      <c r="D18" s="524" t="s">
        <v>611</v>
      </c>
      <c r="E18" s="525">
        <f>3852540+924+1308000+870+4689000+1490+1887000+1044+740000+948+2327000+684</f>
        <v>14809500</v>
      </c>
      <c r="F18" s="593">
        <f>E18/E35</f>
        <v>0.18303156103323012</v>
      </c>
      <c r="G18" s="512" t="s">
        <v>623</v>
      </c>
      <c r="H18" s="605">
        <f>H19</f>
        <v>7110640</v>
      </c>
      <c r="I18" s="514">
        <f>H18/$H$35</f>
        <v>8.7880856149453221E-2</v>
      </c>
      <c r="K18" s="573" t="s">
        <v>618</v>
      </c>
      <c r="L18" s="574" t="str">
        <f>K18</f>
        <v>Empleados</v>
      </c>
      <c r="M18" s="526">
        <f t="shared" si="6"/>
        <v>1109760</v>
      </c>
      <c r="N18" s="651">
        <v>65280</v>
      </c>
      <c r="O18" s="651">
        <f>N18</f>
        <v>65280</v>
      </c>
      <c r="P18" s="651">
        <f t="shared" ref="P18:AD18" si="15">O18</f>
        <v>65280</v>
      </c>
      <c r="Q18" s="651">
        <f t="shared" si="15"/>
        <v>65280</v>
      </c>
      <c r="R18" s="651">
        <f t="shared" si="15"/>
        <v>65280</v>
      </c>
      <c r="S18" s="571">
        <f t="shared" si="15"/>
        <v>65280</v>
      </c>
      <c r="T18" s="571">
        <f t="shared" si="15"/>
        <v>65280</v>
      </c>
      <c r="U18" s="571">
        <f t="shared" si="15"/>
        <v>65280</v>
      </c>
      <c r="V18" s="571">
        <f t="shared" si="15"/>
        <v>65280</v>
      </c>
      <c r="W18" s="571">
        <f t="shared" si="15"/>
        <v>65280</v>
      </c>
      <c r="X18" s="571">
        <f t="shared" si="15"/>
        <v>65280</v>
      </c>
      <c r="Y18" s="571">
        <f t="shared" si="15"/>
        <v>65280</v>
      </c>
      <c r="Z18" s="571">
        <f t="shared" si="15"/>
        <v>65280</v>
      </c>
      <c r="AA18" s="571">
        <f t="shared" si="15"/>
        <v>65280</v>
      </c>
      <c r="AB18" s="571">
        <f t="shared" si="15"/>
        <v>65280</v>
      </c>
      <c r="AC18" s="571">
        <f t="shared" si="15"/>
        <v>65280</v>
      </c>
      <c r="AD18" s="571">
        <f t="shared" si="15"/>
        <v>65280</v>
      </c>
    </row>
    <row r="19" spans="1:30" x14ac:dyDescent="0.25">
      <c r="D19" s="524" t="s">
        <v>614</v>
      </c>
      <c r="E19" s="525">
        <f>1486140+2484+1548000+660+3600000+3132+2017000+1884</f>
        <v>8659300</v>
      </c>
      <c r="F19" s="593">
        <f>E19/E35</f>
        <v>0.10702084448867616</v>
      </c>
      <c r="G19" s="531" t="s">
        <v>622</v>
      </c>
      <c r="H19" s="606">
        <f>M20</f>
        <v>7110640</v>
      </c>
      <c r="I19" s="518">
        <f>H19/$H$35</f>
        <v>8.7880856149453221E-2</v>
      </c>
      <c r="K19" s="573" t="s">
        <v>620</v>
      </c>
      <c r="L19" s="574" t="str">
        <f>K19</f>
        <v>Juveniles</v>
      </c>
      <c r="M19" s="526">
        <f t="shared" si="6"/>
        <v>340000</v>
      </c>
      <c r="N19" s="651">
        <v>20000</v>
      </c>
      <c r="O19" s="651">
        <f>N19</f>
        <v>20000</v>
      </c>
      <c r="P19" s="651">
        <f t="shared" ref="P19:AD19" si="16">O19</f>
        <v>20000</v>
      </c>
      <c r="Q19" s="651">
        <f t="shared" si="16"/>
        <v>20000</v>
      </c>
      <c r="R19" s="651">
        <f t="shared" si="16"/>
        <v>20000</v>
      </c>
      <c r="S19" s="571">
        <f t="shared" si="16"/>
        <v>20000</v>
      </c>
      <c r="T19" s="571">
        <f t="shared" si="16"/>
        <v>20000</v>
      </c>
      <c r="U19" s="571">
        <f t="shared" si="16"/>
        <v>20000</v>
      </c>
      <c r="V19" s="571">
        <f t="shared" si="16"/>
        <v>20000</v>
      </c>
      <c r="W19" s="571">
        <f t="shared" si="16"/>
        <v>20000</v>
      </c>
      <c r="X19" s="571">
        <f t="shared" si="16"/>
        <v>20000</v>
      </c>
      <c r="Y19" s="571">
        <f t="shared" si="16"/>
        <v>20000</v>
      </c>
      <c r="Z19" s="571">
        <f t="shared" si="16"/>
        <v>20000</v>
      </c>
      <c r="AA19" s="571">
        <f t="shared" si="16"/>
        <v>20000</v>
      </c>
      <c r="AB19" s="571">
        <f t="shared" si="16"/>
        <v>20000</v>
      </c>
      <c r="AC19" s="571">
        <f t="shared" si="16"/>
        <v>20000</v>
      </c>
      <c r="AD19" s="571">
        <f t="shared" si="16"/>
        <v>20000</v>
      </c>
    </row>
    <row r="20" spans="1:30" x14ac:dyDescent="0.25">
      <c r="D20" s="521"/>
      <c r="E20" s="595"/>
      <c r="F20" s="598"/>
      <c r="G20" s="527"/>
      <c r="H20" s="607"/>
      <c r="I20" s="532"/>
      <c r="K20" s="573" t="s">
        <v>621</v>
      </c>
      <c r="L20" s="574" t="s">
        <v>622</v>
      </c>
      <c r="M20" s="526">
        <f t="shared" si="6"/>
        <v>7110640</v>
      </c>
      <c r="N20" s="651">
        <f>1486140+2484</f>
        <v>1488624</v>
      </c>
      <c r="O20" s="651">
        <f>3600000+3132+2017000+1884</f>
        <v>5622016</v>
      </c>
      <c r="P20" s="651">
        <v>0</v>
      </c>
      <c r="Q20" s="651">
        <f t="shared" ref="Q20:AD20" si="17">P20</f>
        <v>0</v>
      </c>
      <c r="R20" s="651">
        <f t="shared" si="17"/>
        <v>0</v>
      </c>
      <c r="S20" s="571">
        <f t="shared" si="17"/>
        <v>0</v>
      </c>
      <c r="T20" s="571">
        <f t="shared" si="17"/>
        <v>0</v>
      </c>
      <c r="U20" s="571">
        <f t="shared" si="17"/>
        <v>0</v>
      </c>
      <c r="V20" s="571">
        <f t="shared" si="17"/>
        <v>0</v>
      </c>
      <c r="W20" s="571">
        <f t="shared" si="17"/>
        <v>0</v>
      </c>
      <c r="X20" s="571">
        <f t="shared" si="17"/>
        <v>0</v>
      </c>
      <c r="Y20" s="571">
        <f t="shared" si="17"/>
        <v>0</v>
      </c>
      <c r="Z20" s="571">
        <f t="shared" si="17"/>
        <v>0</v>
      </c>
      <c r="AA20" s="571">
        <f t="shared" si="17"/>
        <v>0</v>
      </c>
      <c r="AB20" s="571">
        <f t="shared" si="17"/>
        <v>0</v>
      </c>
      <c r="AC20" s="571">
        <f t="shared" si="17"/>
        <v>0</v>
      </c>
      <c r="AD20" s="571">
        <f t="shared" si="17"/>
        <v>0</v>
      </c>
    </row>
    <row r="21" spans="1:30" x14ac:dyDescent="0.25">
      <c r="D21" s="512" t="s">
        <v>595</v>
      </c>
      <c r="E21" s="529">
        <f>E22</f>
        <v>5382939</v>
      </c>
      <c r="F21" s="592">
        <f>E21/E35</f>
        <v>6.6528088599659321E-2</v>
      </c>
      <c r="G21" s="527"/>
      <c r="H21" s="607"/>
      <c r="I21" s="532"/>
      <c r="K21" s="687" t="s">
        <v>601</v>
      </c>
      <c r="L21" s="574" t="s">
        <v>596</v>
      </c>
      <c r="M21" s="526">
        <f t="shared" si="6"/>
        <v>0</v>
      </c>
      <c r="N21" s="651">
        <v>0</v>
      </c>
      <c r="O21" s="651">
        <f>N21</f>
        <v>0</v>
      </c>
      <c r="P21" s="651">
        <f t="shared" ref="P21:AD21" si="18">O21</f>
        <v>0</v>
      </c>
      <c r="Q21" s="651">
        <f t="shared" si="18"/>
        <v>0</v>
      </c>
      <c r="R21" s="651">
        <f t="shared" si="18"/>
        <v>0</v>
      </c>
      <c r="S21" s="571">
        <f t="shared" si="18"/>
        <v>0</v>
      </c>
      <c r="T21" s="571">
        <f t="shared" si="18"/>
        <v>0</v>
      </c>
      <c r="U21" s="571">
        <f t="shared" si="18"/>
        <v>0</v>
      </c>
      <c r="V21" s="571">
        <f t="shared" si="18"/>
        <v>0</v>
      </c>
      <c r="W21" s="571">
        <f t="shared" si="18"/>
        <v>0</v>
      </c>
      <c r="X21" s="571">
        <f t="shared" si="18"/>
        <v>0</v>
      </c>
      <c r="Y21" s="571">
        <f t="shared" si="18"/>
        <v>0</v>
      </c>
      <c r="Z21" s="571">
        <f t="shared" si="18"/>
        <v>0</v>
      </c>
      <c r="AA21" s="571">
        <f t="shared" si="18"/>
        <v>0</v>
      </c>
      <c r="AB21" s="571">
        <f t="shared" si="18"/>
        <v>0</v>
      </c>
      <c r="AC21" s="571">
        <f t="shared" si="18"/>
        <v>0</v>
      </c>
      <c r="AD21" s="571">
        <f t="shared" si="18"/>
        <v>0</v>
      </c>
    </row>
    <row r="22" spans="1:30" x14ac:dyDescent="0.25">
      <c r="D22" s="524" t="s">
        <v>595</v>
      </c>
      <c r="E22" s="525">
        <f>M8+M9</f>
        <v>5382939</v>
      </c>
      <c r="F22" s="593">
        <f>E22/E35</f>
        <v>6.6528088599659321E-2</v>
      </c>
      <c r="G22" s="512" t="s">
        <v>627</v>
      </c>
      <c r="H22" s="602">
        <f>SUM(H23:H24)</f>
        <v>0</v>
      </c>
      <c r="I22" s="514">
        <f>H22/$H$35</f>
        <v>0</v>
      </c>
      <c r="K22" s="688"/>
      <c r="L22" s="574" t="s">
        <v>624</v>
      </c>
      <c r="M22" s="526">
        <f t="shared" si="6"/>
        <v>54000</v>
      </c>
      <c r="N22" s="651">
        <v>12000</v>
      </c>
      <c r="O22" s="651">
        <v>3000</v>
      </c>
      <c r="P22" s="651">
        <v>0</v>
      </c>
      <c r="Q22" s="651">
        <v>0</v>
      </c>
      <c r="R22" s="651">
        <v>3000</v>
      </c>
      <c r="S22" s="571">
        <f t="shared" ref="S22:AD22" si="19">R22</f>
        <v>3000</v>
      </c>
      <c r="T22" s="571">
        <f t="shared" si="19"/>
        <v>3000</v>
      </c>
      <c r="U22" s="571">
        <f t="shared" si="19"/>
        <v>3000</v>
      </c>
      <c r="V22" s="571">
        <f t="shared" si="19"/>
        <v>3000</v>
      </c>
      <c r="W22" s="571">
        <f t="shared" si="19"/>
        <v>3000</v>
      </c>
      <c r="X22" s="571">
        <f t="shared" si="19"/>
        <v>3000</v>
      </c>
      <c r="Y22" s="571">
        <f t="shared" si="19"/>
        <v>3000</v>
      </c>
      <c r="Z22" s="571">
        <f t="shared" si="19"/>
        <v>3000</v>
      </c>
      <c r="AA22" s="571">
        <f t="shared" si="19"/>
        <v>3000</v>
      </c>
      <c r="AB22" s="571">
        <f t="shared" si="19"/>
        <v>3000</v>
      </c>
      <c r="AC22" s="571">
        <f t="shared" si="19"/>
        <v>3000</v>
      </c>
      <c r="AD22" s="571">
        <f t="shared" si="19"/>
        <v>3000</v>
      </c>
    </row>
    <row r="23" spans="1:30" ht="18.75" x14ac:dyDescent="0.3">
      <c r="C23" s="534"/>
      <c r="D23" s="521"/>
      <c r="E23" s="595"/>
      <c r="F23" s="598"/>
      <c r="G23" s="531" t="s">
        <v>592</v>
      </c>
      <c r="H23" s="608">
        <f>M17</f>
        <v>0</v>
      </c>
      <c r="I23" s="518">
        <f>H23/$H$35</f>
        <v>0</v>
      </c>
      <c r="K23" s="689"/>
      <c r="L23" s="574" t="s">
        <v>641</v>
      </c>
      <c r="M23" s="526">
        <f t="shared" si="6"/>
        <v>0</v>
      </c>
      <c r="N23" s="651">
        <v>0</v>
      </c>
      <c r="O23" s="651">
        <f>N23</f>
        <v>0</v>
      </c>
      <c r="P23" s="651">
        <f t="shared" ref="P23:AD24" si="20">O23</f>
        <v>0</v>
      </c>
      <c r="Q23" s="651">
        <f t="shared" si="20"/>
        <v>0</v>
      </c>
      <c r="R23" s="651">
        <f t="shared" si="20"/>
        <v>0</v>
      </c>
      <c r="S23" s="571">
        <f t="shared" si="20"/>
        <v>0</v>
      </c>
      <c r="T23" s="571">
        <f t="shared" si="20"/>
        <v>0</v>
      </c>
      <c r="U23" s="571">
        <f t="shared" si="20"/>
        <v>0</v>
      </c>
      <c r="V23" s="571">
        <f t="shared" si="20"/>
        <v>0</v>
      </c>
      <c r="W23" s="571">
        <f t="shared" si="20"/>
        <v>0</v>
      </c>
      <c r="X23" s="571">
        <f t="shared" si="20"/>
        <v>0</v>
      </c>
      <c r="Y23" s="571">
        <f t="shared" si="20"/>
        <v>0</v>
      </c>
      <c r="Z23" s="571">
        <f t="shared" si="20"/>
        <v>0</v>
      </c>
      <c r="AA23" s="571">
        <f t="shared" si="20"/>
        <v>0</v>
      </c>
      <c r="AB23" s="571">
        <f t="shared" si="20"/>
        <v>0</v>
      </c>
      <c r="AC23" s="571">
        <f t="shared" si="20"/>
        <v>0</v>
      </c>
      <c r="AD23" s="571">
        <f t="shared" si="20"/>
        <v>0</v>
      </c>
    </row>
    <row r="24" spans="1:30" ht="18.75" x14ac:dyDescent="0.3">
      <c r="A24" s="535" t="str">
        <f t="shared" ref="A24:A31" si="21">L15</f>
        <v>Sueldos</v>
      </c>
      <c r="B24" s="536">
        <f t="shared" ref="B24:B31" si="22">M15/$M$25</f>
        <v>0.12821509956093602</v>
      </c>
      <c r="C24" s="507"/>
      <c r="D24" s="512" t="s">
        <v>646</v>
      </c>
      <c r="E24" s="513">
        <f>E25+E26-E27</f>
        <v>20651249</v>
      </c>
      <c r="F24" s="592">
        <f>E24/E35</f>
        <v>0.25523011187115924</v>
      </c>
      <c r="G24" s="531" t="s">
        <v>596</v>
      </c>
      <c r="H24" s="608">
        <f>M21</f>
        <v>0</v>
      </c>
      <c r="I24" s="518">
        <f>H24/$H$35</f>
        <v>0</v>
      </c>
      <c r="K24" s="573" t="s">
        <v>625</v>
      </c>
      <c r="L24" s="574" t="str">
        <f>K24</f>
        <v>Intereses</v>
      </c>
      <c r="M24" s="526">
        <f t="shared" si="6"/>
        <v>0</v>
      </c>
      <c r="N24" s="651">
        <v>0</v>
      </c>
      <c r="O24" s="651">
        <f t="shared" ref="O24" si="23">N24</f>
        <v>0</v>
      </c>
      <c r="P24" s="651">
        <f t="shared" si="20"/>
        <v>0</v>
      </c>
      <c r="Q24" s="651">
        <f t="shared" si="20"/>
        <v>0</v>
      </c>
      <c r="R24" s="651">
        <f t="shared" si="20"/>
        <v>0</v>
      </c>
      <c r="S24" s="571">
        <f t="shared" si="20"/>
        <v>0</v>
      </c>
      <c r="T24" s="571">
        <f t="shared" si="20"/>
        <v>0</v>
      </c>
      <c r="U24" s="571">
        <f t="shared" si="20"/>
        <v>0</v>
      </c>
      <c r="V24" s="571">
        <f t="shared" si="20"/>
        <v>0</v>
      </c>
      <c r="W24" s="571">
        <f t="shared" si="20"/>
        <v>0</v>
      </c>
      <c r="X24" s="571">
        <f t="shared" si="20"/>
        <v>0</v>
      </c>
      <c r="Y24" s="571">
        <f t="shared" si="20"/>
        <v>0</v>
      </c>
      <c r="Z24" s="571">
        <f t="shared" si="20"/>
        <v>0</v>
      </c>
      <c r="AA24" s="571">
        <f t="shared" si="20"/>
        <v>0</v>
      </c>
      <c r="AB24" s="571">
        <f t="shared" si="20"/>
        <v>0</v>
      </c>
      <c r="AC24" s="571">
        <f t="shared" si="20"/>
        <v>0</v>
      </c>
      <c r="AD24" s="571">
        <f t="shared" si="20"/>
        <v>0</v>
      </c>
    </row>
    <row r="25" spans="1:30" ht="18.75" x14ac:dyDescent="0.3">
      <c r="A25" s="535" t="str">
        <f t="shared" si="21"/>
        <v xml:space="preserve">Mantenimiento </v>
      </c>
      <c r="B25" s="536">
        <f t="shared" si="22"/>
        <v>7.7006098218621186E-2</v>
      </c>
      <c r="C25" s="494"/>
      <c r="D25" s="547" t="s">
        <v>648</v>
      </c>
      <c r="E25" s="548">
        <f>N5</f>
        <v>12151249</v>
      </c>
      <c r="F25" s="593">
        <f>E25/E35</f>
        <v>0.15017806630699729</v>
      </c>
      <c r="G25" s="541"/>
      <c r="H25" s="609"/>
      <c r="I25" s="542"/>
      <c r="K25" s="575" t="s">
        <v>626</v>
      </c>
      <c r="L25" s="576"/>
      <c r="M25" s="533">
        <f t="shared" si="6"/>
        <v>10838739</v>
      </c>
      <c r="N25" s="572">
        <f>SUM(N15:N24)</f>
        <v>1717665</v>
      </c>
      <c r="O25" s="572">
        <f t="shared" ref="O25:AD25" si="24">SUM(O15:O24)</f>
        <v>5839259</v>
      </c>
      <c r="P25" s="572">
        <f t="shared" si="24"/>
        <v>219549</v>
      </c>
      <c r="Q25" s="572">
        <f t="shared" si="24"/>
        <v>219259</v>
      </c>
      <c r="R25" s="572">
        <f t="shared" si="24"/>
        <v>223371</v>
      </c>
      <c r="S25" s="572">
        <f t="shared" si="24"/>
        <v>223803</v>
      </c>
      <c r="T25" s="572">
        <f t="shared" si="24"/>
        <v>222803</v>
      </c>
      <c r="U25" s="572">
        <f t="shared" si="24"/>
        <v>221803</v>
      </c>
      <c r="V25" s="572">
        <f t="shared" si="24"/>
        <v>220803</v>
      </c>
      <c r="W25" s="572">
        <f t="shared" si="24"/>
        <v>219803</v>
      </c>
      <c r="X25" s="572">
        <f t="shared" si="24"/>
        <v>218803</v>
      </c>
      <c r="Y25" s="572">
        <f t="shared" si="24"/>
        <v>217803</v>
      </c>
      <c r="Z25" s="572">
        <f t="shared" si="24"/>
        <v>216803</v>
      </c>
      <c r="AA25" s="572">
        <f t="shared" si="24"/>
        <v>215803</v>
      </c>
      <c r="AB25" s="572">
        <f t="shared" si="24"/>
        <v>214803</v>
      </c>
      <c r="AC25" s="572">
        <f t="shared" si="24"/>
        <v>213803</v>
      </c>
      <c r="AD25" s="572">
        <f t="shared" si="24"/>
        <v>212803</v>
      </c>
    </row>
    <row r="26" spans="1:30" ht="18.75" x14ac:dyDescent="0.3">
      <c r="A26" s="535" t="str">
        <f t="shared" si="21"/>
        <v>Estadio</v>
      </c>
      <c r="B26" s="536">
        <f t="shared" si="22"/>
        <v>0</v>
      </c>
      <c r="C26" s="502"/>
      <c r="D26" s="547" t="str">
        <f>D12</f>
        <v>Ing Reservas</v>
      </c>
      <c r="E26" s="548">
        <f>M13</f>
        <v>8500000</v>
      </c>
      <c r="F26" s="593">
        <f>E26/E35</f>
        <v>0.10505204556416192</v>
      </c>
      <c r="G26" s="512" t="s">
        <v>630</v>
      </c>
      <c r="H26" s="602">
        <f>SUM(H27:H32)</f>
        <v>3728099</v>
      </c>
      <c r="I26" s="514">
        <f t="shared" ref="I26:I32" si="25">H26/$H$35</f>
        <v>4.6075814825377238E-2</v>
      </c>
      <c r="K26" s="537" t="s">
        <v>628</v>
      </c>
      <c r="L26" s="537"/>
      <c r="M26" s="506">
        <f t="shared" ref="M26:AD26" si="26">M5+M14-M25</f>
        <v>24115616</v>
      </c>
      <c r="N26" s="506">
        <f t="shared" si="26"/>
        <v>16853431</v>
      </c>
      <c r="O26" s="506">
        <f t="shared" si="26"/>
        <v>11755916</v>
      </c>
      <c r="P26" s="506">
        <f t="shared" si="26"/>
        <v>12415332</v>
      </c>
      <c r="Q26" s="506">
        <f t="shared" si="26"/>
        <v>13710711</v>
      </c>
      <c r="R26" s="506">
        <f t="shared" si="26"/>
        <v>14306291</v>
      </c>
      <c r="S26" s="506">
        <f t="shared" si="26"/>
        <v>16625519</v>
      </c>
      <c r="T26" s="506">
        <f t="shared" si="26"/>
        <v>17197346</v>
      </c>
      <c r="U26" s="506">
        <f t="shared" si="26"/>
        <v>18069173</v>
      </c>
      <c r="V26" s="506">
        <f t="shared" si="26"/>
        <v>18641000</v>
      </c>
      <c r="W26" s="506">
        <f t="shared" si="26"/>
        <v>19512827</v>
      </c>
      <c r="X26" s="506">
        <f t="shared" si="26"/>
        <v>20084654</v>
      </c>
      <c r="Y26" s="506">
        <f t="shared" si="26"/>
        <v>20956481</v>
      </c>
      <c r="Z26" s="506">
        <f t="shared" si="26"/>
        <v>21528308</v>
      </c>
      <c r="AA26" s="506">
        <f t="shared" si="26"/>
        <v>22400135</v>
      </c>
      <c r="AB26" s="506">
        <f t="shared" si="26"/>
        <v>22971962</v>
      </c>
      <c r="AC26" s="506">
        <f t="shared" si="26"/>
        <v>23543789</v>
      </c>
      <c r="AD26" s="506">
        <f t="shared" si="26"/>
        <v>24115616</v>
      </c>
    </row>
    <row r="27" spans="1:30" x14ac:dyDescent="0.25">
      <c r="A27" s="535" t="str">
        <f t="shared" si="21"/>
        <v>Empleados</v>
      </c>
      <c r="B27" s="536">
        <f t="shared" si="22"/>
        <v>0.10238829443166775</v>
      </c>
      <c r="C27" s="499"/>
      <c r="D27" s="547" t="str">
        <f>D13</f>
        <v>Pago Reservas</v>
      </c>
      <c r="E27" s="548">
        <f>M23*-1</f>
        <v>0</v>
      </c>
      <c r="F27" s="593">
        <f>E27/E35</f>
        <v>0</v>
      </c>
      <c r="G27" s="531" t="s">
        <v>632</v>
      </c>
      <c r="H27" s="608">
        <f>M15</f>
        <v>1389690</v>
      </c>
      <c r="I27" s="518">
        <f t="shared" si="25"/>
        <v>1.7175267905889434E-2</v>
      </c>
      <c r="K27" s="538"/>
      <c r="L27" s="538"/>
      <c r="M27" s="538"/>
      <c r="N27" s="539">
        <f>N1+7</f>
        <v>43644</v>
      </c>
      <c r="O27" s="539">
        <f t="shared" ref="O27:AD27" si="27">N27+7</f>
        <v>43651</v>
      </c>
      <c r="P27" s="539">
        <f t="shared" si="27"/>
        <v>43658</v>
      </c>
      <c r="Q27" s="539">
        <f t="shared" si="27"/>
        <v>43665</v>
      </c>
      <c r="R27" s="539">
        <f t="shared" si="27"/>
        <v>43672</v>
      </c>
      <c r="S27" s="539">
        <f t="shared" si="27"/>
        <v>43679</v>
      </c>
      <c r="T27" s="539">
        <f t="shared" si="27"/>
        <v>43686</v>
      </c>
      <c r="U27" s="539">
        <f t="shared" si="27"/>
        <v>43693</v>
      </c>
      <c r="V27" s="539">
        <f t="shared" si="27"/>
        <v>43700</v>
      </c>
      <c r="W27" s="539">
        <f t="shared" si="27"/>
        <v>43707</v>
      </c>
      <c r="X27" s="539">
        <f t="shared" si="27"/>
        <v>43714</v>
      </c>
      <c r="Y27" s="539">
        <f t="shared" si="27"/>
        <v>43721</v>
      </c>
      <c r="Z27" s="539">
        <f t="shared" si="27"/>
        <v>43728</v>
      </c>
      <c r="AA27" s="539">
        <f t="shared" si="27"/>
        <v>43735</v>
      </c>
      <c r="AB27" s="539">
        <f t="shared" si="27"/>
        <v>43742</v>
      </c>
      <c r="AC27" s="539">
        <f t="shared" si="27"/>
        <v>43749</v>
      </c>
      <c r="AD27" s="539">
        <f t="shared" si="27"/>
        <v>43756</v>
      </c>
    </row>
    <row r="28" spans="1:30" x14ac:dyDescent="0.25">
      <c r="A28" s="535" t="str">
        <f t="shared" si="21"/>
        <v>Juveniles</v>
      </c>
      <c r="B28" s="536">
        <f t="shared" si="22"/>
        <v>3.1368962754800167E-2</v>
      </c>
      <c r="C28" s="502"/>
      <c r="D28" s="527"/>
      <c r="E28" s="528"/>
      <c r="F28" s="593"/>
      <c r="G28" s="531" t="s">
        <v>613</v>
      </c>
      <c r="H28" s="608">
        <f>M16</f>
        <v>834649</v>
      </c>
      <c r="I28" s="518">
        <f t="shared" si="25"/>
        <v>1.0315480562127317E-2</v>
      </c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</row>
    <row r="29" spans="1:30" x14ac:dyDescent="0.25">
      <c r="A29" s="535" t="str">
        <f t="shared" si="21"/>
        <v>Compra</v>
      </c>
      <c r="B29" s="536">
        <f t="shared" si="22"/>
        <v>0.65603941565527135</v>
      </c>
      <c r="D29" s="512" t="s">
        <v>629</v>
      </c>
      <c r="E29" s="513">
        <f>SUM(E30:E34)</f>
        <v>8920167</v>
      </c>
      <c r="F29" s="592">
        <f>E29/E35</f>
        <v>0.11024491648516865</v>
      </c>
      <c r="G29" s="531" t="s">
        <v>618</v>
      </c>
      <c r="H29" s="608">
        <f>M18</f>
        <v>1109760</v>
      </c>
      <c r="I29" s="518">
        <f t="shared" si="25"/>
        <v>1.3715595068856981E-2</v>
      </c>
      <c r="K29" s="543"/>
      <c r="L29" s="543"/>
      <c r="M29" s="544" t="s">
        <v>603</v>
      </c>
      <c r="N29" s="545"/>
      <c r="O29" s="545">
        <v>22</v>
      </c>
      <c r="P29" s="545">
        <v>25</v>
      </c>
      <c r="Q29" s="545">
        <v>24</v>
      </c>
      <c r="R29" s="545">
        <v>25</v>
      </c>
      <c r="S29" s="545">
        <v>24</v>
      </c>
      <c r="T29" s="545"/>
      <c r="U29" s="545"/>
      <c r="V29" s="545"/>
      <c r="W29" s="545"/>
      <c r="X29" s="545"/>
      <c r="Y29" s="545"/>
      <c r="Z29" s="545"/>
      <c r="AA29" s="545"/>
      <c r="AB29" s="545"/>
      <c r="AC29" s="545"/>
      <c r="AD29" s="545"/>
    </row>
    <row r="30" spans="1:30" x14ac:dyDescent="0.25">
      <c r="A30" s="535" t="str">
        <f t="shared" si="21"/>
        <v>Entrenador</v>
      </c>
      <c r="B30" s="536">
        <f t="shared" si="22"/>
        <v>0</v>
      </c>
      <c r="D30" s="547" t="s">
        <v>584</v>
      </c>
      <c r="E30" s="548">
        <f>M11</f>
        <v>100620</v>
      </c>
      <c r="F30" s="593">
        <f>E30/E35</f>
        <v>1.2435690381959969E-3</v>
      </c>
      <c r="G30" s="531" t="s">
        <v>620</v>
      </c>
      <c r="H30" s="608">
        <f>M19</f>
        <v>340000</v>
      </c>
      <c r="I30" s="518">
        <f t="shared" si="25"/>
        <v>4.2020818225664775E-3</v>
      </c>
      <c r="K30" s="491"/>
      <c r="L30" s="690" t="s">
        <v>631</v>
      </c>
      <c r="M30" s="546" t="s">
        <v>73</v>
      </c>
      <c r="N30" s="545"/>
      <c r="O30" s="545">
        <v>345970</v>
      </c>
      <c r="P30" s="545">
        <v>414040</v>
      </c>
      <c r="Q30" s="545">
        <v>409350</v>
      </c>
      <c r="R30" s="545">
        <v>405290</v>
      </c>
      <c r="S30" s="545">
        <v>401840</v>
      </c>
      <c r="T30" s="545"/>
      <c r="U30" s="545"/>
      <c r="V30" s="545"/>
      <c r="W30" s="545"/>
      <c r="X30" s="545"/>
      <c r="Y30" s="545"/>
      <c r="Z30" s="545"/>
      <c r="AA30" s="545"/>
      <c r="AB30" s="545"/>
      <c r="AC30" s="545"/>
      <c r="AD30" s="545"/>
    </row>
    <row r="31" spans="1:30" x14ac:dyDescent="0.25">
      <c r="A31" s="535" t="str">
        <f t="shared" si="21"/>
        <v>Viajes+Venta</v>
      </c>
      <c r="B31" s="536">
        <f t="shared" si="22"/>
        <v>4.9821293787035556E-3</v>
      </c>
      <c r="D31" s="547" t="s">
        <v>605</v>
      </c>
      <c r="E31" s="548">
        <f>M12</f>
        <v>1190000</v>
      </c>
      <c r="F31" s="593">
        <f>E31/E35</f>
        <v>1.470728637898267E-2</v>
      </c>
      <c r="G31" s="531" t="s">
        <v>624</v>
      </c>
      <c r="H31" s="608">
        <f>M22</f>
        <v>54000</v>
      </c>
      <c r="I31" s="518">
        <f t="shared" si="25"/>
        <v>6.6738946593702876E-4</v>
      </c>
      <c r="K31" s="491"/>
      <c r="L31" s="690"/>
      <c r="M31" s="546" t="s">
        <v>65</v>
      </c>
      <c r="N31" s="545"/>
      <c r="O31" s="545">
        <v>79566</v>
      </c>
      <c r="P31" s="545">
        <v>84872</v>
      </c>
      <c r="Q31" s="545">
        <v>85038</v>
      </c>
      <c r="R31" s="545">
        <v>86476</v>
      </c>
      <c r="S31" s="545">
        <v>86476</v>
      </c>
      <c r="T31" s="545"/>
      <c r="U31" s="545"/>
      <c r="V31" s="545"/>
      <c r="W31" s="545"/>
      <c r="X31" s="545"/>
      <c r="Y31" s="545"/>
      <c r="Z31" s="545"/>
      <c r="AA31" s="545"/>
      <c r="AB31" s="545"/>
      <c r="AC31" s="545"/>
      <c r="AD31" s="545"/>
    </row>
    <row r="32" spans="1:30" x14ac:dyDescent="0.25">
      <c r="A32" s="535" t="str">
        <f>L24</f>
        <v>Intereses</v>
      </c>
      <c r="B32" s="536">
        <f>M24/$M$25</f>
        <v>0</v>
      </c>
      <c r="D32" s="547" t="s">
        <v>588</v>
      </c>
      <c r="E32" s="548">
        <f>M6</f>
        <v>3122989</v>
      </c>
      <c r="F32" s="593">
        <f>E32/E35</f>
        <v>3.8597221496985468E-2</v>
      </c>
      <c r="G32" s="531" t="s">
        <v>625</v>
      </c>
      <c r="H32" s="608">
        <f>M24</f>
        <v>0</v>
      </c>
      <c r="I32" s="518">
        <f t="shared" si="25"/>
        <v>0</v>
      </c>
      <c r="K32" s="491"/>
      <c r="L32" s="690"/>
      <c r="M32" s="546" t="s">
        <v>633</v>
      </c>
      <c r="N32" s="545"/>
      <c r="O32" s="545">
        <v>280250</v>
      </c>
      <c r="P32" s="545">
        <v>325260</v>
      </c>
      <c r="Q32" s="545">
        <v>321450</v>
      </c>
      <c r="R32" s="545">
        <v>315120</v>
      </c>
      <c r="S32" s="545">
        <v>307290</v>
      </c>
      <c r="T32" s="545"/>
      <c r="U32" s="545"/>
      <c r="V32" s="545"/>
      <c r="W32" s="545"/>
      <c r="X32" s="545"/>
      <c r="Y32" s="545"/>
      <c r="Z32" s="545"/>
      <c r="AA32" s="545"/>
      <c r="AB32" s="545"/>
      <c r="AC32" s="545"/>
      <c r="AD32" s="545"/>
    </row>
    <row r="33" spans="1:30" ht="18.75" x14ac:dyDescent="0.3">
      <c r="A33" s="502"/>
      <c r="B33" s="550">
        <f>SUM(B24:B32)</f>
        <v>1</v>
      </c>
      <c r="D33" s="547" t="s">
        <v>591</v>
      </c>
      <c r="E33" s="548">
        <f>M7</f>
        <v>4283434</v>
      </c>
      <c r="F33" s="593">
        <f>E33/E35</f>
        <v>5.2939235734009459E-2</v>
      </c>
      <c r="G33" s="527"/>
      <c r="H33" s="607"/>
      <c r="I33" s="532"/>
      <c r="K33" s="491"/>
      <c r="L33" s="690"/>
      <c r="M33" s="546" t="s">
        <v>634</v>
      </c>
      <c r="N33" s="545"/>
      <c r="O33" s="545">
        <v>65410</v>
      </c>
      <c r="P33" s="545">
        <v>60046</v>
      </c>
      <c r="Q33" s="545">
        <v>58040</v>
      </c>
      <c r="R33" s="545">
        <v>59634</v>
      </c>
      <c r="S33" s="545">
        <v>58794</v>
      </c>
      <c r="T33" s="545"/>
      <c r="U33" s="545"/>
      <c r="V33" s="545"/>
      <c r="W33" s="545"/>
      <c r="X33" s="545"/>
      <c r="Y33" s="545"/>
      <c r="Z33" s="545"/>
      <c r="AA33" s="545"/>
      <c r="AB33" s="545"/>
      <c r="AC33" s="545"/>
      <c r="AD33" s="545"/>
    </row>
    <row r="34" spans="1:30" ht="18.75" x14ac:dyDescent="0.3">
      <c r="A34" s="499"/>
      <c r="B34" s="552"/>
      <c r="D34" s="596" t="s">
        <v>600</v>
      </c>
      <c r="E34" s="597">
        <f>M10</f>
        <v>223124</v>
      </c>
      <c r="F34" s="593">
        <f>E34/E35</f>
        <v>2.7576038369950665E-3</v>
      </c>
      <c r="G34" s="613"/>
      <c r="H34" s="614"/>
      <c r="I34" s="612"/>
      <c r="K34" s="491"/>
      <c r="L34" s="690"/>
      <c r="M34" s="546" t="s">
        <v>635</v>
      </c>
      <c r="N34" s="549"/>
      <c r="O34" s="549" t="s">
        <v>644</v>
      </c>
      <c r="P34" s="549" t="s">
        <v>651</v>
      </c>
      <c r="Q34" s="549" t="s">
        <v>655</v>
      </c>
      <c r="R34" s="549" t="s">
        <v>658</v>
      </c>
      <c r="S34" s="549" t="s">
        <v>669</v>
      </c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</row>
    <row r="35" spans="1:30" ht="18.75" x14ac:dyDescent="0.3">
      <c r="A35" s="691">
        <f>M25</f>
        <v>10838739</v>
      </c>
      <c r="B35" s="691"/>
      <c r="D35" s="599" t="s">
        <v>27</v>
      </c>
      <c r="E35" s="600">
        <f>E29+E21+E15+E5+E10+E24</f>
        <v>80912275</v>
      </c>
      <c r="F35" s="553">
        <f>F29+F21+F15+F5+F10+F24</f>
        <v>1</v>
      </c>
      <c r="G35" s="599" t="s">
        <v>27</v>
      </c>
      <c r="H35" s="600">
        <f>H26+H18+H10+H5+H22</f>
        <v>80912275</v>
      </c>
      <c r="I35" s="611">
        <f>H35/$H$35</f>
        <v>1</v>
      </c>
      <c r="K35" s="491"/>
      <c r="L35" s="690"/>
      <c r="M35" s="546" t="s">
        <v>636</v>
      </c>
      <c r="N35" s="551"/>
      <c r="O35" s="551">
        <v>5.5</v>
      </c>
      <c r="P35" s="551">
        <v>5.75</v>
      </c>
      <c r="Q35" s="551">
        <v>5.5</v>
      </c>
      <c r="R35" s="551">
        <v>5.5</v>
      </c>
      <c r="S35" s="551">
        <v>5.25</v>
      </c>
      <c r="T35" s="551"/>
      <c r="U35" s="551"/>
      <c r="V35" s="551"/>
      <c r="W35" s="551"/>
      <c r="X35" s="551"/>
      <c r="Y35" s="551"/>
      <c r="Z35" s="551"/>
      <c r="AA35" s="551"/>
      <c r="AB35" s="551"/>
      <c r="AC35" s="551"/>
      <c r="AD35" s="551"/>
    </row>
    <row r="36" spans="1:30" x14ac:dyDescent="0.25">
      <c r="E36" s="493"/>
      <c r="F36" s="554"/>
      <c r="G36" s="555"/>
      <c r="H36" s="556">
        <f>E35-H35</f>
        <v>0</v>
      </c>
      <c r="I36" s="493"/>
      <c r="K36" s="502"/>
      <c r="L36" s="690"/>
      <c r="M36" s="546" t="s">
        <v>637</v>
      </c>
      <c r="N36" s="551"/>
      <c r="O36" s="551">
        <v>5.5</v>
      </c>
      <c r="P36" s="551">
        <v>6</v>
      </c>
      <c r="Q36" s="551">
        <v>6.25</v>
      </c>
      <c r="R36" s="551">
        <v>6</v>
      </c>
      <c r="S36" s="551">
        <v>5.75</v>
      </c>
      <c r="T36" s="551"/>
      <c r="U36" s="551"/>
      <c r="V36" s="551"/>
      <c r="W36" s="551"/>
      <c r="X36" s="551"/>
      <c r="Y36" s="551"/>
      <c r="Z36" s="551"/>
      <c r="AA36" s="551"/>
      <c r="AB36" s="551"/>
      <c r="AC36" s="551"/>
      <c r="AD36" s="551"/>
    </row>
    <row r="37" spans="1:30" x14ac:dyDescent="0.25">
      <c r="E37" s="493"/>
      <c r="F37" s="493"/>
      <c r="H37" s="493"/>
      <c r="I37" s="493"/>
      <c r="K37" s="502"/>
      <c r="L37" s="690"/>
      <c r="M37" s="546" t="s">
        <v>638</v>
      </c>
      <c r="N37" s="551"/>
      <c r="O37" s="551">
        <v>11.75</v>
      </c>
      <c r="P37" s="551">
        <v>10.75</v>
      </c>
      <c r="Q37" s="551">
        <v>9.5</v>
      </c>
      <c r="R37" s="551">
        <v>9.75</v>
      </c>
      <c r="S37" s="551">
        <v>9.25</v>
      </c>
      <c r="T37" s="551"/>
      <c r="U37" s="551"/>
      <c r="V37" s="551"/>
      <c r="W37" s="551"/>
      <c r="X37" s="551"/>
      <c r="Y37" s="551"/>
      <c r="Z37" s="551"/>
      <c r="AA37" s="551"/>
      <c r="AB37" s="551"/>
      <c r="AC37" s="551"/>
      <c r="AD37" s="551"/>
    </row>
    <row r="38" spans="1:30" ht="15.75" x14ac:dyDescent="0.25">
      <c r="D38" s="559"/>
      <c r="E38" s="560"/>
      <c r="F38" s="493"/>
      <c r="G38" s="2"/>
      <c r="H38" s="561"/>
      <c r="I38" s="561"/>
      <c r="K38" s="502"/>
      <c r="L38" s="502"/>
      <c r="M38" s="557" t="s">
        <v>639</v>
      </c>
      <c r="N38" s="558"/>
      <c r="O38" s="558">
        <f t="shared" ref="O38:AD38" si="28">O30/O31</f>
        <v>4.3482140612824569</v>
      </c>
      <c r="P38" s="558">
        <f t="shared" si="28"/>
        <v>4.8784051277217459</v>
      </c>
      <c r="Q38" s="558">
        <f t="shared" si="28"/>
        <v>4.8137303323220211</v>
      </c>
      <c r="R38" s="558">
        <f t="shared" si="28"/>
        <v>4.6867338914843426</v>
      </c>
      <c r="S38" s="558">
        <f t="shared" si="28"/>
        <v>4.6468384291595353</v>
      </c>
      <c r="T38" s="558" t="e">
        <f t="shared" si="28"/>
        <v>#DIV/0!</v>
      </c>
      <c r="U38" s="558" t="e">
        <f t="shared" si="28"/>
        <v>#DIV/0!</v>
      </c>
      <c r="V38" s="558" t="e">
        <f t="shared" si="28"/>
        <v>#DIV/0!</v>
      </c>
      <c r="W38" s="558" t="e">
        <f t="shared" si="28"/>
        <v>#DIV/0!</v>
      </c>
      <c r="X38" s="558" t="e">
        <f t="shared" si="28"/>
        <v>#DIV/0!</v>
      </c>
      <c r="Y38" s="558" t="e">
        <f t="shared" si="28"/>
        <v>#DIV/0!</v>
      </c>
      <c r="Z38" s="558" t="e">
        <f t="shared" si="28"/>
        <v>#DIV/0!</v>
      </c>
      <c r="AA38" s="558" t="e">
        <f t="shared" si="28"/>
        <v>#DIV/0!</v>
      </c>
      <c r="AB38" s="558" t="e">
        <f t="shared" si="28"/>
        <v>#DIV/0!</v>
      </c>
      <c r="AC38" s="558" t="e">
        <f t="shared" si="28"/>
        <v>#DIV/0!</v>
      </c>
      <c r="AD38" s="558" t="e">
        <f t="shared" si="28"/>
        <v>#DIV/0!</v>
      </c>
    </row>
    <row r="39" spans="1:30" x14ac:dyDescent="0.25">
      <c r="E39" s="561"/>
      <c r="F39" s="493"/>
      <c r="H39" s="493"/>
      <c r="I39" s="493"/>
      <c r="K39" s="502"/>
      <c r="L39" s="502"/>
      <c r="M39" s="502"/>
      <c r="N39" s="343"/>
      <c r="O39" s="492"/>
      <c r="P39" s="692"/>
      <c r="Q39" s="692"/>
      <c r="R39" s="692"/>
      <c r="S39" s="692"/>
    </row>
    <row r="40" spans="1:30" x14ac:dyDescent="0.25">
      <c r="E40" s="493"/>
      <c r="F40" s="493"/>
      <c r="H40" s="493"/>
      <c r="I40" s="493"/>
      <c r="K40" s="502"/>
      <c r="L40" s="502"/>
      <c r="M40" s="50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</row>
    <row r="41" spans="1:30" x14ac:dyDescent="0.25">
      <c r="K41" s="502"/>
      <c r="L41" s="502"/>
      <c r="M41" s="50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92"/>
      <c r="AB41" s="492"/>
      <c r="AC41" s="492"/>
      <c r="AD41" s="492"/>
    </row>
    <row r="42" spans="1:30" x14ac:dyDescent="0.25">
      <c r="K42" s="502"/>
      <c r="L42" s="502"/>
      <c r="M42" s="502"/>
      <c r="O42" s="492"/>
      <c r="P42" s="683"/>
      <c r="Q42" s="683"/>
      <c r="R42" s="683"/>
      <c r="S42" s="683"/>
      <c r="V42" s="563"/>
    </row>
    <row r="43" spans="1:30" x14ac:dyDescent="0.25">
      <c r="K43" s="502"/>
      <c r="L43" s="502"/>
      <c r="M43" s="502"/>
      <c r="N43" s="563"/>
      <c r="O43" s="492"/>
      <c r="P43" s="564"/>
      <c r="Q43" s="564"/>
      <c r="R43" s="564"/>
      <c r="S43" s="564"/>
    </row>
    <row r="44" spans="1:30" x14ac:dyDescent="0.25">
      <c r="K44" s="502"/>
      <c r="L44" s="502"/>
      <c r="M44" s="502"/>
      <c r="O44" s="492"/>
      <c r="P44" s="683"/>
      <c r="Q44" s="683"/>
      <c r="R44" s="683"/>
      <c r="S44" s="683"/>
      <c r="Y44" s="563"/>
    </row>
    <row r="45" spans="1:30" x14ac:dyDescent="0.25">
      <c r="K45" s="502"/>
      <c r="L45" s="502"/>
      <c r="M45" s="502"/>
      <c r="O45" s="492"/>
      <c r="P45" s="683"/>
      <c r="Q45" s="683"/>
      <c r="R45" s="683"/>
      <c r="S45" s="565"/>
    </row>
    <row r="46" spans="1:30" x14ac:dyDescent="0.25">
      <c r="K46" s="502"/>
      <c r="L46" s="502"/>
      <c r="M46" s="502"/>
      <c r="O46" s="492"/>
    </row>
    <row r="47" spans="1:30" x14ac:dyDescent="0.25">
      <c r="K47" s="502"/>
      <c r="L47" s="502"/>
      <c r="M47" s="502"/>
      <c r="O47" s="492"/>
    </row>
    <row r="48" spans="1:30" x14ac:dyDescent="0.25">
      <c r="K48" s="502"/>
      <c r="L48" s="502"/>
      <c r="M48" s="502"/>
      <c r="O48" s="492"/>
    </row>
    <row r="49" spans="11:15" x14ac:dyDescent="0.25">
      <c r="K49" s="502"/>
      <c r="L49" s="502"/>
      <c r="M49" s="502"/>
      <c r="O49" s="492"/>
    </row>
    <row r="50" spans="11:15" x14ac:dyDescent="0.25">
      <c r="K50" s="502"/>
      <c r="L50" s="502"/>
      <c r="M50" s="502"/>
      <c r="O50" s="492"/>
    </row>
    <row r="51" spans="11:15" x14ac:dyDescent="0.25">
      <c r="K51" s="502"/>
      <c r="L51" s="502"/>
      <c r="M51" s="502"/>
      <c r="O51" s="492"/>
    </row>
    <row r="52" spans="11:15" x14ac:dyDescent="0.25">
      <c r="K52" s="502"/>
      <c r="L52" s="502"/>
      <c r="M52" s="502"/>
      <c r="O52" s="492"/>
    </row>
    <row r="53" spans="11:15" x14ac:dyDescent="0.25">
      <c r="K53" s="502"/>
      <c r="L53" s="502"/>
      <c r="M53" s="502"/>
      <c r="O53" s="492"/>
    </row>
    <row r="54" spans="11:15" x14ac:dyDescent="0.25">
      <c r="K54" s="502"/>
      <c r="L54" s="502"/>
      <c r="M54" s="502"/>
      <c r="O54" s="492"/>
    </row>
    <row r="55" spans="11:15" x14ac:dyDescent="0.25">
      <c r="K55" s="502"/>
      <c r="L55" s="502"/>
      <c r="M55" s="502"/>
      <c r="O55" s="492"/>
    </row>
    <row r="56" spans="11:15" x14ac:dyDescent="0.25">
      <c r="K56" s="502"/>
      <c r="L56" s="502"/>
      <c r="M56" s="502"/>
      <c r="O56" s="492"/>
    </row>
    <row r="57" spans="11:15" x14ac:dyDescent="0.25">
      <c r="K57" s="502"/>
      <c r="L57" s="502"/>
      <c r="M57" s="502"/>
      <c r="O57" s="492"/>
    </row>
    <row r="58" spans="11:15" x14ac:dyDescent="0.25">
      <c r="K58" s="502"/>
      <c r="L58" s="502"/>
      <c r="M58" s="502"/>
      <c r="O58" s="492"/>
    </row>
    <row r="59" spans="11:15" x14ac:dyDescent="0.25">
      <c r="K59" s="502"/>
      <c r="L59" s="502"/>
      <c r="M59" s="502"/>
      <c r="O59" s="492"/>
    </row>
    <row r="60" spans="11:15" x14ac:dyDescent="0.25">
      <c r="K60" s="502"/>
      <c r="L60" s="502"/>
      <c r="M60" s="502"/>
      <c r="O60" s="492"/>
    </row>
    <row r="61" spans="11:15" x14ac:dyDescent="0.25">
      <c r="K61" s="502"/>
      <c r="L61" s="502"/>
      <c r="M61" s="502"/>
      <c r="O61" s="492"/>
    </row>
    <row r="62" spans="11:15" x14ac:dyDescent="0.25">
      <c r="K62" s="502"/>
      <c r="L62" s="502"/>
      <c r="M62" s="502"/>
      <c r="O62" s="492"/>
    </row>
    <row r="63" spans="11:15" x14ac:dyDescent="0.25">
      <c r="K63" s="502"/>
      <c r="L63" s="502"/>
      <c r="M63" s="502"/>
      <c r="O63" s="492"/>
    </row>
    <row r="64" spans="11:15" x14ac:dyDescent="0.25">
      <c r="K64" s="502"/>
      <c r="L64" s="502"/>
      <c r="M64" s="502"/>
      <c r="O64" s="492"/>
    </row>
    <row r="65" spans="11:15" x14ac:dyDescent="0.25">
      <c r="K65" s="502"/>
      <c r="L65" s="502"/>
      <c r="M65" s="502"/>
      <c r="O65" s="492"/>
    </row>
    <row r="66" spans="11:15" x14ac:dyDescent="0.25">
      <c r="K66" s="502"/>
      <c r="L66" s="502"/>
      <c r="M66" s="502"/>
      <c r="O66" s="492"/>
    </row>
    <row r="67" spans="11:15" x14ac:dyDescent="0.25">
      <c r="K67" s="502"/>
      <c r="L67" s="502"/>
      <c r="M67" s="502"/>
      <c r="O67" s="492"/>
    </row>
    <row r="68" spans="11:15" x14ac:dyDescent="0.25">
      <c r="K68" s="502"/>
      <c r="L68" s="502"/>
      <c r="M68" s="502"/>
      <c r="O68" s="492"/>
    </row>
    <row r="69" spans="11:15" x14ac:dyDescent="0.25">
      <c r="K69" s="502"/>
      <c r="L69" s="502"/>
      <c r="M69" s="502"/>
      <c r="O69" s="492"/>
    </row>
    <row r="70" spans="11:15" x14ac:dyDescent="0.25">
      <c r="K70" s="502"/>
      <c r="L70" s="502"/>
      <c r="M70" s="502"/>
      <c r="O70" s="492"/>
    </row>
    <row r="71" spans="11:15" x14ac:dyDescent="0.25">
      <c r="K71" s="502"/>
      <c r="L71" s="502"/>
      <c r="M71" s="502"/>
      <c r="O71" s="492"/>
    </row>
    <row r="72" spans="11:15" x14ac:dyDescent="0.25">
      <c r="K72" s="502"/>
      <c r="L72" s="502"/>
      <c r="M72" s="502"/>
      <c r="O72" s="492"/>
    </row>
    <row r="73" spans="11:15" x14ac:dyDescent="0.25">
      <c r="K73" s="502"/>
      <c r="L73" s="502"/>
      <c r="M73" s="502"/>
      <c r="O73" s="492"/>
    </row>
    <row r="74" spans="11:15" x14ac:dyDescent="0.25">
      <c r="K74" s="502"/>
      <c r="L74" s="502"/>
      <c r="M74" s="502"/>
      <c r="O74" s="492"/>
    </row>
    <row r="75" spans="11:15" x14ac:dyDescent="0.25">
      <c r="K75" s="502"/>
      <c r="L75" s="502"/>
      <c r="M75" s="502"/>
      <c r="O75" s="492"/>
    </row>
    <row r="76" spans="11:15" x14ac:dyDescent="0.25">
      <c r="K76" s="502"/>
      <c r="L76" s="502"/>
      <c r="M76" s="502"/>
      <c r="O76" s="492"/>
    </row>
    <row r="77" spans="11:15" x14ac:dyDescent="0.25">
      <c r="K77" s="502"/>
      <c r="L77" s="502"/>
      <c r="M77" s="502"/>
      <c r="O77" s="492"/>
    </row>
    <row r="78" spans="11:15" x14ac:dyDescent="0.25">
      <c r="K78" s="502"/>
      <c r="L78" s="502"/>
      <c r="M78" s="502"/>
      <c r="O78" s="492"/>
    </row>
    <row r="79" spans="11:15" x14ac:dyDescent="0.25">
      <c r="K79" s="502"/>
      <c r="L79" s="502"/>
      <c r="M79" s="502"/>
      <c r="O79" s="492"/>
    </row>
    <row r="80" spans="11:15" x14ac:dyDescent="0.25">
      <c r="K80" s="502"/>
      <c r="L80" s="502"/>
      <c r="M80" s="502"/>
      <c r="O80" s="492"/>
    </row>
    <row r="81" spans="11:15" x14ac:dyDescent="0.25">
      <c r="K81" s="502"/>
      <c r="L81" s="502"/>
      <c r="M81" s="502"/>
      <c r="O81" s="492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693" t="s">
        <v>444</v>
      </c>
      <c r="B1" s="693"/>
      <c r="C1" s="693"/>
      <c r="D1" s="693"/>
      <c r="E1" s="693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35</v>
      </c>
      <c r="C3" s="115">
        <f ca="1">Plantilla!F4</f>
        <v>75</v>
      </c>
      <c r="D3" s="186">
        <f>Plantilla!G4</f>
        <v>0</v>
      </c>
      <c r="E3" s="265">
        <f>Plantilla!O4</f>
        <v>42468</v>
      </c>
      <c r="F3" s="115">
        <f>Plantilla!Q4</f>
        <v>4</v>
      </c>
      <c r="G3" s="142">
        <f>(F3/7)^0.5</f>
        <v>0.7559289460184544</v>
      </c>
      <c r="H3" s="142">
        <f>IF(F3=7,1,((F3+0.99)/7)^0.5)</f>
        <v>0.84430867747355465</v>
      </c>
      <c r="I3" s="195">
        <f ca="1">Plantilla!P4</f>
        <v>1</v>
      </c>
      <c r="J3" s="196">
        <f>Plantilla!I4</f>
        <v>24</v>
      </c>
      <c r="K3" s="49">
        <f>Plantilla!X4</f>
        <v>16.666666666666668</v>
      </c>
      <c r="L3" s="49">
        <f>Plantilla!Y4</f>
        <v>11.95</v>
      </c>
      <c r="M3" s="49">
        <f>Plantilla!Z4</f>
        <v>2.0699999999999985</v>
      </c>
      <c r="N3" s="49">
        <f>Plantilla!AA4</f>
        <v>2.149999999999999</v>
      </c>
      <c r="O3" s="49">
        <f>Plantilla!AB4</f>
        <v>0.95</v>
      </c>
      <c r="P3" s="49">
        <f>Plantilla!AC4</f>
        <v>0</v>
      </c>
      <c r="Q3" s="49">
        <f>Plantilla!AD4</f>
        <v>18.2</v>
      </c>
      <c r="R3" s="196">
        <f>((2*(O3+1))+(L3+1))/8</f>
        <v>2.1062499999999997</v>
      </c>
      <c r="S3" s="196">
        <f ca="1">1.66*(P3+(LOG(J3)*4/3)+I3)+0.55*(Q3+(LOG(J3)*4/3)+I3)-7.6</f>
        <v>8.6870224589102012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15.904957935860825</v>
      </c>
      <c r="W3" s="196">
        <f ca="1">IF(F3=7,V3,IF(TODAY()-E3&gt;335,(Q3+1+(LOG(J3)*4/3))*((F3+0.99)/7)^0.5,(Q3+((TODAY()-E3)^0.5)/(336^0.5)+(LOG(J3)*4/3))*((F3+0.99)/7)^0.5))</f>
        <v>17.764492378323794</v>
      </c>
      <c r="X3" s="83">
        <f ca="1">((K3+I3+(LOG(J3)*4/3))*0.597)+((L3+I3+(LOG(J3)*4/3))*0.276)</f>
        <v>15.727765885352309</v>
      </c>
      <c r="Y3" s="83">
        <f ca="1">((K3+I3+(LOG(J3)*4/3))*0.866)+((L3+I3+(LOG(J3)*4/3))*0.425)</f>
        <v>23.17888695073291</v>
      </c>
      <c r="Z3" s="83">
        <f ca="1">X3</f>
        <v>15.727765885352309</v>
      </c>
      <c r="AA3" s="83">
        <f ca="1">((L3+I3+(LOG(J3)*4/3))*0.516)</f>
        <v>7.6317853342975841</v>
      </c>
      <c r="AB3" s="83">
        <f ca="1">(L3+I3+(LOG(J3)*4/3))*1</f>
        <v>14.790281655615473</v>
      </c>
      <c r="AC3" s="83">
        <f ca="1">AA3/2</f>
        <v>3.8158926671487921</v>
      </c>
      <c r="AD3" s="83">
        <f ca="1">(M3+I3+(LOG(J3)*4/3))*0.238</f>
        <v>1.1686470340364825</v>
      </c>
      <c r="AE3" s="83">
        <f ca="1">((L3+I3+(LOG(J3)*4/3))*0.378)</f>
        <v>5.590726465822649</v>
      </c>
      <c r="AF3" s="83">
        <f ca="1">(L3+I3+(LOG(J3)*4/3))*0.723</f>
        <v>10.693373637009987</v>
      </c>
      <c r="AG3" s="83">
        <f ca="1">AE3/2</f>
        <v>2.7953632329113245</v>
      </c>
      <c r="AH3" s="83">
        <f ca="1">(M3+I3+(LOG(J3)*4/3))*0.385</f>
        <v>1.8904584374119573</v>
      </c>
      <c r="AI3" s="83">
        <f ca="1">((L3+I3+(LOG(J3)*4/3))*0.92)</f>
        <v>13.607059123166236</v>
      </c>
      <c r="AJ3" s="83">
        <f ca="1">(L3+I3+(LOG(J3)*4/3))*0.414</f>
        <v>6.1231766054248054</v>
      </c>
      <c r="AK3" s="83">
        <f ca="1">((M3+I3+(LOG(J3)*4/3))*0.167)</f>
        <v>0.82001703648778412</v>
      </c>
      <c r="AL3" s="83">
        <f ca="1">(N3+I3+(LOG(J3)*4/3))*0.588</f>
        <v>2.9342856135018982</v>
      </c>
      <c r="AM3" s="83">
        <f ca="1">((L3+I3+(LOG(J3)*4/3))*0.754)</f>
        <v>11.151872368334066</v>
      </c>
      <c r="AN3" s="83">
        <f ca="1">((L3+I3+(LOG(J3)*4/3))*0.708)</f>
        <v>10.471519412175754</v>
      </c>
      <c r="AO3" s="83">
        <f ca="1">((Q3+I3+(LOG(J3)*4/3))*0.167)</f>
        <v>3.5137270364877842</v>
      </c>
      <c r="AP3" s="83">
        <f ca="1">((R3+I3+(LOG(J3)*4/3))*0.288)</f>
        <v>1.4246011168172565</v>
      </c>
      <c r="AQ3" s="83">
        <f ca="1">((L3+I3+(LOG(J3)*4/3))*0.27)</f>
        <v>3.9933760470161781</v>
      </c>
      <c r="AR3" s="83">
        <f ca="1">((L3+I3+(LOG(J3)*4/3))*0.594)</f>
        <v>8.7854273034355899</v>
      </c>
      <c r="AS3" s="83">
        <f ca="1">AQ3/2</f>
        <v>1.996688023508089</v>
      </c>
      <c r="AT3" s="83">
        <f ca="1">((M3+I3+(LOG(J3)*4/3))*0.944)</f>
        <v>4.6353058829010063</v>
      </c>
      <c r="AU3" s="83">
        <f ca="1">((O3+I3+(LOG(J3)*4/3))*0.13)</f>
        <v>0.49273661523001172</v>
      </c>
      <c r="AV3" s="83">
        <f ca="1">((P3+I3+(LOG(J3)*4/3))*0.173)+((O3+I3+(LOG(J3)*4/3))*0.12)</f>
        <v>0.94620252509533409</v>
      </c>
      <c r="AW3" s="83">
        <f ca="1">AU3/2</f>
        <v>0.24636830761500586</v>
      </c>
      <c r="AX3" s="83">
        <f ca="1">((L3+I3+(LOG(J3)*4/3))*0.189)</f>
        <v>2.7953632329113245</v>
      </c>
      <c r="AY3" s="83">
        <f ca="1">((L3+I3+(LOG(J3)*4/3))*0.4)</f>
        <v>5.9161126622461895</v>
      </c>
      <c r="AZ3" s="83">
        <f ca="1">AX3/2</f>
        <v>1.3976816164556622</v>
      </c>
      <c r="BA3" s="83">
        <f ca="1">((M3+I3+(LOG(J3)*4/3))*1)</f>
        <v>4.9102816556154734</v>
      </c>
      <c r="BB3" s="83">
        <f ca="1">((O3+I3+(LOG(J3)*4/3))*0.253)</f>
        <v>0.95894125887071513</v>
      </c>
      <c r="BC3" s="83">
        <f ca="1">((P3+I3+(LOG(J3)*4/3))*0.21)+((O3+I3+(LOG(J3)*4/3))*0.341)</f>
        <v>1.8889451922441265</v>
      </c>
      <c r="BD3" s="83">
        <f ca="1">BB3/2</f>
        <v>0.47947062943535756</v>
      </c>
      <c r="BE3" s="83">
        <f ca="1">((L3+I3+(LOG(J3)*4/3))*0.291)</f>
        <v>4.3039719617841028</v>
      </c>
      <c r="BF3" s="83">
        <f ca="1">((L3+I3+(LOG(J3)*4/3))*0.348)</f>
        <v>5.1470180161541847</v>
      </c>
      <c r="BG3" s="83">
        <f ca="1">((M3+I3+(LOG(J3)*4/3))*0.881)</f>
        <v>4.3259581385972323</v>
      </c>
      <c r="BH3" s="83">
        <f ca="1">((N3+I3+(LOG(J3)*4/3))*0.574)+((O3+I3+(LOG(J3)*4/3))*0.315)</f>
        <v>4.0583603918421556</v>
      </c>
      <c r="BI3" s="83">
        <f ca="1">((O3+I3+(LOG(J3)*4/3))*0.241)</f>
        <v>0.91345787900332931</v>
      </c>
      <c r="BJ3" s="83">
        <f ca="1">((L3+I3+(LOG(J3)*4/3))*0.485)</f>
        <v>7.1732866029735041</v>
      </c>
      <c r="BK3" s="83">
        <f ca="1">((L3+I3+(LOG(J3)*4/3))*0.264)</f>
        <v>3.9046343570824851</v>
      </c>
      <c r="BL3" s="83">
        <f ca="1">((M3+I3+(LOG(J3)*4/3))*0.381)</f>
        <v>1.8708173107894954</v>
      </c>
      <c r="BM3" s="83">
        <f ca="1">((N3+I3+(LOG(J3)*4/3))*0.673)+((O3+I3+(LOG(J3)*4/3))*0.201)</f>
        <v>4.1203061670079242</v>
      </c>
      <c r="BN3" s="83">
        <f ca="1">((O3+I3+(LOG(J3)*4/3))*0.052)</f>
        <v>0.19709464609200467</v>
      </c>
      <c r="BO3" s="83">
        <f ca="1">((L3+I3+(LOG(J3)*4/3))*0.18)</f>
        <v>2.662250698010785</v>
      </c>
      <c r="BP3" s="83">
        <f ca="1">(L3+I3+(LOG(J3)*4/3))*0.068</f>
        <v>1.0057391525818522</v>
      </c>
      <c r="BQ3" s="83">
        <f ca="1">((M3+I3+(LOG(J3)*4/3))*0.305)</f>
        <v>1.4976359049627193</v>
      </c>
      <c r="BR3" s="83">
        <f ca="1">((N3+I3+(LOG(J3)*4/3))*1)+((O3+I3+(LOG(J3)*4/3))*0.286)</f>
        <v>6.0743022091214991</v>
      </c>
      <c r="BS3" s="83">
        <f ca="1">((O3+I3+(LOG(J3)*4/3))*0.135)</f>
        <v>0.51168802350808906</v>
      </c>
      <c r="BT3" s="83">
        <f ca="1">((L3+I3+(LOG(J3)*4/3))*0.284)</f>
        <v>4.200439990194794</v>
      </c>
      <c r="BU3" s="83">
        <f ca="1">(L3+I3+(LOG(J3)*4/3))*0.244</f>
        <v>3.6088287239701753</v>
      </c>
      <c r="BV3" s="83">
        <f ca="1">((M3+I3+(LOG(J3)*4/3))*0.455)</f>
        <v>2.2341781533050407</v>
      </c>
      <c r="BW3" s="83">
        <f ca="1">((N3+I3+(LOG(J3)*4/3))*0.864)+((O3+I3+(LOG(J3)*4/3))*0.244)</f>
        <v>5.2364320744219448</v>
      </c>
      <c r="BX3" s="83">
        <f ca="1">((O3+I3+(LOG(J3)*4/3))*0.121)</f>
        <v>0.45862408032947244</v>
      </c>
      <c r="BY3" s="83">
        <f ca="1">((L3+I3+(LOG(J3)*4/3))*0.284)</f>
        <v>4.200439990194794</v>
      </c>
      <c r="BZ3" s="83">
        <f ca="1">((L3+I3+(LOG(J3)*4/3))*0.244)</f>
        <v>3.6088287239701753</v>
      </c>
      <c r="CA3" s="83">
        <f ca="1">((M3+I3+(LOG(J3)*4/3))*0.631)</f>
        <v>3.0983877246933638</v>
      </c>
      <c r="CB3" s="83">
        <f ca="1">((N3+I3+(LOG(J3)*4/3))*0.702)+((O3+I3+(LOG(J3)*4/3))*0.193)</f>
        <v>4.2347020817758487</v>
      </c>
      <c r="CC3" s="83">
        <f ca="1">((O3+I3+(LOG(J3)*4/3))*0.148)</f>
        <v>0.56096168503109023</v>
      </c>
      <c r="CD3" s="83">
        <f ca="1">((M3+I3+(LOG(J3)*4/3))*0.406)</f>
        <v>1.9935743521798823</v>
      </c>
      <c r="CE3" s="83">
        <f ca="1">IF(D3="TEC",((N3+I3+(LOG(J3)*4/3))*0.15)+((O3+I3+(LOG(J3)*4/3))*0.324)+((P3+I3+(LOG(J3)*4/3))*0.127),(((N3+I3+(LOG(J3)*4/3))*0.144)+((O3+I3+(LOG(J3)*4/3))*0.25)+((P3+I3+(LOG(J3)*4/3))*0.127)))</f>
        <v>2.026886742575662</v>
      </c>
      <c r="CF3" s="83">
        <f ca="1">((O3+I3+(LOG(J3)*4/3))*0.543)+((P3+I3+(LOG(J3)*4/3))*0.583)</f>
        <v>3.7140071442230242</v>
      </c>
      <c r="CG3" s="83">
        <f ca="1">CE3</f>
        <v>2.026886742575662</v>
      </c>
      <c r="CH3" s="83">
        <f ca="1">((P3+1+(LOG(J3)*4/3))*0.26)+((N3+I3+(LOG(J3)*4/3))*0.221)+((O3+I3+(LOG(J3)*4/3))*0.142)</f>
        <v>2.3795454714484405</v>
      </c>
      <c r="CI3" s="83">
        <f ca="1">((P3+I3+(LOG(J3)*4/3))*1)+((O3+I3+(LOG(J3)*4/3))*0.369)</f>
        <v>4.238895586537585</v>
      </c>
      <c r="CJ3" s="83">
        <f ca="1">CH3</f>
        <v>2.3795454714484405</v>
      </c>
      <c r="CK3" s="83">
        <f ca="1">((M3+I3+(LOG(J3)*4/3))*0.25)</f>
        <v>1.2275704139038683</v>
      </c>
    </row>
    <row r="4" spans="1:89" x14ac:dyDescent="0.25">
      <c r="A4" t="str">
        <f>Plantilla!D5</f>
        <v>T. Hammond</v>
      </c>
      <c r="B4" s="319">
        <f>Plantilla!E5</f>
        <v>39</v>
      </c>
      <c r="C4" s="115">
        <f ca="1">Plantilla!F5</f>
        <v>84</v>
      </c>
      <c r="D4" s="319" t="str">
        <f>Plantilla!G5</f>
        <v>CAB</v>
      </c>
      <c r="E4" s="265">
        <v>36526</v>
      </c>
      <c r="F4" s="115">
        <f>Plantilla!Q5</f>
        <v>2</v>
      </c>
      <c r="G4" s="142">
        <f t="shared" ref="G4:G26" si="0">(F4/7)^0.5</f>
        <v>0.53452248382484879</v>
      </c>
      <c r="H4" s="142">
        <f t="shared" ref="H4:H26" si="1">IF(F4=7,1,((F4+0.99)/7)^0.5)</f>
        <v>0.65356167049702141</v>
      </c>
      <c r="I4" s="195">
        <f>Plantilla!P5</f>
        <v>1.5</v>
      </c>
      <c r="J4" s="196">
        <f>Plantilla!I5</f>
        <v>8.4</v>
      </c>
      <c r="K4" s="49">
        <f>Plantilla!X5</f>
        <v>6.95</v>
      </c>
      <c r="L4" s="49">
        <f>Plantilla!Y5</f>
        <v>6.95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1.48125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0.69650000000000001</v>
      </c>
      <c r="V4" s="196">
        <f t="shared" ref="V4:V26" ca="1" si="6">IF(TODAY()-E4&gt;335,(Q4+1+(LOG(J4)*4/3))*(F4/7)^0.5,(Q4+((TODAY()-E4)^0.5)/(336^0.5)+(LOG(J4)*4/3))*(F4/7)^0.5)</f>
        <v>8.6498418794930299</v>
      </c>
      <c r="W4" s="196">
        <f t="shared" ref="W4:W26" ca="1" si="7">IF(F4=7,V4,IF(TODAY()-E4&gt;335,(Q4+1+(LOG(J4)*4/3))*((F4+0.99)/7)^0.5,(Q4+((TODAY()-E4)^0.5)/(336^0.5)+(LOG(J4)*4/3))*((F4+0.99)/7)^0.5))</f>
        <v>10.576178326202999</v>
      </c>
      <c r="X4" s="83">
        <f t="shared" ref="X4:X26" si="8">((K4+I4+(LOG(J4)*4/3))*0.597)+((L4+I4+(LOG(J4)*4/3))*0.276)</f>
        <v>8.4527110889760309</v>
      </c>
      <c r="Y4" s="83">
        <f t="shared" ref="Y4:Y26" si="9">((K4+I4+(LOG(J4)*4/3))*0.866)+((L4+I4+(LOG(J4)*4/3))*0.425)</f>
        <v>12.499942744407853</v>
      </c>
      <c r="Z4" s="83">
        <f t="shared" ref="Z4:Z26" si="10">X4</f>
        <v>8.4527110889760309</v>
      </c>
      <c r="AA4" s="83">
        <f t="shared" ref="AA4:AA26" si="11">((L4+I4+(LOG(J4)*4/3))*0.516)</f>
        <v>4.9961041488105744</v>
      </c>
      <c r="AB4" s="83">
        <f t="shared" ref="AB4:AB26" si="12">(L4+I4+(LOG(J4)*4/3))*1</f>
        <v>9.682372381415842</v>
      </c>
      <c r="AC4" s="83">
        <f t="shared" ref="AC4:AC26" si="13">AA4/2</f>
        <v>2.4980520744052872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3.6599367601751882</v>
      </c>
      <c r="AF4" s="83">
        <f t="shared" ref="AF4:AF26" si="16">(L4+I4+(LOG(J4)*4/3))*0.723</f>
        <v>7.0003552317636535</v>
      </c>
      <c r="AG4" s="83">
        <f t="shared" ref="AG4:AG26" si="17">AE4/2</f>
        <v>1.8299683800875941</v>
      </c>
      <c r="AH4" s="83">
        <f t="shared" ref="AH4:AH26" si="18">(M4+I4+(LOG(J4)*4/3))*0.385</f>
        <v>1.0519633668450994</v>
      </c>
      <c r="AI4" s="83">
        <f t="shared" ref="AI4:AI26" si="19">((L4+I4+(LOG(J4)*4/3))*0.92)</f>
        <v>8.9077825909025758</v>
      </c>
      <c r="AJ4" s="83">
        <f t="shared" ref="AJ4:AJ26" si="20">(L4+I4+(LOG(J4)*4/3))*0.414</f>
        <v>4.0085021659061582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7.3005087755875451</v>
      </c>
      <c r="AN4" s="83">
        <f t="shared" ref="AN4:AN26" si="24">((L4+I4+(LOG(J4)*4/3))*0.708)</f>
        <v>6.8551196460424162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1.2135232458477625</v>
      </c>
      <c r="AQ4" s="83">
        <f t="shared" ref="AQ4:AQ26" si="27">((L4+I4+(LOG(J4)*4/3))*0.27)</f>
        <v>2.6142405429822775</v>
      </c>
      <c r="AR4" s="83">
        <f t="shared" ref="AR4:AR26" si="28">((L4+I4+(LOG(J4)*4/3))*0.594)</f>
        <v>5.7513291945610101</v>
      </c>
      <c r="AS4" s="83">
        <f t="shared" ref="AS4:AS26" si="29">AQ4/2</f>
        <v>1.3071202714911387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1.8299683800875941</v>
      </c>
      <c r="AY4" s="83">
        <f t="shared" ref="AY4:AY26" si="35">((L4+I4+(LOG(J4)*4/3))*0.4)</f>
        <v>3.872948952566337</v>
      </c>
      <c r="AZ4" s="83">
        <f t="shared" ref="AZ4:AZ26" si="36">AX4/2</f>
        <v>0.91498419004379705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2.8175703629920097</v>
      </c>
      <c r="BF4" s="83">
        <f t="shared" ref="BF4:BF26" si="42">((L4+I4+(LOG(J4)*4/3))*0.348)</f>
        <v>3.3694655887327127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4.6959506049866828</v>
      </c>
      <c r="BK4" s="83">
        <f t="shared" ref="BK4:BK26" si="47">((L4+I4+(LOG(J4)*4/3))*0.264)</f>
        <v>2.5561463086937826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1.7428270286548515</v>
      </c>
      <c r="BP4" s="83">
        <f t="shared" ref="BP4:BP26" si="52">(L4+I4+(LOG(J4)*4/3))*0.068</f>
        <v>0.65840132193627732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2.7497937563220991</v>
      </c>
      <c r="BU4" s="83">
        <f t="shared" ref="BU4:BU26" si="57">(L4+I4+(LOG(J4)*4/3))*0.244</f>
        <v>2.3624988610654656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2.7497937563220991</v>
      </c>
      <c r="BZ4" s="83">
        <f t="shared" ref="BZ4:BZ26" si="62">((L4+I4+(LOG(J4)*4/3))*0.244)</f>
        <v>2.3624988610654656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36</v>
      </c>
      <c r="C5" s="115">
        <f ca="1">Plantilla!F6</f>
        <v>86</v>
      </c>
      <c r="D5" s="319">
        <f>Plantilla!G6</f>
        <v>0</v>
      </c>
      <c r="E5" s="265">
        <v>36526</v>
      </c>
      <c r="F5" s="115">
        <f>Plantilla!Q6</f>
        <v>6</v>
      </c>
      <c r="G5" s="142">
        <f t="shared" si="0"/>
        <v>0.92582009977255142</v>
      </c>
      <c r="H5" s="142">
        <f t="shared" si="1"/>
        <v>0.99928545900129484</v>
      </c>
      <c r="I5" s="195">
        <f>Plantilla!P6</f>
        <v>1.5</v>
      </c>
      <c r="J5" s="196">
        <f>Plantilla!I6</f>
        <v>18.3</v>
      </c>
      <c r="K5" s="49">
        <f>Plantilla!X6</f>
        <v>0</v>
      </c>
      <c r="L5" s="49">
        <f>Plantilla!Y6</f>
        <v>11.95</v>
      </c>
      <c r="M5" s="49">
        <f>Plantilla!Z6</f>
        <v>11.75</v>
      </c>
      <c r="N5" s="49">
        <f>Plantilla!AA6</f>
        <v>8.9499999999999993</v>
      </c>
      <c r="O5" s="49">
        <f>Plantilla!AB6</f>
        <v>7.95</v>
      </c>
      <c r="P5" s="49">
        <f>Plantilla!AC6</f>
        <v>0.95</v>
      </c>
      <c r="Q5" s="49">
        <f>Plantilla!AD6</f>
        <v>17.177777777777774</v>
      </c>
      <c r="R5" s="196">
        <f t="shared" si="2"/>
        <v>3.8562499999999997</v>
      </c>
      <c r="S5" s="196">
        <f t="shared" si="3"/>
        <v>10.459800322183442</v>
      </c>
      <c r="T5" s="49">
        <f t="shared" si="4"/>
        <v>0.56283333333333307</v>
      </c>
      <c r="U5" s="49">
        <f t="shared" si="5"/>
        <v>0.99333333333333318</v>
      </c>
      <c r="V5" s="196">
        <f t="shared" ca="1" si="6"/>
        <v>18.387755494335078</v>
      </c>
      <c r="W5" s="196">
        <f t="shared" ca="1" si="7"/>
        <v>19.846854365847477</v>
      </c>
      <c r="X5" s="83">
        <f t="shared" si="8"/>
        <v>6.0771930684462196</v>
      </c>
      <c r="Y5" s="83">
        <f t="shared" si="9"/>
        <v>9.18834914245598</v>
      </c>
      <c r="Z5" s="83">
        <f t="shared" si="10"/>
        <v>6.0771930684462196</v>
      </c>
      <c r="AA5" s="83">
        <f t="shared" si="11"/>
        <v>7.8087663497345359</v>
      </c>
      <c r="AB5" s="83">
        <f t="shared" si="12"/>
        <v>15.133268119640572</v>
      </c>
      <c r="AC5" s="83">
        <f t="shared" si="13"/>
        <v>3.9043831748672679</v>
      </c>
      <c r="AD5" s="83">
        <f t="shared" si="14"/>
        <v>3.5541178124744564</v>
      </c>
      <c r="AE5" s="83">
        <f t="shared" si="15"/>
        <v>5.7203753492241365</v>
      </c>
      <c r="AF5" s="83">
        <f t="shared" si="16"/>
        <v>10.941352850500133</v>
      </c>
      <c r="AG5" s="83">
        <f t="shared" si="17"/>
        <v>2.8601876746120682</v>
      </c>
      <c r="AH5" s="83">
        <f t="shared" si="18"/>
        <v>5.7493082260616211</v>
      </c>
      <c r="AI5" s="83">
        <f t="shared" si="19"/>
        <v>13.922606670069326</v>
      </c>
      <c r="AJ5" s="83">
        <f t="shared" si="20"/>
        <v>6.2651730015311964</v>
      </c>
      <c r="AK5" s="83">
        <f t="shared" si="21"/>
        <v>2.4938557759799758</v>
      </c>
      <c r="AL5" s="83">
        <f t="shared" si="22"/>
        <v>7.1343616543486563</v>
      </c>
      <c r="AM5" s="83">
        <f t="shared" si="23"/>
        <v>11.410484162208991</v>
      </c>
      <c r="AN5" s="83">
        <f t="shared" si="24"/>
        <v>10.714353828705525</v>
      </c>
      <c r="AO5" s="83">
        <f t="shared" si="25"/>
        <v>3.4002946648688641</v>
      </c>
      <c r="AP5" s="83">
        <f t="shared" si="26"/>
        <v>2.0273812184564846</v>
      </c>
      <c r="AQ5" s="83">
        <f t="shared" si="27"/>
        <v>4.085982392302955</v>
      </c>
      <c r="AR5" s="83">
        <f t="shared" si="28"/>
        <v>8.9891612630664994</v>
      </c>
      <c r="AS5" s="83">
        <f t="shared" si="29"/>
        <v>2.0429911961514775</v>
      </c>
      <c r="AT5" s="83">
        <f t="shared" si="30"/>
        <v>14.097005104940701</v>
      </c>
      <c r="AU5" s="83">
        <f t="shared" si="31"/>
        <v>1.4473248555532745</v>
      </c>
      <c r="AV5" s="83">
        <f t="shared" si="32"/>
        <v>2.0510475590546875</v>
      </c>
      <c r="AW5" s="83">
        <f t="shared" si="33"/>
        <v>0.72366242777663725</v>
      </c>
      <c r="AX5" s="83">
        <f t="shared" si="34"/>
        <v>2.8601876746120682</v>
      </c>
      <c r="AY5" s="83">
        <f t="shared" si="35"/>
        <v>6.0533072478562291</v>
      </c>
      <c r="AZ5" s="83">
        <f t="shared" si="36"/>
        <v>1.4300938373060341</v>
      </c>
      <c r="BA5" s="83">
        <f t="shared" si="37"/>
        <v>14.933268119640573</v>
      </c>
      <c r="BB5" s="83">
        <f t="shared" si="38"/>
        <v>2.8167168342690649</v>
      </c>
      <c r="BC5" s="83">
        <f t="shared" si="39"/>
        <v>4.6644307339219555</v>
      </c>
      <c r="BD5" s="83">
        <f t="shared" si="40"/>
        <v>1.4083584171345325</v>
      </c>
      <c r="BE5" s="83">
        <f t="shared" si="41"/>
        <v>4.403781022815406</v>
      </c>
      <c r="BF5" s="83">
        <f t="shared" si="42"/>
        <v>5.2663773056349186</v>
      </c>
      <c r="BG5" s="83">
        <f t="shared" si="43"/>
        <v>13.156209213403345</v>
      </c>
      <c r="BH5" s="83">
        <f t="shared" si="44"/>
        <v>10.471475358360468</v>
      </c>
      <c r="BI5" s="83">
        <f t="shared" si="45"/>
        <v>2.6831176168333779</v>
      </c>
      <c r="BJ5" s="83">
        <f t="shared" si="46"/>
        <v>7.3396350380256772</v>
      </c>
      <c r="BK5" s="83">
        <f t="shared" si="47"/>
        <v>3.9951827835851113</v>
      </c>
      <c r="BL5" s="83">
        <f t="shared" si="48"/>
        <v>5.6895751535830588</v>
      </c>
      <c r="BM5" s="83">
        <f t="shared" si="49"/>
        <v>10.403476336565861</v>
      </c>
      <c r="BN5" s="83">
        <f t="shared" si="50"/>
        <v>0.57892994222130978</v>
      </c>
      <c r="BO5" s="83">
        <f t="shared" si="51"/>
        <v>2.723988261535303</v>
      </c>
      <c r="BP5" s="83">
        <f t="shared" si="52"/>
        <v>1.0290622321355589</v>
      </c>
      <c r="BQ5" s="83">
        <f t="shared" si="53"/>
        <v>4.5546467764903751</v>
      </c>
      <c r="BR5" s="83">
        <f t="shared" si="54"/>
        <v>15.317382801857775</v>
      </c>
      <c r="BS5" s="83">
        <f t="shared" si="55"/>
        <v>1.5029911961514772</v>
      </c>
      <c r="BT5" s="83">
        <f t="shared" si="56"/>
        <v>4.2978481459779223</v>
      </c>
      <c r="BU5" s="83">
        <f t="shared" si="57"/>
        <v>3.6925174211922998</v>
      </c>
      <c r="BV5" s="83">
        <f t="shared" si="58"/>
        <v>6.7946369944364609</v>
      </c>
      <c r="BW5" s="83">
        <f t="shared" si="59"/>
        <v>13.199661076561755</v>
      </c>
      <c r="BX5" s="83">
        <f t="shared" si="60"/>
        <v>1.3471254424765091</v>
      </c>
      <c r="BY5" s="83">
        <f t="shared" si="61"/>
        <v>4.2978481459779223</v>
      </c>
      <c r="BZ5" s="83">
        <f t="shared" si="62"/>
        <v>3.6925174211922998</v>
      </c>
      <c r="CA5" s="83">
        <f t="shared" si="63"/>
        <v>9.422892183493202</v>
      </c>
      <c r="CB5" s="83">
        <f t="shared" si="64"/>
        <v>10.666274967078312</v>
      </c>
      <c r="CC5" s="83">
        <f t="shared" si="65"/>
        <v>1.6477236817068046</v>
      </c>
      <c r="CD5" s="83">
        <f t="shared" si="66"/>
        <v>6.0629068565740729</v>
      </c>
      <c r="CE5" s="83">
        <f t="shared" si="67"/>
        <v>5.0554326903327382</v>
      </c>
      <c r="CF5" s="83">
        <f t="shared" si="68"/>
        <v>8.4550599027152842</v>
      </c>
      <c r="CG5" s="83">
        <f t="shared" si="69"/>
        <v>5.0554326903327382</v>
      </c>
      <c r="CH5" s="83">
        <f t="shared" si="70"/>
        <v>5.2070260385360765</v>
      </c>
      <c r="CI5" s="83">
        <f t="shared" si="71"/>
        <v>8.2414440557879445</v>
      </c>
      <c r="CJ5" s="83">
        <f t="shared" si="72"/>
        <v>5.2070260385360765</v>
      </c>
      <c r="CK5" s="83">
        <f t="shared" si="73"/>
        <v>3.7333170299101432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32</v>
      </c>
      <c r="C7" s="115">
        <f ca="1">Plantilla!F7</f>
        <v>94</v>
      </c>
      <c r="D7" s="319">
        <f>Plantilla!G7</f>
        <v>0</v>
      </c>
      <c r="E7" s="265">
        <v>36526</v>
      </c>
      <c r="F7" s="115">
        <f>Plantilla!Q7</f>
        <v>6</v>
      </c>
      <c r="G7" s="142">
        <f t="shared" si="0"/>
        <v>0.92582009977255142</v>
      </c>
      <c r="H7" s="142">
        <f t="shared" si="1"/>
        <v>0.99928545900129484</v>
      </c>
      <c r="I7" s="195">
        <f>Plantilla!P7</f>
        <v>1.5</v>
      </c>
      <c r="J7" s="196">
        <f>Plantilla!I7</f>
        <v>6.4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6.1599999999999984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10.322404767783633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14.267829984503798</v>
      </c>
      <c r="W7" s="196">
        <f t="shared" ca="1" si="7"/>
        <v>15.400005939080417</v>
      </c>
      <c r="X7" s="83">
        <f t="shared" si="8"/>
        <v>4.898781489717245</v>
      </c>
      <c r="Y7" s="83">
        <f t="shared" si="9"/>
        <v>7.4061877952175976</v>
      </c>
      <c r="Z7" s="83">
        <f t="shared" si="10"/>
        <v>4.898781489717245</v>
      </c>
      <c r="AA7" s="83">
        <f t="shared" si="11"/>
        <v>6.2846598221009149</v>
      </c>
      <c r="AB7" s="83">
        <f t="shared" si="12"/>
        <v>12.179573298645183</v>
      </c>
      <c r="AC7" s="83">
        <f t="shared" si="13"/>
        <v>3.1423299110504574</v>
      </c>
      <c r="AD7" s="83">
        <f t="shared" si="14"/>
        <v>2.5168277784108866</v>
      </c>
      <c r="AE7" s="83">
        <f t="shared" si="15"/>
        <v>4.6038787068878788</v>
      </c>
      <c r="AF7" s="83">
        <f t="shared" si="16"/>
        <v>8.8058314949204668</v>
      </c>
      <c r="AG7" s="83">
        <f t="shared" si="17"/>
        <v>2.3019393534439394</v>
      </c>
      <c r="AH7" s="83">
        <f t="shared" si="18"/>
        <v>4.0713390533117284</v>
      </c>
      <c r="AI7" s="83">
        <f t="shared" si="19"/>
        <v>11.205207434753568</v>
      </c>
      <c r="AJ7" s="83">
        <f t="shared" si="20"/>
        <v>5.0423433456391056</v>
      </c>
      <c r="AK7" s="83">
        <f t="shared" si="21"/>
        <v>1.7660094075404122</v>
      </c>
      <c r="AL7" s="83">
        <f t="shared" si="22"/>
        <v>5.1361250996033663</v>
      </c>
      <c r="AM7" s="83">
        <f t="shared" si="23"/>
        <v>9.1833982671784682</v>
      </c>
      <c r="AN7" s="83">
        <f t="shared" si="24"/>
        <v>8.6231378954407898</v>
      </c>
      <c r="AO7" s="83">
        <f t="shared" si="25"/>
        <v>2.6571399630959678</v>
      </c>
      <c r="AP7" s="83">
        <f t="shared" si="26"/>
        <v>1.8335011100098124</v>
      </c>
      <c r="AQ7" s="83">
        <f t="shared" si="27"/>
        <v>3.2884847906341994</v>
      </c>
      <c r="AR7" s="83">
        <f t="shared" si="28"/>
        <v>7.2346665393952385</v>
      </c>
      <c r="AS7" s="83">
        <f t="shared" si="29"/>
        <v>1.6442423953170997</v>
      </c>
      <c r="AT7" s="83">
        <f t="shared" si="30"/>
        <v>9.9827118605877185</v>
      </c>
      <c r="AU7" s="83">
        <f t="shared" si="31"/>
        <v>1.4869711954905402</v>
      </c>
      <c r="AV7" s="83">
        <f t="shared" si="32"/>
        <v>2.3283976431697049</v>
      </c>
      <c r="AW7" s="83">
        <f t="shared" si="33"/>
        <v>0.74348559774527012</v>
      </c>
      <c r="AX7" s="83">
        <f t="shared" si="34"/>
        <v>2.3019393534439394</v>
      </c>
      <c r="AY7" s="83">
        <f t="shared" si="35"/>
        <v>4.8718293194580733</v>
      </c>
      <c r="AZ7" s="83">
        <f t="shared" si="36"/>
        <v>1.1509696767219697</v>
      </c>
      <c r="BA7" s="83">
        <f t="shared" si="37"/>
        <v>10.574906631978516</v>
      </c>
      <c r="BB7" s="83">
        <f t="shared" si="38"/>
        <v>2.8938747112238974</v>
      </c>
      <c r="BC7" s="83">
        <f t="shared" si="39"/>
        <v>5.0606702208868288</v>
      </c>
      <c r="BD7" s="83">
        <f t="shared" si="40"/>
        <v>1.4469373556119487</v>
      </c>
      <c r="BE7" s="83">
        <f t="shared" si="41"/>
        <v>3.5442558299057478</v>
      </c>
      <c r="BF7" s="83">
        <f t="shared" si="42"/>
        <v>4.238491507928523</v>
      </c>
      <c r="BG7" s="83">
        <f t="shared" si="43"/>
        <v>9.3164927427730735</v>
      </c>
      <c r="BH7" s="83">
        <f t="shared" si="44"/>
        <v>8.6168819958288978</v>
      </c>
      <c r="BI7" s="83">
        <f t="shared" si="45"/>
        <v>2.756615831640155</v>
      </c>
      <c r="BJ7" s="83">
        <f t="shared" si="46"/>
        <v>5.9070930498429135</v>
      </c>
      <c r="BK7" s="83">
        <f t="shared" si="47"/>
        <v>3.2154073508423284</v>
      </c>
      <c r="BL7" s="83">
        <f t="shared" si="48"/>
        <v>4.0290394267838145</v>
      </c>
      <c r="BM7" s="83">
        <f t="shared" si="49"/>
        <v>8.1776783963492221</v>
      </c>
      <c r="BN7" s="83">
        <f t="shared" si="50"/>
        <v>0.59478847819621605</v>
      </c>
      <c r="BO7" s="83">
        <f t="shared" si="51"/>
        <v>2.1923231937561329</v>
      </c>
      <c r="BP7" s="83">
        <f t="shared" si="52"/>
        <v>0.82821098430787254</v>
      </c>
      <c r="BQ7" s="83">
        <f t="shared" si="53"/>
        <v>3.2253465227534472</v>
      </c>
      <c r="BR7" s="83">
        <f t="shared" si="54"/>
        <v>12.006243262057703</v>
      </c>
      <c r="BS7" s="83">
        <f t="shared" si="55"/>
        <v>1.5441623953170995</v>
      </c>
      <c r="BT7" s="83">
        <f t="shared" si="56"/>
        <v>3.4589988168152317</v>
      </c>
      <c r="BU7" s="83">
        <f t="shared" si="57"/>
        <v>2.9718158848694247</v>
      </c>
      <c r="BV7" s="83">
        <f t="shared" si="58"/>
        <v>4.8115825175502254</v>
      </c>
      <c r="BW7" s="83">
        <f t="shared" si="59"/>
        <v>10.337889881565527</v>
      </c>
      <c r="BX7" s="83">
        <f t="shared" si="60"/>
        <v>1.3840270358027336</v>
      </c>
      <c r="BY7" s="83">
        <f t="shared" si="61"/>
        <v>3.4589988168152317</v>
      </c>
      <c r="BZ7" s="83">
        <f t="shared" si="62"/>
        <v>2.9718158848694247</v>
      </c>
      <c r="CA7" s="83">
        <f t="shared" si="63"/>
        <v>6.672766084778444</v>
      </c>
      <c r="CB7" s="83">
        <f t="shared" si="64"/>
        <v>8.3394847689541027</v>
      </c>
      <c r="CC7" s="83">
        <f t="shared" si="65"/>
        <v>1.6928595148661534</v>
      </c>
      <c r="CD7" s="83">
        <f t="shared" si="66"/>
        <v>4.2934120925832779</v>
      </c>
      <c r="CE7" s="83">
        <f t="shared" si="67"/>
        <v>4.8190496885941396</v>
      </c>
      <c r="CF7" s="83">
        <f t="shared" si="68"/>
        <v>9.4319848676078095</v>
      </c>
      <c r="CG7" s="83">
        <f t="shared" si="69"/>
        <v>4.8190496885941396</v>
      </c>
      <c r="CH7" s="83">
        <f t="shared" si="70"/>
        <v>4.8611201650559481</v>
      </c>
      <c r="CI7" s="83">
        <f t="shared" si="71"/>
        <v>9.7456171791785877</v>
      </c>
      <c r="CJ7" s="83">
        <f t="shared" si="72"/>
        <v>4.8611201650559481</v>
      </c>
      <c r="CK7" s="83">
        <f t="shared" si="73"/>
        <v>2.643726657994629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48</v>
      </c>
      <c r="D8" s="319" t="str">
        <f>Plantilla!G8</f>
        <v>IMP</v>
      </c>
      <c r="E8" s="265">
        <v>36526</v>
      </c>
      <c r="F8" s="115">
        <f>Plantilla!Q8</f>
        <v>5</v>
      </c>
      <c r="G8" s="142">
        <f t="shared" si="0"/>
        <v>0.84515425472851657</v>
      </c>
      <c r="H8" s="142">
        <f t="shared" si="1"/>
        <v>0.92504826128926143</v>
      </c>
      <c r="I8" s="195">
        <f>Plantilla!P8</f>
        <v>1.5</v>
      </c>
      <c r="J8" s="196">
        <f>Plantilla!I8</f>
        <v>17.399999999999999</v>
      </c>
      <c r="K8" s="49">
        <f>Plantilla!X8</f>
        <v>0</v>
      </c>
      <c r="L8" s="49">
        <f>Plantilla!Y8</f>
        <v>11.95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4.3562499999999993</v>
      </c>
      <c r="S8" s="196">
        <f t="shared" si="3"/>
        <v>17.228985118272725</v>
      </c>
      <c r="T8" s="49">
        <f t="shared" si="4"/>
        <v>0.77339999999999998</v>
      </c>
      <c r="U8" s="49">
        <f t="shared" si="5"/>
        <v>1.0039</v>
      </c>
      <c r="V8" s="196">
        <f t="shared" ca="1" si="6"/>
        <v>17.058648973967813</v>
      </c>
      <c r="W8" s="196">
        <f t="shared" ca="1" si="7"/>
        <v>18.671234848580035</v>
      </c>
      <c r="X8" s="83">
        <f t="shared" si="8"/>
        <v>6.0516993250009463</v>
      </c>
      <c r="Y8" s="83">
        <f t="shared" si="9"/>
        <v>9.1506487727104471</v>
      </c>
      <c r="Z8" s="83">
        <f t="shared" si="10"/>
        <v>6.0516993250009463</v>
      </c>
      <c r="AA8" s="83">
        <f t="shared" si="11"/>
        <v>7.7936978828184289</v>
      </c>
      <c r="AB8" s="83">
        <f t="shared" si="12"/>
        <v>15.104065664376799</v>
      </c>
      <c r="AC8" s="83">
        <f t="shared" si="13"/>
        <v>3.8968489414092145</v>
      </c>
      <c r="AD8" s="83">
        <f t="shared" si="14"/>
        <v>3.5947676281216783</v>
      </c>
      <c r="AE8" s="83">
        <f t="shared" si="15"/>
        <v>5.7093368211344302</v>
      </c>
      <c r="AF8" s="83">
        <f t="shared" si="16"/>
        <v>10.920239475344426</v>
      </c>
      <c r="AG8" s="83">
        <f t="shared" si="17"/>
        <v>2.8546684105672151</v>
      </c>
      <c r="AH8" s="83">
        <f t="shared" si="18"/>
        <v>5.8150652807850678</v>
      </c>
      <c r="AI8" s="83">
        <f t="shared" si="19"/>
        <v>13.895740411226656</v>
      </c>
      <c r="AJ8" s="83">
        <f t="shared" si="20"/>
        <v>6.2530831850519943</v>
      </c>
      <c r="AK8" s="83">
        <f t="shared" si="21"/>
        <v>2.5223789659509257</v>
      </c>
      <c r="AL8" s="83">
        <f t="shared" si="22"/>
        <v>8.8811906106535581</v>
      </c>
      <c r="AM8" s="83">
        <f t="shared" si="23"/>
        <v>11.388465510940106</v>
      </c>
      <c r="AN8" s="83">
        <f t="shared" si="24"/>
        <v>10.693678490378772</v>
      </c>
      <c r="AO8" s="83">
        <f t="shared" si="25"/>
        <v>3.4542389659509252</v>
      </c>
      <c r="AP8" s="83">
        <f t="shared" si="26"/>
        <v>2.1629709113405182</v>
      </c>
      <c r="AQ8" s="83">
        <f t="shared" si="27"/>
        <v>4.078097729381736</v>
      </c>
      <c r="AR8" s="83">
        <f t="shared" si="28"/>
        <v>8.9718150046398186</v>
      </c>
      <c r="AS8" s="83">
        <f t="shared" si="29"/>
        <v>2.039048864690868</v>
      </c>
      <c r="AT8" s="83">
        <f t="shared" si="30"/>
        <v>14.258237987171698</v>
      </c>
      <c r="AU8" s="83">
        <f t="shared" si="31"/>
        <v>1.703528536368984</v>
      </c>
      <c r="AV8" s="83">
        <f t="shared" si="32"/>
        <v>2.9744912396624019</v>
      </c>
      <c r="AW8" s="83">
        <f t="shared" si="33"/>
        <v>0.85176426818449202</v>
      </c>
      <c r="AX8" s="83">
        <f t="shared" si="34"/>
        <v>2.8546684105672151</v>
      </c>
      <c r="AY8" s="83">
        <f t="shared" si="35"/>
        <v>6.04162626575072</v>
      </c>
      <c r="AZ8" s="83">
        <f t="shared" si="36"/>
        <v>1.4273342052836075</v>
      </c>
      <c r="BA8" s="83">
        <f t="shared" si="37"/>
        <v>15.104065664376799</v>
      </c>
      <c r="BB8" s="83">
        <f t="shared" si="38"/>
        <v>3.3153286130873303</v>
      </c>
      <c r="BC8" s="83">
        <f t="shared" si="39"/>
        <v>6.1703401810716159</v>
      </c>
      <c r="BD8" s="83">
        <f t="shared" si="40"/>
        <v>1.6576643065436651</v>
      </c>
      <c r="BE8" s="83">
        <f t="shared" si="41"/>
        <v>4.3952831083336479</v>
      </c>
      <c r="BF8" s="83">
        <f t="shared" si="42"/>
        <v>5.2562148512031257</v>
      </c>
      <c r="BG8" s="83">
        <f t="shared" si="43"/>
        <v>13.306681850315961</v>
      </c>
      <c r="BH8" s="83">
        <f t="shared" si="44"/>
        <v>12.797514375630975</v>
      </c>
      <c r="BI8" s="83">
        <f t="shared" si="45"/>
        <v>3.1580798251148083</v>
      </c>
      <c r="BJ8" s="83">
        <f t="shared" si="46"/>
        <v>7.3254718472227474</v>
      </c>
      <c r="BK8" s="83">
        <f t="shared" si="47"/>
        <v>3.987473335395475</v>
      </c>
      <c r="BL8" s="83">
        <f t="shared" si="48"/>
        <v>5.7546490181275605</v>
      </c>
      <c r="BM8" s="83">
        <f t="shared" si="49"/>
        <v>12.798953390665325</v>
      </c>
      <c r="BN8" s="83">
        <f t="shared" si="50"/>
        <v>0.68141141454759357</v>
      </c>
      <c r="BO8" s="83">
        <f t="shared" si="51"/>
        <v>2.7187318195878238</v>
      </c>
      <c r="BP8" s="83">
        <f t="shared" si="52"/>
        <v>1.0270764651776225</v>
      </c>
      <c r="BQ8" s="83">
        <f t="shared" si="53"/>
        <v>4.606740027634924</v>
      </c>
      <c r="BR8" s="83">
        <f t="shared" si="54"/>
        <v>18.851828444388563</v>
      </c>
      <c r="BS8" s="83">
        <f t="shared" si="55"/>
        <v>1.769048864690868</v>
      </c>
      <c r="BT8" s="83">
        <f t="shared" si="56"/>
        <v>4.2895546486830103</v>
      </c>
      <c r="BU8" s="83">
        <f t="shared" si="57"/>
        <v>3.6853920221079388</v>
      </c>
      <c r="BV8" s="83">
        <f t="shared" si="58"/>
        <v>6.8723498772914438</v>
      </c>
      <c r="BW8" s="83">
        <f t="shared" si="59"/>
        <v>16.247304756129491</v>
      </c>
      <c r="BX8" s="83">
        <f t="shared" si="60"/>
        <v>1.5855919453895926</v>
      </c>
      <c r="BY8" s="83">
        <f t="shared" si="61"/>
        <v>4.2895546486830103</v>
      </c>
      <c r="BZ8" s="83">
        <f t="shared" si="62"/>
        <v>3.6853920221079388</v>
      </c>
      <c r="CA8" s="83">
        <f t="shared" si="63"/>
        <v>9.5306654342217598</v>
      </c>
      <c r="CB8" s="83">
        <f t="shared" si="64"/>
        <v>13.132138769617235</v>
      </c>
      <c r="CC8" s="83">
        <f t="shared" si="65"/>
        <v>1.9394017183277661</v>
      </c>
      <c r="CD8" s="83">
        <f t="shared" si="66"/>
        <v>6.1322506597369806</v>
      </c>
      <c r="CE8" s="83">
        <f t="shared" si="67"/>
        <v>6.4802182111403122</v>
      </c>
      <c r="CF8" s="83">
        <f t="shared" si="68"/>
        <v>11.840177938088276</v>
      </c>
      <c r="CG8" s="83">
        <f t="shared" si="69"/>
        <v>6.4802182111403122</v>
      </c>
      <c r="CH8" s="83">
        <f t="shared" si="70"/>
        <v>7.1758329089067461</v>
      </c>
      <c r="CI8" s="83">
        <f t="shared" si="71"/>
        <v>12.939465894531839</v>
      </c>
      <c r="CJ8" s="83">
        <f t="shared" si="72"/>
        <v>7.1758329089067461</v>
      </c>
      <c r="CK8" s="83">
        <f t="shared" si="73"/>
        <v>3.7760164160941998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7</v>
      </c>
      <c r="D9" s="319" t="str">
        <f>Plantilla!G9</f>
        <v>TEC</v>
      </c>
      <c r="E9" s="265">
        <v>36526</v>
      </c>
      <c r="F9" s="115">
        <f>Plantilla!Q9</f>
        <v>6</v>
      </c>
      <c r="G9" s="142">
        <f t="shared" si="0"/>
        <v>0.92582009977255142</v>
      </c>
      <c r="H9" s="142">
        <f t="shared" si="1"/>
        <v>0.99928545900129484</v>
      </c>
      <c r="I9" s="195">
        <f>Plantilla!P9</f>
        <v>1.5</v>
      </c>
      <c r="J9" s="196">
        <f>Plantilla!I9</f>
        <v>15</v>
      </c>
      <c r="K9" s="49">
        <f>Plantilla!X9</f>
        <v>0</v>
      </c>
      <c r="L9" s="49">
        <f>Plantilla!Y9</f>
        <v>9.3036666666666648</v>
      </c>
      <c r="M9" s="49">
        <f>Plantilla!Z9</f>
        <v>14</v>
      </c>
      <c r="N9" s="49">
        <f>Plantilla!AA9</f>
        <v>12.945</v>
      </c>
      <c r="O9" s="49">
        <f>Plantilla!AB9</f>
        <v>9.9499999999999993</v>
      </c>
      <c r="P9" s="49">
        <f>Plantilla!AC9</f>
        <v>3.95</v>
      </c>
      <c r="Q9" s="49">
        <f>Plantilla!AD9</f>
        <v>16</v>
      </c>
      <c r="R9" s="196">
        <f t="shared" si="2"/>
        <v>4.0254583333333329</v>
      </c>
      <c r="S9" s="196">
        <f t="shared" si="3"/>
        <v>14.537548910017408</v>
      </c>
      <c r="T9" s="49">
        <f t="shared" si="4"/>
        <v>0.67749999999999999</v>
      </c>
      <c r="U9" s="49">
        <f t="shared" si="5"/>
        <v>0.8521466666666665</v>
      </c>
      <c r="V9" s="196">
        <f t="shared" ca="1" si="6"/>
        <v>17.190740265200784</v>
      </c>
      <c r="W9" s="196">
        <f t="shared" ca="1" si="7"/>
        <v>18.5548539945325</v>
      </c>
      <c r="X9" s="83">
        <f t="shared" si="8"/>
        <v>5.2462822255408126</v>
      </c>
      <c r="Y9" s="83">
        <f t="shared" si="9"/>
        <v>7.915003420587845</v>
      </c>
      <c r="Z9" s="83">
        <f t="shared" si="10"/>
        <v>5.2462822255408126</v>
      </c>
      <c r="AA9" s="83">
        <f t="shared" si="11"/>
        <v>6.383842786230308</v>
      </c>
      <c r="AB9" s="83">
        <f t="shared" si="12"/>
        <v>12.371788345407573</v>
      </c>
      <c r="AC9" s="83">
        <f t="shared" si="13"/>
        <v>3.191921393115154</v>
      </c>
      <c r="AD9" s="83">
        <f t="shared" si="14"/>
        <v>4.0622129595403358</v>
      </c>
      <c r="AE9" s="83">
        <f t="shared" si="15"/>
        <v>4.6765359945640625</v>
      </c>
      <c r="AF9" s="83">
        <f t="shared" si="16"/>
        <v>8.9448029737296757</v>
      </c>
      <c r="AG9" s="83">
        <f t="shared" si="17"/>
        <v>2.3382679972820313</v>
      </c>
      <c r="AH9" s="83">
        <f t="shared" si="18"/>
        <v>6.5712268463152501</v>
      </c>
      <c r="AI9" s="83">
        <f t="shared" si="19"/>
        <v>11.382045277774967</v>
      </c>
      <c r="AJ9" s="83">
        <f t="shared" si="20"/>
        <v>5.1219203749987354</v>
      </c>
      <c r="AK9" s="83">
        <f t="shared" si="21"/>
        <v>2.8503763203497319</v>
      </c>
      <c r="AL9" s="83">
        <f t="shared" si="22"/>
        <v>9.4157155470996532</v>
      </c>
      <c r="AM9" s="83">
        <f t="shared" si="23"/>
        <v>9.32832841243731</v>
      </c>
      <c r="AN9" s="83">
        <f t="shared" si="24"/>
        <v>8.7592261485485619</v>
      </c>
      <c r="AO9" s="83">
        <f t="shared" si="25"/>
        <v>3.1843763203497319</v>
      </c>
      <c r="AP9" s="83">
        <f t="shared" si="26"/>
        <v>2.0429510434773812</v>
      </c>
      <c r="AQ9" s="83">
        <f t="shared" si="27"/>
        <v>3.3403828532600448</v>
      </c>
      <c r="AR9" s="83">
        <f t="shared" si="28"/>
        <v>7.348842277172098</v>
      </c>
      <c r="AS9" s="83">
        <f t="shared" si="29"/>
        <v>1.6701914266300224</v>
      </c>
      <c r="AT9" s="83">
        <f t="shared" si="30"/>
        <v>16.112306864731416</v>
      </c>
      <c r="AU9" s="83">
        <f t="shared" si="31"/>
        <v>1.6923558182363181</v>
      </c>
      <c r="AV9" s="83">
        <f t="shared" si="32"/>
        <v>2.7763096518710859</v>
      </c>
      <c r="AW9" s="83">
        <f t="shared" si="33"/>
        <v>0.84617790911815904</v>
      </c>
      <c r="AX9" s="83">
        <f t="shared" si="34"/>
        <v>2.3382679972820313</v>
      </c>
      <c r="AY9" s="83">
        <f t="shared" si="35"/>
        <v>4.94871533816303</v>
      </c>
      <c r="AZ9" s="83">
        <f t="shared" si="36"/>
        <v>1.1691339986410156</v>
      </c>
      <c r="BA9" s="83">
        <f t="shared" si="37"/>
        <v>17.068121678740908</v>
      </c>
      <c r="BB9" s="83">
        <f t="shared" si="38"/>
        <v>3.2935847847214497</v>
      </c>
      <c r="BC9" s="83">
        <f t="shared" si="39"/>
        <v>5.9129850449862413</v>
      </c>
      <c r="BD9" s="83">
        <f t="shared" si="40"/>
        <v>1.6467923923607248</v>
      </c>
      <c r="BE9" s="83">
        <f t="shared" si="41"/>
        <v>3.6001904085136034</v>
      </c>
      <c r="BF9" s="83">
        <f t="shared" si="42"/>
        <v>4.3053823442018349</v>
      </c>
      <c r="BG9" s="83">
        <f t="shared" si="43"/>
        <v>15.037015198970741</v>
      </c>
      <c r="BH9" s="83">
        <f t="shared" si="44"/>
        <v>13.292240172400668</v>
      </c>
      <c r="BI9" s="83">
        <f t="shared" si="45"/>
        <v>3.1373673245765588</v>
      </c>
      <c r="BJ9" s="83">
        <f t="shared" si="46"/>
        <v>6.0003173475226728</v>
      </c>
      <c r="BK9" s="83">
        <f t="shared" si="47"/>
        <v>3.2661521231875996</v>
      </c>
      <c r="BL9" s="83">
        <f t="shared" si="48"/>
        <v>6.5029543596002863</v>
      </c>
      <c r="BM9" s="83">
        <f t="shared" si="49"/>
        <v>13.393473347219555</v>
      </c>
      <c r="BN9" s="83">
        <f t="shared" si="50"/>
        <v>0.67694232729452719</v>
      </c>
      <c r="BO9" s="83">
        <f t="shared" si="51"/>
        <v>2.2269219021733631</v>
      </c>
      <c r="BP9" s="83">
        <f t="shared" si="52"/>
        <v>0.84128160748771508</v>
      </c>
      <c r="BQ9" s="83">
        <f t="shared" si="53"/>
        <v>5.2057771120159773</v>
      </c>
      <c r="BR9" s="83">
        <f t="shared" si="54"/>
        <v>19.736304478860809</v>
      </c>
      <c r="BS9" s="83">
        <f t="shared" si="55"/>
        <v>1.7574464266300227</v>
      </c>
      <c r="BT9" s="83">
        <f t="shared" si="56"/>
        <v>3.5135878900957507</v>
      </c>
      <c r="BU9" s="83">
        <f t="shared" si="57"/>
        <v>3.0187163562794477</v>
      </c>
      <c r="BV9" s="83">
        <f t="shared" si="58"/>
        <v>7.7659953638271135</v>
      </c>
      <c r="BW9" s="83">
        <f t="shared" si="59"/>
        <v>17.011758820044925</v>
      </c>
      <c r="BX9" s="83">
        <f t="shared" si="60"/>
        <v>1.5751927231276497</v>
      </c>
      <c r="BY9" s="83">
        <f t="shared" si="61"/>
        <v>3.5135878900957507</v>
      </c>
      <c r="BZ9" s="83">
        <f t="shared" si="62"/>
        <v>3.0187163562794477</v>
      </c>
      <c r="CA9" s="83">
        <f t="shared" si="63"/>
        <v>10.769984779285513</v>
      </c>
      <c r="CB9" s="83">
        <f t="shared" si="64"/>
        <v>13.753708902473113</v>
      </c>
      <c r="CC9" s="83">
        <f t="shared" si="65"/>
        <v>1.9266820084536542</v>
      </c>
      <c r="CD9" s="83">
        <f t="shared" si="66"/>
        <v>6.929657401568809</v>
      </c>
      <c r="CE9" s="83">
        <f t="shared" si="67"/>
        <v>7.5111411289232857</v>
      </c>
      <c r="CF9" s="83">
        <f t="shared" si="68"/>
        <v>11.160405010262263</v>
      </c>
      <c r="CG9" s="83">
        <f t="shared" si="69"/>
        <v>7.5111411289232857</v>
      </c>
      <c r="CH9" s="83">
        <f t="shared" si="70"/>
        <v>7.0821848058555856</v>
      </c>
      <c r="CI9" s="83">
        <f t="shared" si="71"/>
        <v>11.821808578196304</v>
      </c>
      <c r="CJ9" s="83">
        <f t="shared" si="72"/>
        <v>7.0821848058555856</v>
      </c>
      <c r="CK9" s="83">
        <f t="shared" si="73"/>
        <v>4.2670304196852271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str">
        <f>Plantilla!D10</f>
        <v>W. Gelifini</v>
      </c>
      <c r="B11" s="319">
        <f>Plantilla!E10</f>
        <v>34</v>
      </c>
      <c r="C11" s="115">
        <f ca="1">Plantilla!F10</f>
        <v>72</v>
      </c>
      <c r="D11" s="319">
        <f>Plantilla!G10</f>
        <v>0</v>
      </c>
      <c r="E11" s="265">
        <v>36526</v>
      </c>
      <c r="F11" s="115">
        <f>Plantilla!Q10</f>
        <v>1</v>
      </c>
      <c r="G11" s="142">
        <f t="shared" si="0"/>
        <v>0.3779644730092272</v>
      </c>
      <c r="H11" s="142">
        <f t="shared" si="1"/>
        <v>0.53318450304347209</v>
      </c>
      <c r="I11" s="195">
        <f>Plantilla!P10</f>
        <v>1.5</v>
      </c>
      <c r="J11" s="196">
        <f>Plantilla!I10</f>
        <v>4.5</v>
      </c>
      <c r="K11" s="49">
        <f>Plantilla!X10</f>
        <v>0</v>
      </c>
      <c r="L11" s="49">
        <f>Plantilla!Y10</f>
        <v>5.6515555555555519</v>
      </c>
      <c r="M11" s="49">
        <f>Plantilla!Z10</f>
        <v>9</v>
      </c>
      <c r="N11" s="49">
        <f>Plantilla!AA10</f>
        <v>6.95</v>
      </c>
      <c r="O11" s="49">
        <f>Plantilla!AB10</f>
        <v>8.9499999999999993</v>
      </c>
      <c r="P11" s="49">
        <f>Plantilla!AC10</f>
        <v>2.95</v>
      </c>
      <c r="Q11" s="49">
        <f>Plantilla!AD10</f>
        <v>12.847222222222223</v>
      </c>
      <c r="R11" s="196">
        <f t="shared" si="2"/>
        <v>3.318944444444444</v>
      </c>
      <c r="S11" s="196">
        <f t="shared" si="3"/>
        <v>9.6027717628135694</v>
      </c>
      <c r="T11" s="49">
        <f t="shared" si="4"/>
        <v>0.53291666666666671</v>
      </c>
      <c r="U11" s="49">
        <f t="shared" si="5"/>
        <v>0.61147888888888879</v>
      </c>
      <c r="V11" s="196">
        <f t="shared" ca="1" si="6"/>
        <v>5.5629462145733894</v>
      </c>
      <c r="W11" s="196">
        <f t="shared" ca="1" si="7"/>
        <v>7.8475013518068577</v>
      </c>
      <c r="X11" s="83">
        <f t="shared" si="8"/>
        <v>3.6296686993678327</v>
      </c>
      <c r="Y11" s="83">
        <f t="shared" si="9"/>
        <v>5.4628075848230679</v>
      </c>
      <c r="Z11" s="83">
        <f t="shared" si="10"/>
        <v>3.6296686993678327</v>
      </c>
      <c r="AA11" s="83">
        <f t="shared" si="11"/>
        <v>4.1396128761441018</v>
      </c>
      <c r="AB11" s="83">
        <f t="shared" si="12"/>
        <v>8.0225055739226772</v>
      </c>
      <c r="AC11" s="83">
        <f t="shared" si="13"/>
        <v>2.0698064380720509</v>
      </c>
      <c r="AD11" s="83">
        <f t="shared" si="14"/>
        <v>2.7062861043713755</v>
      </c>
      <c r="AE11" s="83">
        <f t="shared" si="15"/>
        <v>3.0325071069427718</v>
      </c>
      <c r="AF11" s="83">
        <f t="shared" si="16"/>
        <v>5.8002715299460954</v>
      </c>
      <c r="AG11" s="83">
        <f t="shared" si="17"/>
        <v>1.5162535534713859</v>
      </c>
      <c r="AH11" s="83">
        <f t="shared" si="18"/>
        <v>4.3778157570713434</v>
      </c>
      <c r="AI11" s="83">
        <f t="shared" si="19"/>
        <v>7.3807051280088629</v>
      </c>
      <c r="AJ11" s="83">
        <f t="shared" si="20"/>
        <v>3.3213173076039881</v>
      </c>
      <c r="AK11" s="83">
        <f t="shared" si="21"/>
        <v>1.8989486530673101</v>
      </c>
      <c r="AL11" s="83">
        <f t="shared" si="22"/>
        <v>5.4807186107998689</v>
      </c>
      <c r="AM11" s="83">
        <f t="shared" si="23"/>
        <v>6.0489692027376982</v>
      </c>
      <c r="AN11" s="83">
        <f t="shared" si="24"/>
        <v>5.6799339463372549</v>
      </c>
      <c r="AO11" s="83">
        <f t="shared" si="25"/>
        <v>2.5414347641784212</v>
      </c>
      <c r="AP11" s="83">
        <f t="shared" si="26"/>
        <v>1.6386896052897317</v>
      </c>
      <c r="AQ11" s="83">
        <f t="shared" si="27"/>
        <v>2.1660765049591229</v>
      </c>
      <c r="AR11" s="83">
        <f t="shared" si="28"/>
        <v>4.7653683109100697</v>
      </c>
      <c r="AS11" s="83">
        <f t="shared" si="29"/>
        <v>1.0830382524795614</v>
      </c>
      <c r="AT11" s="83">
        <f t="shared" si="30"/>
        <v>10.734176817338566</v>
      </c>
      <c r="AU11" s="83">
        <f t="shared" si="31"/>
        <v>1.4717235023877262</v>
      </c>
      <c r="AV11" s="83">
        <f t="shared" si="32"/>
        <v>2.2790383553815676</v>
      </c>
      <c r="AW11" s="83">
        <f t="shared" si="33"/>
        <v>0.7358617511938631</v>
      </c>
      <c r="AX11" s="83">
        <f t="shared" si="34"/>
        <v>1.5162535534713859</v>
      </c>
      <c r="AY11" s="83">
        <f t="shared" si="35"/>
        <v>3.2090022295690712</v>
      </c>
      <c r="AZ11" s="83">
        <f t="shared" si="36"/>
        <v>0.75812677673569295</v>
      </c>
      <c r="BA11" s="83">
        <f t="shared" si="37"/>
        <v>11.370950018367125</v>
      </c>
      <c r="BB11" s="83">
        <f t="shared" si="38"/>
        <v>2.8642003546468824</v>
      </c>
      <c r="BC11" s="83">
        <f t="shared" si="39"/>
        <v>4.9778434601202859</v>
      </c>
      <c r="BD11" s="83">
        <f t="shared" si="40"/>
        <v>1.4321001773234412</v>
      </c>
      <c r="BE11" s="83">
        <f t="shared" si="41"/>
        <v>2.3345491220114991</v>
      </c>
      <c r="BF11" s="83">
        <f t="shared" si="42"/>
        <v>2.7918319397250912</v>
      </c>
      <c r="BG11" s="83">
        <f t="shared" si="43"/>
        <v>10.017806966181437</v>
      </c>
      <c r="BH11" s="83">
        <f t="shared" si="44"/>
        <v>8.9163245663283739</v>
      </c>
      <c r="BI11" s="83">
        <f t="shared" si="45"/>
        <v>2.728348954426477</v>
      </c>
      <c r="BJ11" s="83">
        <f t="shared" si="46"/>
        <v>3.8909152033524985</v>
      </c>
      <c r="BK11" s="83">
        <f t="shared" si="47"/>
        <v>2.1179414715155866</v>
      </c>
      <c r="BL11" s="83">
        <f t="shared" si="48"/>
        <v>4.3323319569978747</v>
      </c>
      <c r="BM11" s="83">
        <f t="shared" si="49"/>
        <v>8.5485103160528677</v>
      </c>
      <c r="BN11" s="83">
        <f t="shared" si="50"/>
        <v>0.58868940095509048</v>
      </c>
      <c r="BO11" s="83">
        <f t="shared" si="51"/>
        <v>1.4440510033060818</v>
      </c>
      <c r="BP11" s="83">
        <f t="shared" si="52"/>
        <v>0.54553037902674206</v>
      </c>
      <c r="BQ11" s="83">
        <f t="shared" si="53"/>
        <v>3.4681397556019733</v>
      </c>
      <c r="BR11" s="83">
        <f t="shared" si="54"/>
        <v>12.558741723620122</v>
      </c>
      <c r="BS11" s="83">
        <f t="shared" si="55"/>
        <v>1.5283282524795618</v>
      </c>
      <c r="BT11" s="83">
        <f t="shared" si="56"/>
        <v>2.2783915829940402</v>
      </c>
      <c r="BU11" s="83">
        <f t="shared" si="57"/>
        <v>1.9574913600371331</v>
      </c>
      <c r="BV11" s="83">
        <f t="shared" si="58"/>
        <v>5.1737822583570425</v>
      </c>
      <c r="BW11" s="83">
        <f t="shared" si="59"/>
        <v>10.815612620350775</v>
      </c>
      <c r="BX11" s="83">
        <f t="shared" si="60"/>
        <v>1.369834952222422</v>
      </c>
      <c r="BY11" s="83">
        <f t="shared" si="61"/>
        <v>2.2783915829940402</v>
      </c>
      <c r="BZ11" s="83">
        <f t="shared" si="62"/>
        <v>1.9574913600371331</v>
      </c>
      <c r="CA11" s="83">
        <f t="shared" si="63"/>
        <v>7.175069461589656</v>
      </c>
      <c r="CB11" s="83">
        <f t="shared" si="64"/>
        <v>8.7282502664385753</v>
      </c>
      <c r="CC11" s="83">
        <f t="shared" si="65"/>
        <v>1.6755006027183343</v>
      </c>
      <c r="CD11" s="83">
        <f t="shared" si="66"/>
        <v>4.6166057074570528</v>
      </c>
      <c r="CE11" s="83">
        <f t="shared" si="67"/>
        <v>4.8482149595692716</v>
      </c>
      <c r="CF11" s="83">
        <f t="shared" si="68"/>
        <v>9.249389720681382</v>
      </c>
      <c r="CG11" s="83">
        <f t="shared" si="69"/>
        <v>4.8482149595692716</v>
      </c>
      <c r="CH11" s="83">
        <f t="shared" si="70"/>
        <v>4.9209518614427195</v>
      </c>
      <c r="CI11" s="83">
        <f t="shared" si="71"/>
        <v>9.4983805751445942</v>
      </c>
      <c r="CJ11" s="83">
        <f t="shared" si="72"/>
        <v>4.9209518614427195</v>
      </c>
      <c r="CK11" s="83">
        <f t="shared" si="73"/>
        <v>2.8427375045917813</v>
      </c>
    </row>
    <row r="12" spans="1:89" x14ac:dyDescent="0.25">
      <c r="A12" t="str">
        <f>Plantilla!D11</f>
        <v>I. Vanags</v>
      </c>
      <c r="B12" s="319">
        <f>Plantilla!E11</f>
        <v>19</v>
      </c>
      <c r="C12" s="115">
        <f ca="1">Plantilla!F11</f>
        <v>30</v>
      </c>
      <c r="D12" s="319" t="str">
        <f>Plantilla!G11</f>
        <v>CAB</v>
      </c>
      <c r="E12" s="265">
        <f>Plantilla!O11</f>
        <v>43626</v>
      </c>
      <c r="F12" s="115">
        <f>Plantilla!Q11</f>
        <v>5</v>
      </c>
      <c r="G12" s="142">
        <f t="shared" si="0"/>
        <v>0.84515425472851657</v>
      </c>
      <c r="H12" s="142">
        <f t="shared" si="1"/>
        <v>0.92504826128926143</v>
      </c>
      <c r="I12" s="195">
        <f ca="1">Plantilla!P11</f>
        <v>0.42114842817984777</v>
      </c>
      <c r="J12" s="196">
        <f>Plantilla!I11</f>
        <v>0.5</v>
      </c>
      <c r="K12" s="49">
        <f>Plantilla!X11</f>
        <v>0</v>
      </c>
      <c r="L12" s="49">
        <f>Plantilla!Y11</f>
        <v>4</v>
      </c>
      <c r="M12" s="49">
        <f>Plantilla!Z11</f>
        <v>9.4</v>
      </c>
      <c r="N12" s="49">
        <f>Plantilla!AA11</f>
        <v>3</v>
      </c>
      <c r="O12" s="49">
        <f>Plantilla!AB11</f>
        <v>4</v>
      </c>
      <c r="P12" s="49">
        <f>Plantilla!AC11</f>
        <v>7</v>
      </c>
      <c r="Q12" s="49">
        <f>Plantilla!AD11</f>
        <v>6</v>
      </c>
      <c r="R12" s="196">
        <f t="shared" si="2"/>
        <v>1.875</v>
      </c>
      <c r="S12" s="196">
        <f t="shared" ca="1" si="3"/>
        <v>7.363702972387598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5.1617601020985875</v>
      </c>
      <c r="W12" s="196">
        <f t="shared" ca="1" si="7"/>
        <v>5.6497109029787485</v>
      </c>
      <c r="X12" s="83">
        <f t="shared" ca="1" si="8"/>
        <v>1.1212636628481329</v>
      </c>
      <c r="Y12" s="83">
        <f t="shared" ca="1" si="9"/>
        <v>1.7255296549105834</v>
      </c>
      <c r="Z12" s="83">
        <f t="shared" ca="1" si="10"/>
        <v>1.1212636628481329</v>
      </c>
      <c r="AA12" s="83">
        <f t="shared" ca="1" si="11"/>
        <v>2.0742039519239821</v>
      </c>
      <c r="AB12" s="83">
        <f t="shared" ca="1" si="12"/>
        <v>4.0197751006278724</v>
      </c>
      <c r="AC12" s="83">
        <f t="shared" ca="1" si="13"/>
        <v>1.0371019759619911</v>
      </c>
      <c r="AD12" s="83">
        <f t="shared" ca="1" si="14"/>
        <v>2.2419064739494337</v>
      </c>
      <c r="AE12" s="83">
        <f t="shared" ca="1" si="15"/>
        <v>1.5194749880373357</v>
      </c>
      <c r="AF12" s="83">
        <f t="shared" ca="1" si="16"/>
        <v>2.9062973977539515</v>
      </c>
      <c r="AG12" s="83">
        <f t="shared" ca="1" si="17"/>
        <v>0.75973749401866786</v>
      </c>
      <c r="AH12" s="83">
        <f t="shared" ca="1" si="18"/>
        <v>3.6266134137417314</v>
      </c>
      <c r="AI12" s="83">
        <f t="shared" ca="1" si="19"/>
        <v>3.6981930925776427</v>
      </c>
      <c r="AJ12" s="83">
        <f t="shared" ca="1" si="20"/>
        <v>1.6641868916599392</v>
      </c>
      <c r="AK12" s="83">
        <f t="shared" ca="1" si="21"/>
        <v>1.5731024418048549</v>
      </c>
      <c r="AL12" s="83">
        <f t="shared" ca="1" si="22"/>
        <v>1.7756277591691891</v>
      </c>
      <c r="AM12" s="83">
        <f t="shared" ca="1" si="23"/>
        <v>3.0309104258734156</v>
      </c>
      <c r="AN12" s="83">
        <f t="shared" ca="1" si="24"/>
        <v>2.8460007712445337</v>
      </c>
      <c r="AO12" s="83">
        <f t="shared" ca="1" si="25"/>
        <v>1.0053024418048548</v>
      </c>
      <c r="AP12" s="83">
        <f t="shared" ca="1" si="26"/>
        <v>0.54569522898082734</v>
      </c>
      <c r="AQ12" s="83">
        <f t="shared" ca="1" si="27"/>
        <v>1.0853392771695256</v>
      </c>
      <c r="AR12" s="83">
        <f t="shared" ca="1" si="28"/>
        <v>2.3877464097729559</v>
      </c>
      <c r="AS12" s="83">
        <f t="shared" ca="1" si="29"/>
        <v>0.5426696385847628</v>
      </c>
      <c r="AT12" s="83">
        <f t="shared" ca="1" si="30"/>
        <v>8.8922676949927126</v>
      </c>
      <c r="AU12" s="83">
        <f t="shared" ca="1" si="31"/>
        <v>0.52257076308162342</v>
      </c>
      <c r="AV12" s="83">
        <f t="shared" ca="1" si="32"/>
        <v>1.6967941044839665</v>
      </c>
      <c r="AW12" s="83">
        <f t="shared" ca="1" si="33"/>
        <v>0.26128538154081171</v>
      </c>
      <c r="AX12" s="83">
        <f t="shared" ca="1" si="34"/>
        <v>0.75973749401866786</v>
      </c>
      <c r="AY12" s="83">
        <f t="shared" ca="1" si="35"/>
        <v>1.607910040251149</v>
      </c>
      <c r="AZ12" s="83">
        <f t="shared" ca="1" si="36"/>
        <v>0.37986874700933393</v>
      </c>
      <c r="BA12" s="83">
        <f t="shared" ca="1" si="37"/>
        <v>9.4197751006278736</v>
      </c>
      <c r="BB12" s="83">
        <f t="shared" ca="1" si="38"/>
        <v>1.0170031004588518</v>
      </c>
      <c r="BC12" s="83">
        <f t="shared" ca="1" si="39"/>
        <v>2.8448960804459578</v>
      </c>
      <c r="BD12" s="83">
        <f t="shared" ca="1" si="40"/>
        <v>0.50850155022942589</v>
      </c>
      <c r="BE12" s="83">
        <f t="shared" ca="1" si="41"/>
        <v>1.1697545542827108</v>
      </c>
      <c r="BF12" s="83">
        <f t="shared" ca="1" si="42"/>
        <v>1.3988817350184994</v>
      </c>
      <c r="BG12" s="83">
        <f t="shared" ca="1" si="43"/>
        <v>8.2988218636531563</v>
      </c>
      <c r="BH12" s="83">
        <f t="shared" ca="1" si="44"/>
        <v>2.9995800644581783</v>
      </c>
      <c r="BI12" s="83">
        <f t="shared" ca="1" si="45"/>
        <v>0.96876579925131723</v>
      </c>
      <c r="BJ12" s="83">
        <f t="shared" ca="1" si="46"/>
        <v>1.9495909238045179</v>
      </c>
      <c r="BK12" s="83">
        <f t="shared" ca="1" si="47"/>
        <v>1.0612206265657584</v>
      </c>
      <c r="BL12" s="83">
        <f t="shared" ca="1" si="48"/>
        <v>3.58893431333922</v>
      </c>
      <c r="BM12" s="83">
        <f t="shared" ca="1" si="49"/>
        <v>2.8402834379487611</v>
      </c>
      <c r="BN12" s="83">
        <f t="shared" ca="1" si="50"/>
        <v>0.20902830523264934</v>
      </c>
      <c r="BO12" s="83">
        <f t="shared" ca="1" si="51"/>
        <v>0.723559518113017</v>
      </c>
      <c r="BP12" s="83">
        <f t="shared" ca="1" si="52"/>
        <v>0.27334470684269535</v>
      </c>
      <c r="BQ12" s="83">
        <f t="shared" ca="1" si="53"/>
        <v>2.8730314056915014</v>
      </c>
      <c r="BR12" s="83">
        <f t="shared" ca="1" si="54"/>
        <v>4.1694307794074437</v>
      </c>
      <c r="BS12" s="83">
        <f t="shared" ca="1" si="55"/>
        <v>0.5426696385847628</v>
      </c>
      <c r="BT12" s="83">
        <f t="shared" ca="1" si="56"/>
        <v>1.1416161285783157</v>
      </c>
      <c r="BU12" s="83">
        <f t="shared" ca="1" si="57"/>
        <v>0.98082512455320081</v>
      </c>
      <c r="BV12" s="83">
        <f t="shared" ca="1" si="58"/>
        <v>4.2859976707856831</v>
      </c>
      <c r="BW12" s="83">
        <f t="shared" ca="1" si="59"/>
        <v>3.5899108114956828</v>
      </c>
      <c r="BX12" s="83">
        <f t="shared" ca="1" si="60"/>
        <v>0.48639278717597256</v>
      </c>
      <c r="BY12" s="83">
        <f t="shared" ca="1" si="61"/>
        <v>1.1416161285783157</v>
      </c>
      <c r="BZ12" s="83">
        <f t="shared" ca="1" si="62"/>
        <v>0.98082512455320081</v>
      </c>
      <c r="CA12" s="83">
        <f t="shared" ca="1" si="63"/>
        <v>5.9438780884961879</v>
      </c>
      <c r="CB12" s="83">
        <f t="shared" ca="1" si="64"/>
        <v>2.895698715061946</v>
      </c>
      <c r="CC12" s="83">
        <f t="shared" ca="1" si="65"/>
        <v>0.59492671489292503</v>
      </c>
      <c r="CD12" s="83">
        <f t="shared" ca="1" si="66"/>
        <v>3.824428690854917</v>
      </c>
      <c r="CE12" s="83">
        <f t="shared" ca="1" si="67"/>
        <v>2.3313028274271215</v>
      </c>
      <c r="CF12" s="83">
        <f t="shared" ca="1" si="68"/>
        <v>6.2752667633069841</v>
      </c>
      <c r="CG12" s="83">
        <f t="shared" ca="1" si="69"/>
        <v>2.3313028274271215</v>
      </c>
      <c r="CH12" s="83">
        <f t="shared" ca="1" si="70"/>
        <v>3.2138212963644044</v>
      </c>
      <c r="CI12" s="83">
        <f t="shared" ca="1" si="71"/>
        <v>8.5030721127595577</v>
      </c>
      <c r="CJ12" s="83">
        <f t="shared" ca="1" si="72"/>
        <v>3.2138212963644044</v>
      </c>
      <c r="CK12" s="83">
        <f t="shared" ca="1" si="73"/>
        <v>2.3549437751569684</v>
      </c>
    </row>
    <row r="13" spans="1:89" x14ac:dyDescent="0.25">
      <c r="A13" t="str">
        <f>Plantilla!D12</f>
        <v>I. Stone</v>
      </c>
      <c r="B13" s="319">
        <f>Plantilla!E12</f>
        <v>18</v>
      </c>
      <c r="C13" s="115">
        <f ca="1">Plantilla!F12</f>
        <v>85</v>
      </c>
      <c r="D13" s="319" t="str">
        <f>Plantilla!G12</f>
        <v>RAP</v>
      </c>
      <c r="E13" s="265">
        <f>Plantilla!O12</f>
        <v>43633</v>
      </c>
      <c r="F13" s="115">
        <f>Plantilla!Q12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Plantilla!P12</f>
        <v>0.39913558962999812</v>
      </c>
      <c r="J13" s="196">
        <f>Plantilla!I12</f>
        <v>1.4</v>
      </c>
      <c r="K13" s="49">
        <f>Plantilla!X12</f>
        <v>0</v>
      </c>
      <c r="L13" s="49">
        <f>Plantilla!Y12</f>
        <v>3</v>
      </c>
      <c r="M13" s="49">
        <f>Plantilla!Z12</f>
        <v>8.1999999999999993</v>
      </c>
      <c r="N13" s="49">
        <f>Plantilla!AA12</f>
        <v>2</v>
      </c>
      <c r="O13" s="49">
        <f>Plantilla!AB12</f>
        <v>6</v>
      </c>
      <c r="P13" s="49">
        <f>Plantilla!AC12</f>
        <v>9</v>
      </c>
      <c r="Q13" s="49">
        <f>Plantilla!AD12</f>
        <v>2</v>
      </c>
      <c r="R13" s="196">
        <f t="shared" si="2"/>
        <v>2.25</v>
      </c>
      <c r="S13" s="196">
        <f t="shared" ca="1" si="3"/>
        <v>9.7526802648808353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2.4837785144259867</v>
      </c>
      <c r="W13" s="196">
        <f t="shared" ca="1" si="7"/>
        <v>2.6808704557780572</v>
      </c>
      <c r="X13" s="83">
        <f t="shared" ca="1" si="8"/>
        <v>1.3465384032764574</v>
      </c>
      <c r="Y13" s="83">
        <f t="shared" ca="1" si="9"/>
        <v>2.0418191049598011</v>
      </c>
      <c r="Z13" s="83">
        <f t="shared" ca="1" si="10"/>
        <v>1.3465384032764574</v>
      </c>
      <c r="AA13" s="83">
        <f t="shared" ca="1" si="11"/>
        <v>1.8544900527957067</v>
      </c>
      <c r="AB13" s="83">
        <f t="shared" ca="1" si="12"/>
        <v>3.5939729705343151</v>
      </c>
      <c r="AC13" s="83">
        <f t="shared" ca="1" si="13"/>
        <v>0.92724502639785333</v>
      </c>
      <c r="AD13" s="83">
        <f t="shared" ca="1" si="14"/>
        <v>2.0929655669871665</v>
      </c>
      <c r="AE13" s="83">
        <f t="shared" ca="1" si="15"/>
        <v>1.3585217828619711</v>
      </c>
      <c r="AF13" s="83">
        <f t="shared" ca="1" si="16"/>
        <v>2.5984424576963097</v>
      </c>
      <c r="AG13" s="83">
        <f t="shared" ca="1" si="17"/>
        <v>0.67926089143098556</v>
      </c>
      <c r="AH13" s="83">
        <f t="shared" ca="1" si="18"/>
        <v>3.3856795936557109</v>
      </c>
      <c r="AI13" s="83">
        <f t="shared" ca="1" si="19"/>
        <v>3.3064551328915699</v>
      </c>
      <c r="AJ13" s="83">
        <f t="shared" ca="1" si="20"/>
        <v>1.4879048098012064</v>
      </c>
      <c r="AK13" s="83">
        <f t="shared" ca="1" si="21"/>
        <v>1.4685934860792307</v>
      </c>
      <c r="AL13" s="83">
        <f t="shared" ca="1" si="22"/>
        <v>1.5252561066741772</v>
      </c>
      <c r="AM13" s="83">
        <f t="shared" ca="1" si="23"/>
        <v>2.7098556197828736</v>
      </c>
      <c r="AN13" s="83">
        <f t="shared" ca="1" si="24"/>
        <v>2.5445328631382949</v>
      </c>
      <c r="AO13" s="83">
        <f t="shared" ca="1" si="25"/>
        <v>0.43319348607923064</v>
      </c>
      <c r="AP13" s="83">
        <f t="shared" ca="1" si="26"/>
        <v>0.81906421551388264</v>
      </c>
      <c r="AQ13" s="83">
        <f t="shared" ca="1" si="27"/>
        <v>0.97037270204426518</v>
      </c>
      <c r="AR13" s="83">
        <f t="shared" ca="1" si="28"/>
        <v>2.1348199444973832</v>
      </c>
      <c r="AS13" s="83">
        <f t="shared" ca="1" si="29"/>
        <v>0.48518635102213259</v>
      </c>
      <c r="AT13" s="83">
        <f t="shared" ca="1" si="30"/>
        <v>8.3015104841843925</v>
      </c>
      <c r="AU13" s="83">
        <f t="shared" ca="1" si="31"/>
        <v>0.85721648616946111</v>
      </c>
      <c r="AV13" s="83">
        <f t="shared" ca="1" si="32"/>
        <v>2.4510340803665542</v>
      </c>
      <c r="AW13" s="83">
        <f t="shared" ca="1" si="33"/>
        <v>0.42860824308473056</v>
      </c>
      <c r="AX13" s="83">
        <f t="shared" ca="1" si="34"/>
        <v>0.67926089143098556</v>
      </c>
      <c r="AY13" s="83">
        <f t="shared" ca="1" si="35"/>
        <v>1.4375891882137262</v>
      </c>
      <c r="AZ13" s="83">
        <f t="shared" ca="1" si="36"/>
        <v>0.33963044571549278</v>
      </c>
      <c r="BA13" s="83">
        <f t="shared" ca="1" si="37"/>
        <v>8.7939729705343144</v>
      </c>
      <c r="BB13" s="83">
        <f t="shared" ca="1" si="38"/>
        <v>1.6682751615451819</v>
      </c>
      <c r="BC13" s="83">
        <f t="shared" ca="1" si="39"/>
        <v>4.2632791067644078</v>
      </c>
      <c r="BD13" s="83">
        <f t="shared" ca="1" si="40"/>
        <v>0.83413758077259093</v>
      </c>
      <c r="BE13" s="83">
        <f t="shared" ca="1" si="41"/>
        <v>1.0458461344254857</v>
      </c>
      <c r="BF13" s="83">
        <f t="shared" ca="1" si="42"/>
        <v>1.2507025937459415</v>
      </c>
      <c r="BG13" s="83">
        <f t="shared" ca="1" si="43"/>
        <v>7.7474901870407313</v>
      </c>
      <c r="BH13" s="83">
        <f t="shared" ca="1" si="44"/>
        <v>3.5660419708050064</v>
      </c>
      <c r="BI13" s="83">
        <f t="shared" ca="1" si="45"/>
        <v>1.5891474858987702</v>
      </c>
      <c r="BJ13" s="83">
        <f t="shared" ca="1" si="46"/>
        <v>1.7430768907091427</v>
      </c>
      <c r="BK13" s="83">
        <f t="shared" ca="1" si="47"/>
        <v>0.94880886422105926</v>
      </c>
      <c r="BL13" s="83">
        <f t="shared" ca="1" si="48"/>
        <v>3.3505037017735737</v>
      </c>
      <c r="BM13" s="83">
        <f t="shared" ca="1" si="49"/>
        <v>3.0711323762469918</v>
      </c>
      <c r="BN13" s="83">
        <f t="shared" ca="1" si="50"/>
        <v>0.34288659446778441</v>
      </c>
      <c r="BO13" s="83">
        <f t="shared" ca="1" si="51"/>
        <v>0.64691513469617667</v>
      </c>
      <c r="BP13" s="83">
        <f t="shared" ca="1" si="52"/>
        <v>0.24439016199633345</v>
      </c>
      <c r="BQ13" s="83">
        <f t="shared" ca="1" si="53"/>
        <v>2.6821617560129658</v>
      </c>
      <c r="BR13" s="83">
        <f t="shared" ca="1" si="54"/>
        <v>4.4798492401071295</v>
      </c>
      <c r="BS13" s="83">
        <f t="shared" ca="1" si="55"/>
        <v>0.89018635102213273</v>
      </c>
      <c r="BT13" s="83">
        <f t="shared" ca="1" si="56"/>
        <v>1.0206883236317454</v>
      </c>
      <c r="BU13" s="83">
        <f t="shared" ca="1" si="57"/>
        <v>0.87692940481037285</v>
      </c>
      <c r="BV13" s="83">
        <f t="shared" ca="1" si="58"/>
        <v>4.0012577015931132</v>
      </c>
      <c r="BW13" s="83">
        <f t="shared" ca="1" si="59"/>
        <v>3.8501220513520211</v>
      </c>
      <c r="BX13" s="83">
        <f t="shared" ca="1" si="60"/>
        <v>0.7978707294346522</v>
      </c>
      <c r="BY13" s="83">
        <f t="shared" ca="1" si="61"/>
        <v>1.0206883236317454</v>
      </c>
      <c r="BZ13" s="83">
        <f t="shared" ca="1" si="62"/>
        <v>0.87692940481037285</v>
      </c>
      <c r="CA13" s="83">
        <f t="shared" ca="1" si="63"/>
        <v>5.5489969444071523</v>
      </c>
      <c r="CB13" s="83">
        <f t="shared" ca="1" si="64"/>
        <v>3.0936058086282117</v>
      </c>
      <c r="CC13" s="83">
        <f t="shared" ca="1" si="65"/>
        <v>0.9759079996390787</v>
      </c>
      <c r="CD13" s="83">
        <f t="shared" ca="1" si="66"/>
        <v>3.5703530260369321</v>
      </c>
      <c r="CE13" s="83">
        <f t="shared" ca="1" si="67"/>
        <v>3.2404599176483782</v>
      </c>
      <c r="CF13" s="83">
        <f t="shared" ca="1" si="68"/>
        <v>9.1738135648216392</v>
      </c>
      <c r="CG13" s="83">
        <f t="shared" ca="1" si="69"/>
        <v>3.2404599176483782</v>
      </c>
      <c r="CH13" s="83">
        <f t="shared" ca="1" si="70"/>
        <v>4.160269907339079</v>
      </c>
      <c r="CI13" s="83">
        <f t="shared" ca="1" si="71"/>
        <v>12.027148996661477</v>
      </c>
      <c r="CJ13" s="83">
        <f t="shared" ca="1" si="72"/>
        <v>4.160269907339079</v>
      </c>
      <c r="CK13" s="83">
        <f t="shared" ca="1" si="73"/>
        <v>2.1984932426335786</v>
      </c>
    </row>
    <row r="14" spans="1:89" x14ac:dyDescent="0.25">
      <c r="A14" t="str">
        <f>Plantilla!D13</f>
        <v>G. Piscaer</v>
      </c>
      <c r="B14" s="319">
        <f>Plantilla!E13</f>
        <v>19</v>
      </c>
      <c r="C14" s="115">
        <f ca="1">Plantilla!F13</f>
        <v>46</v>
      </c>
      <c r="D14" s="319" t="str">
        <f>Plantilla!G13</f>
        <v>IMP</v>
      </c>
      <c r="E14" s="265">
        <f>Plantilla!O13</f>
        <v>43630</v>
      </c>
      <c r="F14" s="115">
        <f>Plantilla!Q13</f>
        <v>4</v>
      </c>
      <c r="G14" s="142">
        <f t="shared" si="0"/>
        <v>0.7559289460184544</v>
      </c>
      <c r="H14" s="142">
        <f t="shared" si="1"/>
        <v>0.84430867747355465</v>
      </c>
      <c r="I14" s="195">
        <f ca="1">Plantilla!P13</f>
        <v>0.40865125931141716</v>
      </c>
      <c r="J14" s="196">
        <f>Plantilla!I13</f>
        <v>2</v>
      </c>
      <c r="K14" s="49">
        <f>Plantilla!X13</f>
        <v>0</v>
      </c>
      <c r="L14" s="49">
        <f>Plantilla!Y13</f>
        <v>4</v>
      </c>
      <c r="M14" s="49">
        <f>Plantilla!Z13</f>
        <v>10.166666666666666</v>
      </c>
      <c r="N14" s="49">
        <f>Plantilla!AA13</f>
        <v>3</v>
      </c>
      <c r="O14" s="49">
        <f>Plantilla!AB13</f>
        <v>2</v>
      </c>
      <c r="P14" s="49">
        <f>Plantilla!AC13</f>
        <v>8</v>
      </c>
      <c r="Q14" s="49">
        <f>Plantilla!AD13</f>
        <v>0</v>
      </c>
      <c r="R14" s="196">
        <f t="shared" si="2"/>
        <v>1.375</v>
      </c>
      <c r="S14" s="196">
        <f t="shared" ca="1" si="3"/>
        <v>7.4701543369680952</v>
      </c>
      <c r="T14" s="49">
        <f t="shared" si="4"/>
        <v>0.4</v>
      </c>
      <c r="U14" s="49">
        <f t="shared" si="5"/>
        <v>0.16</v>
      </c>
      <c r="V14" s="196">
        <f t="shared" ca="1" si="6"/>
        <v>0.67911766498151049</v>
      </c>
      <c r="W14" s="196">
        <f t="shared" ca="1" si="7"/>
        <v>0.75851697515955385</v>
      </c>
      <c r="X14" s="83">
        <f t="shared" ca="1" si="8"/>
        <v>1.8111514643317417</v>
      </c>
      <c r="Y14" s="83">
        <f t="shared" ca="1" si="9"/>
        <v>2.7457417416406393</v>
      </c>
      <c r="Z14" s="83">
        <f t="shared" ca="1" si="10"/>
        <v>1.8111514643317417</v>
      </c>
      <c r="AA14" s="83">
        <f t="shared" ca="1" si="11"/>
        <v>2.4819726868215106</v>
      </c>
      <c r="AB14" s="83">
        <f t="shared" ca="1" si="12"/>
        <v>4.8100245868633928</v>
      </c>
      <c r="AC14" s="83">
        <f t="shared" ca="1" si="13"/>
        <v>1.2409863434107553</v>
      </c>
      <c r="AD14" s="83">
        <f t="shared" ca="1" si="14"/>
        <v>2.6124525183401537</v>
      </c>
      <c r="AE14" s="83">
        <f t="shared" ca="1" si="15"/>
        <v>1.8181892938343625</v>
      </c>
      <c r="AF14" s="83">
        <f t="shared" ca="1" si="16"/>
        <v>3.4776477763022329</v>
      </c>
      <c r="AG14" s="83">
        <f t="shared" ca="1" si="17"/>
        <v>0.90909464691718123</v>
      </c>
      <c r="AH14" s="83">
        <f t="shared" ca="1" si="18"/>
        <v>4.2260261326090722</v>
      </c>
      <c r="AI14" s="83">
        <f t="shared" ca="1" si="19"/>
        <v>4.4252226199143214</v>
      </c>
      <c r="AJ14" s="83">
        <f t="shared" ca="1" si="20"/>
        <v>1.9913501789614445</v>
      </c>
      <c r="AK14" s="83">
        <f t="shared" ca="1" si="21"/>
        <v>1.8331074393395197</v>
      </c>
      <c r="AL14" s="83">
        <f t="shared" ca="1" si="22"/>
        <v>2.2402944570756742</v>
      </c>
      <c r="AM14" s="83">
        <f t="shared" ca="1" si="23"/>
        <v>3.6267585384949981</v>
      </c>
      <c r="AN14" s="83">
        <f t="shared" ca="1" si="24"/>
        <v>3.4054974074992819</v>
      </c>
      <c r="AO14" s="83">
        <f t="shared" ca="1" si="25"/>
        <v>0.13527410600618647</v>
      </c>
      <c r="AP14" s="83">
        <f t="shared" ca="1" si="26"/>
        <v>0.62928708101665687</v>
      </c>
      <c r="AQ14" s="83">
        <f t="shared" ca="1" si="27"/>
        <v>1.2987066384531161</v>
      </c>
      <c r="AR14" s="83">
        <f t="shared" ca="1" si="28"/>
        <v>2.8571546045968552</v>
      </c>
      <c r="AS14" s="83">
        <f t="shared" ca="1" si="29"/>
        <v>0.64935331922655803</v>
      </c>
      <c r="AT14" s="83">
        <f t="shared" ca="1" si="30"/>
        <v>10.361996543332374</v>
      </c>
      <c r="AU14" s="83">
        <f t="shared" ca="1" si="31"/>
        <v>0.36530319629224095</v>
      </c>
      <c r="AV14" s="83">
        <f t="shared" ca="1" si="32"/>
        <v>1.8613372039509737</v>
      </c>
      <c r="AW14" s="83">
        <f t="shared" ca="1" si="33"/>
        <v>0.18265159814612048</v>
      </c>
      <c r="AX14" s="83">
        <f t="shared" ca="1" si="34"/>
        <v>0.90909464691718123</v>
      </c>
      <c r="AY14" s="83">
        <f t="shared" ca="1" si="35"/>
        <v>1.9240098347453571</v>
      </c>
      <c r="AZ14" s="83">
        <f t="shared" ca="1" si="36"/>
        <v>0.45454732345859061</v>
      </c>
      <c r="BA14" s="83">
        <f t="shared" ca="1" si="37"/>
        <v>10.976691253530058</v>
      </c>
      <c r="BB14" s="83">
        <f t="shared" ca="1" si="38"/>
        <v>0.71093622047643812</v>
      </c>
      <c r="BC14" s="83">
        <f t="shared" ca="1" si="39"/>
        <v>2.808323547361729</v>
      </c>
      <c r="BD14" s="83">
        <f t="shared" ca="1" si="40"/>
        <v>0.35546811023821906</v>
      </c>
      <c r="BE14" s="83">
        <f t="shared" ca="1" si="41"/>
        <v>1.3997171547772471</v>
      </c>
      <c r="BF14" s="83">
        <f t="shared" ca="1" si="42"/>
        <v>1.6738885562284607</v>
      </c>
      <c r="BG14" s="83">
        <f t="shared" ca="1" si="43"/>
        <v>9.6704649943599819</v>
      </c>
      <c r="BH14" s="83">
        <f t="shared" ca="1" si="44"/>
        <v>3.0721118577215552</v>
      </c>
      <c r="BI14" s="83">
        <f t="shared" ca="1" si="45"/>
        <v>0.67721592543407749</v>
      </c>
      <c r="BJ14" s="83">
        <f t="shared" ca="1" si="46"/>
        <v>2.3328619246287454</v>
      </c>
      <c r="BK14" s="83">
        <f t="shared" ca="1" si="47"/>
        <v>1.2698464909319358</v>
      </c>
      <c r="BL14" s="83">
        <f t="shared" ca="1" si="48"/>
        <v>4.182119367594952</v>
      </c>
      <c r="BM14" s="83">
        <f t="shared" ca="1" si="49"/>
        <v>3.1289614889186046</v>
      </c>
      <c r="BN14" s="83">
        <f t="shared" ca="1" si="50"/>
        <v>0.14612127851689638</v>
      </c>
      <c r="BO14" s="83">
        <f t="shared" ca="1" si="51"/>
        <v>0.86580442563541071</v>
      </c>
      <c r="BP14" s="83">
        <f t="shared" ca="1" si="52"/>
        <v>0.32708167190671072</v>
      </c>
      <c r="BQ14" s="83">
        <f t="shared" ca="1" si="53"/>
        <v>3.3478908323266676</v>
      </c>
      <c r="BR14" s="83">
        <f t="shared" ca="1" si="54"/>
        <v>4.6136916187063219</v>
      </c>
      <c r="BS14" s="83">
        <f t="shared" ca="1" si="55"/>
        <v>0.37935331922655796</v>
      </c>
      <c r="BT14" s="83">
        <f t="shared" ca="1" si="56"/>
        <v>1.3660469826692034</v>
      </c>
      <c r="BU14" s="83">
        <f t="shared" ca="1" si="57"/>
        <v>1.1736459991946677</v>
      </c>
      <c r="BV14" s="83">
        <f t="shared" ca="1" si="58"/>
        <v>4.9943945203561766</v>
      </c>
      <c r="BW14" s="83">
        <f t="shared" ca="1" si="59"/>
        <v>3.9775072422446383</v>
      </c>
      <c r="BX14" s="83">
        <f t="shared" ca="1" si="60"/>
        <v>0.3400129750104704</v>
      </c>
      <c r="BY14" s="83">
        <f t="shared" ca="1" si="61"/>
        <v>1.3660469826692034</v>
      </c>
      <c r="BZ14" s="83">
        <f t="shared" ca="1" si="62"/>
        <v>1.1736459991946677</v>
      </c>
      <c r="CA14" s="83">
        <f t="shared" ca="1" si="63"/>
        <v>6.9262921809774669</v>
      </c>
      <c r="CB14" s="83">
        <f t="shared" ca="1" si="64"/>
        <v>3.2169720052427357</v>
      </c>
      <c r="CC14" s="83">
        <f t="shared" ca="1" si="65"/>
        <v>0.415883638855782</v>
      </c>
      <c r="CD14" s="83">
        <f t="shared" ca="1" si="66"/>
        <v>4.4565366489332039</v>
      </c>
      <c r="CE14" s="83">
        <f t="shared" ca="1" si="67"/>
        <v>2.3700228097558274</v>
      </c>
      <c r="CF14" s="83">
        <f t="shared" ca="1" si="68"/>
        <v>6.6620876848081787</v>
      </c>
      <c r="CG14" s="83">
        <f t="shared" ca="1" si="69"/>
        <v>2.3700228097558274</v>
      </c>
      <c r="CH14" s="83">
        <f t="shared" ca="1" si="70"/>
        <v>3.6853959901949245</v>
      </c>
      <c r="CI14" s="83">
        <f t="shared" ca="1" si="71"/>
        <v>9.8469236594159835</v>
      </c>
      <c r="CJ14" s="83">
        <f t="shared" ca="1" si="72"/>
        <v>3.6853959901949245</v>
      </c>
      <c r="CK14" s="83">
        <f t="shared" ca="1" si="73"/>
        <v>2.7441728133825145</v>
      </c>
    </row>
    <row r="15" spans="1:89" x14ac:dyDescent="0.25">
      <c r="A15" t="str">
        <f>Plantilla!D14</f>
        <v>M. Bondarewski</v>
      </c>
      <c r="B15" s="319">
        <f>Plantilla!E14</f>
        <v>19</v>
      </c>
      <c r="C15" s="115">
        <f ca="1">Plantilla!F14</f>
        <v>46</v>
      </c>
      <c r="D15" s="319" t="str">
        <f>Plantilla!G14</f>
        <v>RAP</v>
      </c>
      <c r="E15" s="265">
        <f>Plantilla!O14</f>
        <v>43627</v>
      </c>
      <c r="F15" s="115">
        <f>Plantilla!Q14</f>
        <v>6</v>
      </c>
      <c r="G15" s="142">
        <f t="shared" si="0"/>
        <v>0.92582009977255142</v>
      </c>
      <c r="H15" s="142">
        <f t="shared" si="1"/>
        <v>0.99928545900129484</v>
      </c>
      <c r="I15" s="195">
        <f ca="1">Plantilla!P14</f>
        <v>0.41804388130271769</v>
      </c>
      <c r="J15" s="196">
        <f>Plantilla!I14</f>
        <v>2</v>
      </c>
      <c r="K15" s="49">
        <f>Plantilla!X14</f>
        <v>0</v>
      </c>
      <c r="L15" s="49">
        <f>Plantilla!Y14</f>
        <v>2</v>
      </c>
      <c r="M15" s="49">
        <f>Plantilla!Z14</f>
        <v>10.166666666666666</v>
      </c>
      <c r="N15" s="49">
        <f>Plantilla!AA14</f>
        <v>5</v>
      </c>
      <c r="O15" s="49">
        <f>Plantilla!AB14</f>
        <v>4</v>
      </c>
      <c r="P15" s="49">
        <f>Plantilla!AC14</f>
        <v>8</v>
      </c>
      <c r="Q15" s="49">
        <f>Plantilla!AD14</f>
        <v>6</v>
      </c>
      <c r="R15" s="196">
        <f t="shared" si="2"/>
        <v>1.625</v>
      </c>
      <c r="S15" s="196">
        <f t="shared" ca="1" si="3"/>
        <v>10.790912031568867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6.3949085588170904</v>
      </c>
      <c r="W15" s="196">
        <f t="shared" ca="1" si="7"/>
        <v>6.9023551508967849</v>
      </c>
      <c r="X15" s="83">
        <f t="shared" ca="1" si="8"/>
        <v>1.2673512233301467</v>
      </c>
      <c r="Y15" s="83">
        <f t="shared" ca="1" si="9"/>
        <v>1.9078676166314081</v>
      </c>
      <c r="Z15" s="83">
        <f t="shared" ca="1" si="10"/>
        <v>1.2673512233301467</v>
      </c>
      <c r="AA15" s="83">
        <f t="shared" ca="1" si="11"/>
        <v>1.4548192797690216</v>
      </c>
      <c r="AB15" s="83">
        <f t="shared" ca="1" si="12"/>
        <v>2.8194172088546927</v>
      </c>
      <c r="AC15" s="83">
        <f t="shared" ca="1" si="13"/>
        <v>0.72740963988451079</v>
      </c>
      <c r="AD15" s="83">
        <f t="shared" ca="1" si="14"/>
        <v>2.6146879623740831</v>
      </c>
      <c r="AE15" s="83">
        <f t="shared" ca="1" si="15"/>
        <v>1.0657397049470738</v>
      </c>
      <c r="AF15" s="83">
        <f t="shared" ca="1" si="16"/>
        <v>2.0384386420019429</v>
      </c>
      <c r="AG15" s="83">
        <f t="shared" ca="1" si="17"/>
        <v>0.53286985247353691</v>
      </c>
      <c r="AH15" s="83">
        <f t="shared" ca="1" si="18"/>
        <v>4.2296422920757228</v>
      </c>
      <c r="AI15" s="83">
        <f t="shared" ca="1" si="19"/>
        <v>2.5938638321463174</v>
      </c>
      <c r="AJ15" s="83">
        <f t="shared" ca="1" si="20"/>
        <v>1.1672387244658426</v>
      </c>
      <c r="AK15" s="83">
        <f t="shared" ca="1" si="21"/>
        <v>1.8346760072120667</v>
      </c>
      <c r="AL15" s="83">
        <f t="shared" ca="1" si="22"/>
        <v>3.4218173188065593</v>
      </c>
      <c r="AM15" s="83">
        <f t="shared" ca="1" si="23"/>
        <v>2.1258405754764382</v>
      </c>
      <c r="AN15" s="83">
        <f t="shared" ca="1" si="24"/>
        <v>1.9961473838691224</v>
      </c>
      <c r="AO15" s="83">
        <f t="shared" ca="1" si="25"/>
        <v>1.1388426738787338</v>
      </c>
      <c r="AP15" s="83">
        <f t="shared" ca="1" si="26"/>
        <v>0.70399215615015143</v>
      </c>
      <c r="AQ15" s="83">
        <f t="shared" ca="1" si="27"/>
        <v>0.76124264639076711</v>
      </c>
      <c r="AR15" s="83">
        <f t="shared" ca="1" si="28"/>
        <v>1.6747338220596875</v>
      </c>
      <c r="AS15" s="83">
        <f t="shared" ca="1" si="29"/>
        <v>0.38062132319538355</v>
      </c>
      <c r="AT15" s="83">
        <f t="shared" ca="1" si="30"/>
        <v>10.370863178492161</v>
      </c>
      <c r="AU15" s="83">
        <f t="shared" ca="1" si="31"/>
        <v>0.62652423715111016</v>
      </c>
      <c r="AV15" s="83">
        <f t="shared" ca="1" si="32"/>
        <v>2.1040892421944246</v>
      </c>
      <c r="AW15" s="83">
        <f t="shared" ca="1" si="33"/>
        <v>0.31326211857555508</v>
      </c>
      <c r="AX15" s="83">
        <f t="shared" ca="1" si="34"/>
        <v>0.53286985247353691</v>
      </c>
      <c r="AY15" s="83">
        <f t="shared" ca="1" si="35"/>
        <v>1.127766883541877</v>
      </c>
      <c r="AZ15" s="83">
        <f t="shared" ca="1" si="36"/>
        <v>0.26643492623676845</v>
      </c>
      <c r="BA15" s="83">
        <f t="shared" ca="1" si="37"/>
        <v>10.986083875521357</v>
      </c>
      <c r="BB15" s="83">
        <f t="shared" ca="1" si="38"/>
        <v>1.2193125538402374</v>
      </c>
      <c r="BC15" s="83">
        <f t="shared" ca="1" si="39"/>
        <v>3.4954988820789357</v>
      </c>
      <c r="BD15" s="83">
        <f t="shared" ca="1" si="40"/>
        <v>0.6096562769201187</v>
      </c>
      <c r="BE15" s="83">
        <f t="shared" ca="1" si="41"/>
        <v>0.82045040777671552</v>
      </c>
      <c r="BF15" s="83">
        <f t="shared" ca="1" si="42"/>
        <v>0.98115718868143298</v>
      </c>
      <c r="BG15" s="83">
        <f t="shared" ca="1" si="43"/>
        <v>9.6787398943343153</v>
      </c>
      <c r="BH15" s="83">
        <f t="shared" ca="1" si="44"/>
        <v>4.8584618986718215</v>
      </c>
      <c r="BI15" s="83">
        <f t="shared" ca="1" si="45"/>
        <v>1.161479547333981</v>
      </c>
      <c r="BJ15" s="83">
        <f t="shared" ca="1" si="46"/>
        <v>1.3674173462945258</v>
      </c>
      <c r="BK15" s="83">
        <f t="shared" ca="1" si="47"/>
        <v>0.7443261431376389</v>
      </c>
      <c r="BL15" s="83">
        <f t="shared" ca="1" si="48"/>
        <v>4.1856979565736374</v>
      </c>
      <c r="BM15" s="83">
        <f t="shared" ca="1" si="49"/>
        <v>4.8851706405390019</v>
      </c>
      <c r="BN15" s="83">
        <f t="shared" ca="1" si="50"/>
        <v>0.25060969486044404</v>
      </c>
      <c r="BO15" s="83">
        <f t="shared" ca="1" si="51"/>
        <v>0.5074950975938447</v>
      </c>
      <c r="BP15" s="83">
        <f t="shared" ca="1" si="52"/>
        <v>0.19172037020211913</v>
      </c>
      <c r="BQ15" s="83">
        <f t="shared" ca="1" si="53"/>
        <v>3.3507555820340138</v>
      </c>
      <c r="BR15" s="83">
        <f t="shared" ca="1" si="54"/>
        <v>7.1977705305871353</v>
      </c>
      <c r="BS15" s="83">
        <f t="shared" ca="1" si="55"/>
        <v>0.65062132319538357</v>
      </c>
      <c r="BT15" s="83">
        <f t="shared" ca="1" si="56"/>
        <v>0.80071448731473271</v>
      </c>
      <c r="BU15" s="83">
        <f t="shared" ca="1" si="57"/>
        <v>0.68793779896054497</v>
      </c>
      <c r="BV15" s="83">
        <f t="shared" ca="1" si="58"/>
        <v>4.9986681633622174</v>
      </c>
      <c r="BW15" s="83">
        <f t="shared" ca="1" si="59"/>
        <v>6.2039142674110002</v>
      </c>
      <c r="BX15" s="83">
        <f t="shared" ca="1" si="60"/>
        <v>0.58314948227141783</v>
      </c>
      <c r="BY15" s="83">
        <f t="shared" ca="1" si="61"/>
        <v>0.80071448731473271</v>
      </c>
      <c r="BZ15" s="83">
        <f t="shared" ca="1" si="62"/>
        <v>0.68793779896054497</v>
      </c>
      <c r="CA15" s="83">
        <f t="shared" ca="1" si="63"/>
        <v>6.9322189254539763</v>
      </c>
      <c r="CB15" s="83">
        <f t="shared" ca="1" si="64"/>
        <v>5.0153784019249503</v>
      </c>
      <c r="CC15" s="83">
        <f t="shared" ca="1" si="65"/>
        <v>0.7132737469104945</v>
      </c>
      <c r="CD15" s="83">
        <f t="shared" ca="1" si="66"/>
        <v>4.4603500534616716</v>
      </c>
      <c r="CE15" s="83">
        <f t="shared" ca="1" si="67"/>
        <v>3.1629163658132948</v>
      </c>
      <c r="CF15" s="83">
        <f t="shared" ca="1" si="68"/>
        <v>7.7586637771703835</v>
      </c>
      <c r="CG15" s="83">
        <f t="shared" ca="1" si="69"/>
        <v>3.1629163658132948</v>
      </c>
      <c r="CH15" s="83">
        <f t="shared" ca="1" si="70"/>
        <v>4.4148055119777672</v>
      </c>
      <c r="CI15" s="83">
        <f t="shared" ca="1" si="71"/>
        <v>10.597782158922072</v>
      </c>
      <c r="CJ15" s="83">
        <f t="shared" ca="1" si="72"/>
        <v>4.4148055119777672</v>
      </c>
      <c r="CK15" s="83">
        <f t="shared" ca="1" si="73"/>
        <v>2.7465209688803394</v>
      </c>
    </row>
    <row r="16" spans="1:89" x14ac:dyDescent="0.25">
      <c r="A16" t="str">
        <f>Plantilla!D19</f>
        <v>J. Vartiainen</v>
      </c>
      <c r="B16" s="319">
        <f>Plantilla!E19</f>
        <v>19</v>
      </c>
      <c r="C16" s="115">
        <f ca="1">Plantilla!F19</f>
        <v>92</v>
      </c>
      <c r="D16" s="319" t="str">
        <f>Plantilla!G19</f>
        <v>CAB</v>
      </c>
      <c r="E16" s="265">
        <f>Plantilla!O19</f>
        <v>43628</v>
      </c>
      <c r="F16" s="115">
        <f>Plantilla!Q19</f>
        <v>6</v>
      </c>
      <c r="G16" s="142">
        <f t="shared" si="0"/>
        <v>0.92582009977255142</v>
      </c>
      <c r="H16" s="142">
        <f t="shared" si="1"/>
        <v>0.99928545900129484</v>
      </c>
      <c r="I16" s="195">
        <f ca="1">Plantilla!P19</f>
        <v>0.41492631106246303</v>
      </c>
      <c r="J16" s="196">
        <f>Plantilla!I19</f>
        <v>0.4</v>
      </c>
      <c r="K16" s="49">
        <f>Plantilla!X19</f>
        <v>0</v>
      </c>
      <c r="L16" s="49">
        <f>Plantilla!Y19</f>
        <v>7</v>
      </c>
      <c r="M16" s="49">
        <f>Plantilla!Z19</f>
        <v>9</v>
      </c>
      <c r="N16" s="49">
        <f>Plantilla!AA19</f>
        <v>1</v>
      </c>
      <c r="O16" s="49">
        <f>Plantilla!AB19</f>
        <v>1</v>
      </c>
      <c r="P16" s="49">
        <f>Plantilla!AC19</f>
        <v>6</v>
      </c>
      <c r="Q16" s="49">
        <f>Plantilla!AD19</f>
        <v>1</v>
      </c>
      <c r="R16" s="196">
        <f t="shared" si="2"/>
        <v>1.5</v>
      </c>
      <c r="S16" s="196">
        <f t="shared" ca="1" si="3"/>
        <v>2.654390588561105</v>
      </c>
      <c r="T16" s="49">
        <f t="shared" si="4"/>
        <v>0.32999999999999996</v>
      </c>
      <c r="U16" s="49">
        <f t="shared" si="5"/>
        <v>0.31</v>
      </c>
      <c r="V16" s="196">
        <f t="shared" ca="1" si="6"/>
        <v>0.90024960305356894</v>
      </c>
      <c r="W16" s="196">
        <f t="shared" ca="1" si="7"/>
        <v>0.97168590099105401</v>
      </c>
      <c r="X16" s="83">
        <f t="shared" ca="1" si="8"/>
        <v>1.8310284994632788</v>
      </c>
      <c r="Y16" s="83">
        <f t="shared" ca="1" si="9"/>
        <v>2.8256824659875055</v>
      </c>
      <c r="Z16" s="83">
        <f t="shared" ca="1" si="10"/>
        <v>1.8310284994632788</v>
      </c>
      <c r="AA16" s="83">
        <f t="shared" ca="1" si="11"/>
        <v>3.5523192505418693</v>
      </c>
      <c r="AB16" s="83">
        <f t="shared" ca="1" si="12"/>
        <v>6.8843396328330799</v>
      </c>
      <c r="AC16" s="83">
        <f t="shared" ca="1" si="13"/>
        <v>1.7761596252709346</v>
      </c>
      <c r="AD16" s="83">
        <f t="shared" ca="1" si="14"/>
        <v>2.1144728326142728</v>
      </c>
      <c r="AE16" s="83">
        <f t="shared" ca="1" si="15"/>
        <v>2.6022803812109041</v>
      </c>
      <c r="AF16" s="83">
        <f t="shared" ca="1" si="16"/>
        <v>4.9773775545383163</v>
      </c>
      <c r="AG16" s="83">
        <f t="shared" ca="1" si="17"/>
        <v>1.3011401906054521</v>
      </c>
      <c r="AH16" s="83">
        <f t="shared" ca="1" si="18"/>
        <v>3.4204707586407355</v>
      </c>
      <c r="AI16" s="83">
        <f t="shared" ca="1" si="19"/>
        <v>6.3335924622064335</v>
      </c>
      <c r="AJ16" s="83">
        <f t="shared" ca="1" si="20"/>
        <v>2.850116607992895</v>
      </c>
      <c r="AK16" s="83">
        <f t="shared" ca="1" si="21"/>
        <v>1.4836847186831243</v>
      </c>
      <c r="AL16" s="83">
        <f t="shared" ca="1" si="22"/>
        <v>0.51999170410585072</v>
      </c>
      <c r="AM16" s="83">
        <f t="shared" ca="1" si="23"/>
        <v>5.1907920831561425</v>
      </c>
      <c r="AN16" s="83">
        <f t="shared" ca="1" si="24"/>
        <v>4.8741124600458203</v>
      </c>
      <c r="AO16" s="83">
        <f t="shared" ca="1" si="25"/>
        <v>0.1476847186831243</v>
      </c>
      <c r="AP16" s="83">
        <f t="shared" ca="1" si="26"/>
        <v>0.39868981425592687</v>
      </c>
      <c r="AQ16" s="83">
        <f t="shared" ca="1" si="27"/>
        <v>1.8587717008649316</v>
      </c>
      <c r="AR16" s="83">
        <f t="shared" ca="1" si="28"/>
        <v>4.0892977419028496</v>
      </c>
      <c r="AS16" s="83">
        <f t="shared" ca="1" si="29"/>
        <v>0.9293858504324658</v>
      </c>
      <c r="AT16" s="83">
        <f t="shared" ca="1" si="30"/>
        <v>8.3868166133944264</v>
      </c>
      <c r="AU16" s="83">
        <f t="shared" ca="1" si="31"/>
        <v>0.11496415226830035</v>
      </c>
      <c r="AV16" s="83">
        <f t="shared" ca="1" si="32"/>
        <v>1.1241115124200922</v>
      </c>
      <c r="AW16" s="83">
        <f t="shared" ca="1" si="33"/>
        <v>5.7482076134150177E-2</v>
      </c>
      <c r="AX16" s="83">
        <f t="shared" ca="1" si="34"/>
        <v>1.3011401906054521</v>
      </c>
      <c r="AY16" s="83">
        <f t="shared" ca="1" si="35"/>
        <v>2.7537358531332323</v>
      </c>
      <c r="AZ16" s="83">
        <f t="shared" ca="1" si="36"/>
        <v>0.65057009530272603</v>
      </c>
      <c r="BA16" s="83">
        <f t="shared" ca="1" si="37"/>
        <v>8.884339632833079</v>
      </c>
      <c r="BB16" s="83">
        <f t="shared" ca="1" si="38"/>
        <v>0.22373792710676915</v>
      </c>
      <c r="BC16" s="83">
        <f t="shared" ca="1" si="39"/>
        <v>1.5372711376910271</v>
      </c>
      <c r="BD16" s="83">
        <f t="shared" ca="1" si="40"/>
        <v>0.11186896355338458</v>
      </c>
      <c r="BE16" s="83">
        <f t="shared" ca="1" si="41"/>
        <v>2.0033428331544263</v>
      </c>
      <c r="BF16" s="83">
        <f t="shared" ca="1" si="42"/>
        <v>2.3957501922259117</v>
      </c>
      <c r="BG16" s="83">
        <f t="shared" ca="1" si="43"/>
        <v>7.8271032165259431</v>
      </c>
      <c r="BH16" s="83">
        <f t="shared" ca="1" si="44"/>
        <v>0.78617793358860766</v>
      </c>
      <c r="BI16" s="83">
        <f t="shared" ca="1" si="45"/>
        <v>0.21312585151277216</v>
      </c>
      <c r="BJ16" s="83">
        <f t="shared" ca="1" si="46"/>
        <v>3.3389047219240435</v>
      </c>
      <c r="BK16" s="83">
        <f t="shared" ca="1" si="47"/>
        <v>1.8174656630679331</v>
      </c>
      <c r="BL16" s="83">
        <f t="shared" ca="1" si="48"/>
        <v>3.3849334001094031</v>
      </c>
      <c r="BM16" s="83">
        <f t="shared" ca="1" si="49"/>
        <v>0.77291283909611153</v>
      </c>
      <c r="BN16" s="83">
        <f t="shared" ca="1" si="50"/>
        <v>4.5985660907320133E-2</v>
      </c>
      <c r="BO16" s="83">
        <f t="shared" ca="1" si="51"/>
        <v>1.2391811339099543</v>
      </c>
      <c r="BP16" s="83">
        <f t="shared" ca="1" si="52"/>
        <v>0.4681350950326495</v>
      </c>
      <c r="BQ16" s="83">
        <f t="shared" ca="1" si="53"/>
        <v>2.7097235880140889</v>
      </c>
      <c r="BR16" s="83">
        <f t="shared" ca="1" si="54"/>
        <v>1.1372607678233404</v>
      </c>
      <c r="BS16" s="83">
        <f t="shared" ca="1" si="55"/>
        <v>0.11938585043246576</v>
      </c>
      <c r="BT16" s="83">
        <f t="shared" ca="1" si="56"/>
        <v>1.9551524557245945</v>
      </c>
      <c r="BU16" s="83">
        <f t="shared" ca="1" si="57"/>
        <v>1.6797788704112715</v>
      </c>
      <c r="BV16" s="83">
        <f t="shared" ca="1" si="58"/>
        <v>4.0423745329390508</v>
      </c>
      <c r="BW16" s="83">
        <f t="shared" ca="1" si="59"/>
        <v>0.97984831317905219</v>
      </c>
      <c r="BX16" s="83">
        <f t="shared" ca="1" si="60"/>
        <v>0.10700509557280263</v>
      </c>
      <c r="BY16" s="83">
        <f t="shared" ca="1" si="61"/>
        <v>1.9551524557245945</v>
      </c>
      <c r="BZ16" s="83">
        <f t="shared" ca="1" si="62"/>
        <v>1.6797788704112715</v>
      </c>
      <c r="CA16" s="83">
        <f t="shared" ca="1" si="63"/>
        <v>5.6060183083176733</v>
      </c>
      <c r="CB16" s="83">
        <f t="shared" ca="1" si="64"/>
        <v>0.79148397138560622</v>
      </c>
      <c r="CC16" s="83">
        <f t="shared" ca="1" si="65"/>
        <v>0.13088226565929578</v>
      </c>
      <c r="CD16" s="83">
        <f t="shared" ca="1" si="66"/>
        <v>3.6070418909302302</v>
      </c>
      <c r="CE16" s="83">
        <f t="shared" ca="1" si="67"/>
        <v>1.0957409487060346</v>
      </c>
      <c r="CF16" s="83">
        <f t="shared" ca="1" si="68"/>
        <v>3.9107664265700475</v>
      </c>
      <c r="CG16" s="83">
        <f t="shared" ca="1" si="69"/>
        <v>1.0957409487060346</v>
      </c>
      <c r="CH16" s="83">
        <f t="shared" ca="1" si="70"/>
        <v>2.0030627503787684</v>
      </c>
      <c r="CI16" s="83">
        <f t="shared" ca="1" si="71"/>
        <v>6.2106609573484866</v>
      </c>
      <c r="CJ16" s="83">
        <f t="shared" ca="1" si="72"/>
        <v>2.0030627503787684</v>
      </c>
      <c r="CK16" s="83">
        <f t="shared" ca="1" si="73"/>
        <v>2.2210849082082698</v>
      </c>
    </row>
    <row r="17" spans="1:89" x14ac:dyDescent="0.25">
      <c r="A17" t="str">
        <f>Plantilla!D16</f>
        <v>R. Forsyth</v>
      </c>
      <c r="B17" s="319">
        <f>Plantilla!E16</f>
        <v>19</v>
      </c>
      <c r="C17" s="115">
        <f ca="1">Plantilla!F16</f>
        <v>87</v>
      </c>
      <c r="D17" s="319" t="str">
        <f>Plantilla!G16</f>
        <v>POT</v>
      </c>
      <c r="E17" s="265">
        <f>Plantilla!O16</f>
        <v>43626</v>
      </c>
      <c r="F17" s="115">
        <f>Plantilla!Q16</f>
        <v>3</v>
      </c>
      <c r="G17" s="142">
        <f t="shared" si="0"/>
        <v>0.65465367070797709</v>
      </c>
      <c r="H17" s="142">
        <f t="shared" si="1"/>
        <v>0.75498344352707503</v>
      </c>
      <c r="I17" s="195">
        <f ca="1">Plantilla!P16</f>
        <v>0.42114842817984777</v>
      </c>
      <c r="J17" s="196">
        <f>Plantilla!I16</f>
        <v>2.1</v>
      </c>
      <c r="K17" s="49">
        <f>Plantilla!X16</f>
        <v>0</v>
      </c>
      <c r="L17" s="49">
        <f>Plantilla!Y16</f>
        <v>7</v>
      </c>
      <c r="M17" s="49">
        <f>Plantilla!Z16</f>
        <v>9.6</v>
      </c>
      <c r="N17" s="49">
        <f>Plantilla!AA16</f>
        <v>2</v>
      </c>
      <c r="O17" s="49">
        <f>Plantilla!AB16</f>
        <v>4</v>
      </c>
      <c r="P17" s="49">
        <f>Plantilla!AC16</f>
        <v>6</v>
      </c>
      <c r="Q17" s="49">
        <f>Plantilla!AD16</f>
        <v>2</v>
      </c>
      <c r="R17" s="196">
        <f t="shared" si="2"/>
        <v>2.25</v>
      </c>
      <c r="S17" s="196">
        <f t="shared" ca="1" si="3"/>
        <v>5.3402108814267457</v>
      </c>
      <c r="T17" s="49">
        <f t="shared" si="4"/>
        <v>0.36</v>
      </c>
      <c r="U17" s="49">
        <f t="shared" si="5"/>
        <v>0.34</v>
      </c>
      <c r="V17" s="196">
        <f t="shared" ca="1" si="6"/>
        <v>1.9236840806440731</v>
      </c>
      <c r="W17" s="196">
        <f t="shared" ca="1" si="7"/>
        <v>2.2185007072399521</v>
      </c>
      <c r="X17" s="83">
        <f t="shared" ca="1" si="8"/>
        <v>2.6747258368712892</v>
      </c>
      <c r="Y17" s="83">
        <f t="shared" ca="1" si="9"/>
        <v>4.0733494334488363</v>
      </c>
      <c r="Z17" s="83">
        <f t="shared" ca="1" si="10"/>
        <v>2.6747258368712892</v>
      </c>
      <c r="AA17" s="83">
        <f t="shared" ca="1" si="11"/>
        <v>4.050999463717738</v>
      </c>
      <c r="AB17" s="83">
        <f t="shared" ca="1" si="12"/>
        <v>7.8507741544917398</v>
      </c>
      <c r="AC17" s="83">
        <f t="shared" ca="1" si="13"/>
        <v>2.025499731858869</v>
      </c>
      <c r="AD17" s="83">
        <f t="shared" ca="1" si="14"/>
        <v>2.4872842487690341</v>
      </c>
      <c r="AE17" s="83">
        <f t="shared" ca="1" si="15"/>
        <v>2.9675926303978777</v>
      </c>
      <c r="AF17" s="83">
        <f t="shared" ca="1" si="16"/>
        <v>5.676109713697528</v>
      </c>
      <c r="AG17" s="83">
        <f t="shared" ca="1" si="17"/>
        <v>1.4837963151989388</v>
      </c>
      <c r="AH17" s="83">
        <f t="shared" ca="1" si="18"/>
        <v>4.0235480494793201</v>
      </c>
      <c r="AI17" s="83">
        <f t="shared" ca="1" si="19"/>
        <v>7.2227122221324009</v>
      </c>
      <c r="AJ17" s="83">
        <f t="shared" ca="1" si="20"/>
        <v>3.2502204999595801</v>
      </c>
      <c r="AK17" s="83">
        <f t="shared" ca="1" si="21"/>
        <v>1.7452792838001205</v>
      </c>
      <c r="AL17" s="83">
        <f t="shared" ca="1" si="22"/>
        <v>1.676255202841143</v>
      </c>
      <c r="AM17" s="83">
        <f t="shared" ca="1" si="23"/>
        <v>5.9194837124867714</v>
      </c>
      <c r="AN17" s="83">
        <f t="shared" ca="1" si="24"/>
        <v>5.5583481013801519</v>
      </c>
      <c r="AO17" s="83">
        <f t="shared" ca="1" si="25"/>
        <v>0.47607928380012066</v>
      </c>
      <c r="AP17" s="83">
        <f t="shared" ca="1" si="26"/>
        <v>0.89302295649362107</v>
      </c>
      <c r="AQ17" s="83">
        <f t="shared" ca="1" si="27"/>
        <v>2.1197090217127701</v>
      </c>
      <c r="AR17" s="83">
        <f t="shared" ca="1" si="28"/>
        <v>4.6633598477680929</v>
      </c>
      <c r="AS17" s="83">
        <f t="shared" ca="1" si="29"/>
        <v>1.059854510856385</v>
      </c>
      <c r="AT17" s="83">
        <f t="shared" ca="1" si="30"/>
        <v>9.865530801840201</v>
      </c>
      <c r="AU17" s="83">
        <f t="shared" ca="1" si="31"/>
        <v>0.63060064008392624</v>
      </c>
      <c r="AV17" s="83">
        <f t="shared" ca="1" si="32"/>
        <v>1.7672768272660795</v>
      </c>
      <c r="AW17" s="83">
        <f t="shared" ca="1" si="33"/>
        <v>0.31530032004196312</v>
      </c>
      <c r="AX17" s="83">
        <f t="shared" ca="1" si="34"/>
        <v>1.4837963151989388</v>
      </c>
      <c r="AY17" s="83">
        <f t="shared" ca="1" si="35"/>
        <v>3.1403096617966959</v>
      </c>
      <c r="AZ17" s="83">
        <f t="shared" ca="1" si="36"/>
        <v>0.74189815759946942</v>
      </c>
      <c r="BA17" s="83">
        <f t="shared" ca="1" si="37"/>
        <v>10.450774154491739</v>
      </c>
      <c r="BB17" s="83">
        <f t="shared" ca="1" si="38"/>
        <v>1.2272458610864101</v>
      </c>
      <c r="BC17" s="83">
        <f t="shared" ca="1" si="39"/>
        <v>3.0927765591249488</v>
      </c>
      <c r="BD17" s="83">
        <f t="shared" ca="1" si="40"/>
        <v>0.61362293054320505</v>
      </c>
      <c r="BE17" s="83">
        <f t="shared" ca="1" si="41"/>
        <v>2.2845752789570963</v>
      </c>
      <c r="BF17" s="83">
        <f t="shared" ca="1" si="42"/>
        <v>2.7320694057631254</v>
      </c>
      <c r="BG17" s="83">
        <f t="shared" ca="1" si="43"/>
        <v>9.207132030107223</v>
      </c>
      <c r="BH17" s="83">
        <f t="shared" ca="1" si="44"/>
        <v>3.1643382233431567</v>
      </c>
      <c r="BI17" s="83">
        <f t="shared" ca="1" si="45"/>
        <v>1.1690365712325093</v>
      </c>
      <c r="BJ17" s="83">
        <f t="shared" ca="1" si="46"/>
        <v>3.8076254649284937</v>
      </c>
      <c r="BK17" s="83">
        <f t="shared" ca="1" si="47"/>
        <v>2.0726043767858195</v>
      </c>
      <c r="BL17" s="83">
        <f t="shared" ca="1" si="48"/>
        <v>3.9817449528613529</v>
      </c>
      <c r="BM17" s="83">
        <f t="shared" ca="1" si="49"/>
        <v>2.893576611025781</v>
      </c>
      <c r="BN17" s="83">
        <f t="shared" ca="1" si="50"/>
        <v>0.25224025603357048</v>
      </c>
      <c r="BO17" s="83">
        <f t="shared" ca="1" si="51"/>
        <v>1.413139347808513</v>
      </c>
      <c r="BP17" s="83">
        <f t="shared" ca="1" si="52"/>
        <v>0.53385264250543829</v>
      </c>
      <c r="BQ17" s="83">
        <f t="shared" ca="1" si="53"/>
        <v>3.1874861171199806</v>
      </c>
      <c r="BR17" s="83">
        <f t="shared" ca="1" si="54"/>
        <v>4.2380955626763779</v>
      </c>
      <c r="BS17" s="83">
        <f t="shared" ca="1" si="55"/>
        <v>0.65485451085638491</v>
      </c>
      <c r="BT17" s="83">
        <f t="shared" ca="1" si="56"/>
        <v>2.2296198598756538</v>
      </c>
      <c r="BU17" s="83">
        <f t="shared" ca="1" si="57"/>
        <v>1.9155888936959844</v>
      </c>
      <c r="BV17" s="83">
        <f t="shared" ca="1" si="58"/>
        <v>4.7551022402937413</v>
      </c>
      <c r="BW17" s="83">
        <f t="shared" ca="1" si="59"/>
        <v>3.6466577631768482</v>
      </c>
      <c r="BX17" s="83">
        <f t="shared" ca="1" si="60"/>
        <v>0.58694367269350045</v>
      </c>
      <c r="BY17" s="83">
        <f t="shared" ca="1" si="61"/>
        <v>2.2296198598756538</v>
      </c>
      <c r="BZ17" s="83">
        <f t="shared" ca="1" si="62"/>
        <v>1.9155888936959844</v>
      </c>
      <c r="CA17" s="83">
        <f t="shared" ca="1" si="63"/>
        <v>6.5944384914842873</v>
      </c>
      <c r="CB17" s="83">
        <f t="shared" ca="1" si="64"/>
        <v>2.9374428682701073</v>
      </c>
      <c r="CC17" s="83">
        <f t="shared" ca="1" si="65"/>
        <v>0.7179145748647775</v>
      </c>
      <c r="CD17" s="83">
        <f t="shared" ca="1" si="66"/>
        <v>4.2430143067236461</v>
      </c>
      <c r="CE17" s="83">
        <f t="shared" ca="1" si="67"/>
        <v>2.4932533344901966</v>
      </c>
      <c r="CF17" s="83">
        <f t="shared" ca="1" si="68"/>
        <v>6.6279716979576992</v>
      </c>
      <c r="CG17" s="83">
        <f t="shared" ca="1" si="69"/>
        <v>2.4932533344901966</v>
      </c>
      <c r="CH17" s="83">
        <f t="shared" ca="1" si="70"/>
        <v>3.2505337069215932</v>
      </c>
      <c r="CI17" s="83">
        <f t="shared" ca="1" si="71"/>
        <v>8.6407098174991912</v>
      </c>
      <c r="CJ17" s="83">
        <f t="shared" ca="1" si="72"/>
        <v>3.2505337069215932</v>
      </c>
      <c r="CK17" s="83">
        <f t="shared" ca="1" si="73"/>
        <v>2.6126935386229349</v>
      </c>
    </row>
    <row r="18" spans="1:89" x14ac:dyDescent="0.25">
      <c r="A18" t="str">
        <f>Plantilla!D17</f>
        <v>M. Grupinski</v>
      </c>
      <c r="B18" s="319">
        <f>Plantilla!E17</f>
        <v>23</v>
      </c>
      <c r="C18" s="115">
        <f ca="1">Plantilla!F17</f>
        <v>45</v>
      </c>
      <c r="D18" s="319" t="str">
        <f>Plantilla!G17</f>
        <v>CAB</v>
      </c>
      <c r="E18" s="265">
        <f>Plantilla!O17</f>
        <v>43650</v>
      </c>
      <c r="F18" s="115">
        <f>Plantilla!Q17</f>
        <v>5</v>
      </c>
      <c r="G18" s="142">
        <f t="shared" si="0"/>
        <v>0.84515425472851657</v>
      </c>
      <c r="H18" s="142">
        <f t="shared" si="1"/>
        <v>0.92504826128926143</v>
      </c>
      <c r="I18" s="195">
        <f ca="1">Plantilla!P17</f>
        <v>0.34254750934422762</v>
      </c>
      <c r="J18" s="196">
        <f>Plantilla!I17</f>
        <v>1.8</v>
      </c>
      <c r="K18" s="49">
        <f>Plantilla!X17</f>
        <v>0</v>
      </c>
      <c r="L18" s="49">
        <f>Plantilla!Y17</f>
        <v>3</v>
      </c>
      <c r="M18" s="49">
        <f>Plantilla!Z17</f>
        <v>9.4166666666666661</v>
      </c>
      <c r="N18" s="49">
        <f>Plantilla!AA17</f>
        <v>9</v>
      </c>
      <c r="O18" s="49">
        <f>Plantilla!AB17</f>
        <v>6</v>
      </c>
      <c r="P18" s="49">
        <f>Plantilla!AC17</f>
        <v>3</v>
      </c>
      <c r="Q18" s="49">
        <f>Plantilla!AD17</f>
        <v>3</v>
      </c>
      <c r="R18" s="196">
        <f t="shared" si="2"/>
        <v>2.25</v>
      </c>
      <c r="S18" s="196">
        <f t="shared" ca="1" si="3"/>
        <v>0.53923297735515163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3.1890848166122709</v>
      </c>
      <c r="W18" s="196">
        <f t="shared" ca="1" si="7"/>
        <v>3.49055494687037</v>
      </c>
      <c r="X18" s="83">
        <f t="shared" ca="1" si="8"/>
        <v>1.424181171597759</v>
      </c>
      <c r="Y18" s="83">
        <f t="shared" ca="1" si="9"/>
        <v>2.156637906681222</v>
      </c>
      <c r="Z18" s="83">
        <f t="shared" ca="1" si="10"/>
        <v>1.424181171597759</v>
      </c>
      <c r="AA18" s="83">
        <f t="shared" ca="1" si="11"/>
        <v>1.9003819983326962</v>
      </c>
      <c r="AB18" s="83">
        <f t="shared" ca="1" si="12"/>
        <v>3.6829108494819693</v>
      </c>
      <c r="AC18" s="83">
        <f t="shared" ca="1" si="13"/>
        <v>0.95019099916634808</v>
      </c>
      <c r="AD18" s="83">
        <f t="shared" ca="1" si="14"/>
        <v>2.4036994488433749</v>
      </c>
      <c r="AE18" s="83">
        <f t="shared" ca="1" si="15"/>
        <v>1.3921403011041844</v>
      </c>
      <c r="AF18" s="83">
        <f t="shared" ca="1" si="16"/>
        <v>2.6627445441754638</v>
      </c>
      <c r="AG18" s="83">
        <f t="shared" ca="1" si="17"/>
        <v>0.6960701505520922</v>
      </c>
      <c r="AH18" s="83">
        <f t="shared" ca="1" si="18"/>
        <v>3.8883373437172244</v>
      </c>
      <c r="AI18" s="83">
        <f t="shared" ca="1" si="19"/>
        <v>3.3882779815234119</v>
      </c>
      <c r="AJ18" s="83">
        <f t="shared" ca="1" si="20"/>
        <v>1.5247250916855353</v>
      </c>
      <c r="AK18" s="83">
        <f t="shared" ca="1" si="21"/>
        <v>1.6866294451968222</v>
      </c>
      <c r="AL18" s="83">
        <f t="shared" ca="1" si="22"/>
        <v>5.6935515794953977</v>
      </c>
      <c r="AM18" s="83">
        <f t="shared" ca="1" si="23"/>
        <v>2.7769147805094048</v>
      </c>
      <c r="AN18" s="83">
        <f t="shared" ca="1" si="24"/>
        <v>2.6075008814332343</v>
      </c>
      <c r="AO18" s="83">
        <f t="shared" ca="1" si="25"/>
        <v>0.6150461118634889</v>
      </c>
      <c r="AP18" s="83">
        <f t="shared" ca="1" si="26"/>
        <v>0.84467832465080706</v>
      </c>
      <c r="AQ18" s="83">
        <f t="shared" ca="1" si="27"/>
        <v>0.99438592936013182</v>
      </c>
      <c r="AR18" s="83">
        <f t="shared" ca="1" si="28"/>
        <v>2.1876490445922898</v>
      </c>
      <c r="AS18" s="83">
        <f t="shared" ca="1" si="29"/>
        <v>0.49719296468006591</v>
      </c>
      <c r="AT18" s="83">
        <f t="shared" ca="1" si="30"/>
        <v>9.5340011752443115</v>
      </c>
      <c r="AU18" s="83">
        <f t="shared" ca="1" si="31"/>
        <v>0.86877841043265602</v>
      </c>
      <c r="AV18" s="83">
        <f t="shared" ca="1" si="32"/>
        <v>1.4390928788982169</v>
      </c>
      <c r="AW18" s="83">
        <f t="shared" ca="1" si="33"/>
        <v>0.43438920521632801</v>
      </c>
      <c r="AX18" s="83">
        <f t="shared" ca="1" si="34"/>
        <v>0.6960701505520922</v>
      </c>
      <c r="AY18" s="83">
        <f t="shared" ca="1" si="35"/>
        <v>1.4731643397927878</v>
      </c>
      <c r="AZ18" s="83">
        <f t="shared" ca="1" si="36"/>
        <v>0.3480350752760461</v>
      </c>
      <c r="BA18" s="83">
        <f t="shared" ca="1" si="37"/>
        <v>10.099577516148635</v>
      </c>
      <c r="BB18" s="83">
        <f t="shared" ca="1" si="38"/>
        <v>1.6907764449189382</v>
      </c>
      <c r="BC18" s="83">
        <f t="shared" ca="1" si="39"/>
        <v>3.0522838780645651</v>
      </c>
      <c r="BD18" s="83">
        <f t="shared" ca="1" si="40"/>
        <v>0.8453882224594691</v>
      </c>
      <c r="BE18" s="83">
        <f t="shared" ca="1" si="41"/>
        <v>1.071727057199253</v>
      </c>
      <c r="BF18" s="83">
        <f t="shared" ca="1" si="42"/>
        <v>1.2816529756197252</v>
      </c>
      <c r="BG18" s="83">
        <f t="shared" ca="1" si="43"/>
        <v>8.8977277917269468</v>
      </c>
      <c r="BH18" s="83">
        <f t="shared" ca="1" si="44"/>
        <v>7.6631077451894694</v>
      </c>
      <c r="BI18" s="83">
        <f t="shared" ca="1" si="45"/>
        <v>1.6105815147251545</v>
      </c>
      <c r="BJ18" s="83">
        <f t="shared" ca="1" si="46"/>
        <v>1.786211761998755</v>
      </c>
      <c r="BK18" s="83">
        <f t="shared" ca="1" si="47"/>
        <v>0.97228846426324</v>
      </c>
      <c r="BL18" s="83">
        <f t="shared" ca="1" si="48"/>
        <v>3.8479390336526298</v>
      </c>
      <c r="BM18" s="83">
        <f t="shared" ca="1" si="49"/>
        <v>7.8598640824472419</v>
      </c>
      <c r="BN18" s="83">
        <f t="shared" ca="1" si="50"/>
        <v>0.34751136417306239</v>
      </c>
      <c r="BO18" s="83">
        <f t="shared" ca="1" si="51"/>
        <v>0.66292395290675443</v>
      </c>
      <c r="BP18" s="83">
        <f t="shared" ca="1" si="52"/>
        <v>0.25043793776477391</v>
      </c>
      <c r="BQ18" s="83">
        <f t="shared" ca="1" si="53"/>
        <v>3.0803711424253337</v>
      </c>
      <c r="BR18" s="83">
        <f t="shared" ca="1" si="54"/>
        <v>11.594223352433811</v>
      </c>
      <c r="BS18" s="83">
        <f t="shared" ca="1" si="55"/>
        <v>0.90219296468006582</v>
      </c>
      <c r="BT18" s="83">
        <f t="shared" ca="1" si="56"/>
        <v>1.0459466812528793</v>
      </c>
      <c r="BU18" s="83">
        <f t="shared" ca="1" si="57"/>
        <v>0.89863024727360052</v>
      </c>
      <c r="BV18" s="83">
        <f t="shared" ca="1" si="58"/>
        <v>4.5953077698476292</v>
      </c>
      <c r="BW18" s="83">
        <f t="shared" ca="1" si="59"/>
        <v>9.9966652212260225</v>
      </c>
      <c r="BX18" s="83">
        <f t="shared" ca="1" si="60"/>
        <v>0.80863221278731823</v>
      </c>
      <c r="BY18" s="83">
        <f t="shared" ca="1" si="61"/>
        <v>1.0459466812528793</v>
      </c>
      <c r="BZ18" s="83">
        <f t="shared" ca="1" si="62"/>
        <v>0.89863024727360052</v>
      </c>
      <c r="CA18" s="83">
        <f t="shared" ca="1" si="63"/>
        <v>6.372833412689789</v>
      </c>
      <c r="CB18" s="83">
        <f t="shared" ca="1" si="64"/>
        <v>8.0872052102863616</v>
      </c>
      <c r="CC18" s="83">
        <f t="shared" ca="1" si="65"/>
        <v>0.98907080572333139</v>
      </c>
      <c r="CD18" s="83">
        <f t="shared" ca="1" si="66"/>
        <v>4.1004284715563459</v>
      </c>
      <c r="CE18" s="83">
        <f t="shared" ca="1" si="67"/>
        <v>3.5327965525801055</v>
      </c>
      <c r="CF18" s="83">
        <f t="shared" ca="1" si="68"/>
        <v>5.7759576165166973</v>
      </c>
      <c r="CG18" s="83">
        <f t="shared" ca="1" si="69"/>
        <v>3.5327965525801055</v>
      </c>
      <c r="CH18" s="83">
        <f t="shared" ca="1" si="70"/>
        <v>4.2173911067977672</v>
      </c>
      <c r="CI18" s="83">
        <f t="shared" ca="1" si="71"/>
        <v>6.148904952940816</v>
      </c>
      <c r="CJ18" s="83">
        <f t="shared" ca="1" si="72"/>
        <v>4.2173911067977672</v>
      </c>
      <c r="CK18" s="83">
        <f t="shared" ca="1" si="73"/>
        <v>2.5248943790371587</v>
      </c>
    </row>
    <row r="19" spans="1:89" x14ac:dyDescent="0.25">
      <c r="A19" t="str">
        <f>Plantilla!D18</f>
        <v>V. Godoi</v>
      </c>
      <c r="B19" s="319">
        <f>Plantilla!E18</f>
        <v>26</v>
      </c>
      <c r="C19" s="115">
        <f ca="1">Plantilla!F18</f>
        <v>51</v>
      </c>
      <c r="D19" s="319">
        <f>Plantilla!G18</f>
        <v>0</v>
      </c>
      <c r="E19" s="265">
        <f>Plantilla!O18</f>
        <v>43639</v>
      </c>
      <c r="F19" s="115">
        <f>Plantilla!Q18</f>
        <v>3</v>
      </c>
      <c r="G19" s="142">
        <f t="shared" si="0"/>
        <v>0.65465367070797709</v>
      </c>
      <c r="H19" s="142">
        <f t="shared" si="1"/>
        <v>0.75498344352707503</v>
      </c>
      <c r="I19" s="195">
        <f ca="1">Plantilla!P18</f>
        <v>0.37970923784073518</v>
      </c>
      <c r="J19" s="196">
        <f>Plantilla!I18</f>
        <v>4.5999999999999996</v>
      </c>
      <c r="K19" s="49">
        <f>Plantilla!X18</f>
        <v>0</v>
      </c>
      <c r="L19" s="49">
        <f>Plantilla!Y18</f>
        <v>3</v>
      </c>
      <c r="M19" s="49">
        <f>Plantilla!Z18</f>
        <v>9.7692307692307701</v>
      </c>
      <c r="N19" s="49">
        <f>Plantilla!AA18</f>
        <v>9</v>
      </c>
      <c r="O19" s="49">
        <f>Plantilla!AB18</f>
        <v>5</v>
      </c>
      <c r="P19" s="49">
        <f>Plantilla!AC18</f>
        <v>5</v>
      </c>
      <c r="Q19" s="49">
        <f>Plantilla!AD18</f>
        <v>1</v>
      </c>
      <c r="R19" s="196">
        <f t="shared" si="2"/>
        <v>2</v>
      </c>
      <c r="S19" s="196">
        <f t="shared" ca="1" si="3"/>
        <v>4.0420838263163965</v>
      </c>
      <c r="T19" s="49">
        <f t="shared" si="4"/>
        <v>0.27999999999999997</v>
      </c>
      <c r="U19" s="49">
        <f t="shared" si="5"/>
        <v>0.15000000000000002</v>
      </c>
      <c r="V19" s="196">
        <f t="shared" ca="1" si="6"/>
        <v>1.5403820361700926</v>
      </c>
      <c r="W19" s="196">
        <f t="shared" ca="1" si="7"/>
        <v>1.7764552251838051</v>
      </c>
      <c r="X19" s="83">
        <f t="shared" ca="1" si="8"/>
        <v>1.9309362807123143</v>
      </c>
      <c r="Y19" s="83">
        <f t="shared" ca="1" si="9"/>
        <v>2.9060317736536057</v>
      </c>
      <c r="Z19" s="83">
        <f t="shared" ca="1" si="10"/>
        <v>1.9309362807123143</v>
      </c>
      <c r="AA19" s="83">
        <f t="shared" ca="1" si="11"/>
        <v>2.1999073549227424</v>
      </c>
      <c r="AB19" s="83">
        <f t="shared" ca="1" si="12"/>
        <v>4.2633863467495008</v>
      </c>
      <c r="AC19" s="83">
        <f t="shared" ca="1" si="13"/>
        <v>1.0999536774613712</v>
      </c>
      <c r="AD19" s="83">
        <f t="shared" ca="1" si="14"/>
        <v>2.6257628736033043</v>
      </c>
      <c r="AE19" s="83">
        <f t="shared" ca="1" si="15"/>
        <v>1.6115600390713114</v>
      </c>
      <c r="AF19" s="83">
        <f t="shared" ca="1" si="16"/>
        <v>3.0824283286998888</v>
      </c>
      <c r="AG19" s="83">
        <f t="shared" ca="1" si="17"/>
        <v>0.8057800195356557</v>
      </c>
      <c r="AH19" s="83">
        <f t="shared" ca="1" si="18"/>
        <v>4.2475575896524047</v>
      </c>
      <c r="AI19" s="83">
        <f t="shared" ca="1" si="19"/>
        <v>3.9223154390095409</v>
      </c>
      <c r="AJ19" s="83">
        <f t="shared" ca="1" si="20"/>
        <v>1.7650419475542933</v>
      </c>
      <c r="AK19" s="83">
        <f t="shared" ca="1" si="21"/>
        <v>1.8424470583687054</v>
      </c>
      <c r="AL19" s="83">
        <f t="shared" ca="1" si="22"/>
        <v>6.0348711718887058</v>
      </c>
      <c r="AM19" s="83">
        <f t="shared" ca="1" si="23"/>
        <v>3.2145933054491236</v>
      </c>
      <c r="AN19" s="83">
        <f t="shared" ca="1" si="24"/>
        <v>3.0184775334986464</v>
      </c>
      <c r="AO19" s="83">
        <f t="shared" ca="1" si="25"/>
        <v>0.37798551990716667</v>
      </c>
      <c r="AP19" s="83">
        <f t="shared" ca="1" si="26"/>
        <v>0.9398552678638562</v>
      </c>
      <c r="AQ19" s="83">
        <f t="shared" ca="1" si="27"/>
        <v>1.1511143136223654</v>
      </c>
      <c r="AR19" s="83">
        <f t="shared" ca="1" si="28"/>
        <v>2.5324514899692034</v>
      </c>
      <c r="AS19" s="83">
        <f t="shared" ca="1" si="29"/>
        <v>0.57555715681118269</v>
      </c>
      <c r="AT19" s="83">
        <f t="shared" ca="1" si="30"/>
        <v>10.414790557485375</v>
      </c>
      <c r="AU19" s="83">
        <f t="shared" ca="1" si="31"/>
        <v>0.8142402250774351</v>
      </c>
      <c r="AV19" s="83">
        <f t="shared" ca="1" si="32"/>
        <v>1.8351721995976038</v>
      </c>
      <c r="AW19" s="83">
        <f t="shared" ca="1" si="33"/>
        <v>0.40712011253871755</v>
      </c>
      <c r="AX19" s="83">
        <f t="shared" ca="1" si="34"/>
        <v>0.8057800195356557</v>
      </c>
      <c r="AY19" s="83">
        <f t="shared" ca="1" si="35"/>
        <v>1.7053545386998004</v>
      </c>
      <c r="AZ19" s="83">
        <f t="shared" ca="1" si="36"/>
        <v>0.40289000976782785</v>
      </c>
      <c r="BA19" s="83">
        <f t="shared" ca="1" si="37"/>
        <v>11.032617115980271</v>
      </c>
      <c r="BB19" s="83">
        <f t="shared" ca="1" si="38"/>
        <v>1.5846367457276238</v>
      </c>
      <c r="BC19" s="83">
        <f t="shared" ca="1" si="39"/>
        <v>3.451125877058975</v>
      </c>
      <c r="BD19" s="83">
        <f t="shared" ca="1" si="40"/>
        <v>0.7923183728638119</v>
      </c>
      <c r="BE19" s="83">
        <f t="shared" ca="1" si="41"/>
        <v>1.2406454269041047</v>
      </c>
      <c r="BF19" s="83">
        <f t="shared" ca="1" si="42"/>
        <v>1.4836584486688262</v>
      </c>
      <c r="BG19" s="83">
        <f t="shared" ca="1" si="43"/>
        <v>9.7197356791786191</v>
      </c>
      <c r="BH19" s="83">
        <f t="shared" ca="1" si="44"/>
        <v>7.864150462260306</v>
      </c>
      <c r="BI19" s="83">
        <f t="shared" ca="1" si="45"/>
        <v>1.5094761095666296</v>
      </c>
      <c r="BJ19" s="83">
        <f t="shared" ca="1" si="46"/>
        <v>2.067742378173508</v>
      </c>
      <c r="BK19" s="83">
        <f t="shared" ca="1" si="47"/>
        <v>1.1255339955418682</v>
      </c>
      <c r="BL19" s="83">
        <f t="shared" ca="1" si="48"/>
        <v>4.2034271211884828</v>
      </c>
      <c r="BM19" s="83">
        <f t="shared" ca="1" si="49"/>
        <v>8.1661996670590646</v>
      </c>
      <c r="BN19" s="83">
        <f t="shared" ca="1" si="50"/>
        <v>0.32569609003097405</v>
      </c>
      <c r="BO19" s="83">
        <f t="shared" ca="1" si="51"/>
        <v>0.76740954241491011</v>
      </c>
      <c r="BP19" s="83">
        <f t="shared" ca="1" si="52"/>
        <v>0.28991027157896609</v>
      </c>
      <c r="BQ19" s="83">
        <f t="shared" ca="1" si="53"/>
        <v>3.3649482203739827</v>
      </c>
      <c r="BR19" s="83">
        <f t="shared" ca="1" si="54"/>
        <v>12.054714841919857</v>
      </c>
      <c r="BS19" s="83">
        <f t="shared" ca="1" si="55"/>
        <v>0.84555715681118271</v>
      </c>
      <c r="BT19" s="83">
        <f t="shared" ca="1" si="56"/>
        <v>1.2108017224768581</v>
      </c>
      <c r="BU19" s="83">
        <f t="shared" ca="1" si="57"/>
        <v>1.0402662686068782</v>
      </c>
      <c r="BV19" s="83">
        <f t="shared" ca="1" si="58"/>
        <v>5.0198407877710238</v>
      </c>
      <c r="BW19" s="83">
        <f t="shared" ca="1" si="59"/>
        <v>10.395832072198447</v>
      </c>
      <c r="BX19" s="83">
        <f t="shared" ca="1" si="60"/>
        <v>0.7578697479566896</v>
      </c>
      <c r="BY19" s="83">
        <f t="shared" ca="1" si="61"/>
        <v>1.2108017224768581</v>
      </c>
      <c r="BZ19" s="83">
        <f t="shared" ca="1" si="62"/>
        <v>1.0402662686068782</v>
      </c>
      <c r="CA19" s="83">
        <f t="shared" ca="1" si="63"/>
        <v>6.961581400183551</v>
      </c>
      <c r="CB19" s="83">
        <f t="shared" ca="1" si="64"/>
        <v>8.4137307803408028</v>
      </c>
      <c r="CC19" s="83">
        <f t="shared" ca="1" si="65"/>
        <v>0.9269811793189261</v>
      </c>
      <c r="CD19" s="83">
        <f t="shared" ca="1" si="66"/>
        <v>4.4792425490879904</v>
      </c>
      <c r="CE19" s="83">
        <f t="shared" ca="1" si="67"/>
        <v>3.8392242866564898</v>
      </c>
      <c r="CF19" s="83">
        <f t="shared" ca="1" si="68"/>
        <v>7.0525730264399371</v>
      </c>
      <c r="CG19" s="83">
        <f t="shared" ca="1" si="69"/>
        <v>3.8392242866564898</v>
      </c>
      <c r="CH19" s="83">
        <f t="shared" ca="1" si="70"/>
        <v>4.9473652921863485</v>
      </c>
      <c r="CI19" s="83">
        <f t="shared" ca="1" si="71"/>
        <v>8.5745759087000657</v>
      </c>
      <c r="CJ19" s="83">
        <f t="shared" ca="1" si="72"/>
        <v>4.9473652921863485</v>
      </c>
      <c r="CK19" s="83">
        <f t="shared" ca="1" si="73"/>
        <v>2.7581542789950677</v>
      </c>
    </row>
    <row r="20" spans="1:89" x14ac:dyDescent="0.25">
      <c r="A20" t="str">
        <f>Plantilla!D15</f>
        <v>P. Tuderek</v>
      </c>
      <c r="B20" s="319">
        <f>Plantilla!E15</f>
        <v>19</v>
      </c>
      <c r="C20" s="115">
        <f ca="1">Plantilla!F15</f>
        <v>32</v>
      </c>
      <c r="D20" s="319" t="str">
        <f>Plantilla!G15</f>
        <v>CAB</v>
      </c>
      <c r="E20" s="265">
        <f>Plantilla!O15</f>
        <v>43626</v>
      </c>
      <c r="F20" s="115">
        <f>Plantilla!Q15</f>
        <v>7</v>
      </c>
      <c r="G20" s="142">
        <f t="shared" si="0"/>
        <v>1</v>
      </c>
      <c r="H20" s="142">
        <f t="shared" si="1"/>
        <v>1</v>
      </c>
      <c r="I20" s="195">
        <f ca="1">Plantilla!P15</f>
        <v>0.42114842817984777</v>
      </c>
      <c r="J20" s="196">
        <f>Plantilla!I15</f>
        <v>1.2</v>
      </c>
      <c r="K20" s="49">
        <f>Plantilla!X15</f>
        <v>0</v>
      </c>
      <c r="L20" s="49">
        <f>Plantilla!Y15</f>
        <v>6</v>
      </c>
      <c r="M20" s="49">
        <f>Plantilla!Z15</f>
        <v>8.25</v>
      </c>
      <c r="N20" s="49">
        <f>Plantilla!AA15</f>
        <v>2</v>
      </c>
      <c r="O20" s="49">
        <f>Plantilla!AB15</f>
        <v>3</v>
      </c>
      <c r="P20" s="49">
        <f>Plantilla!AC15</f>
        <v>6</v>
      </c>
      <c r="Q20" s="49">
        <f>Plantilla!AD15</f>
        <v>8</v>
      </c>
      <c r="R20" s="196">
        <f t="shared" si="2"/>
        <v>1.875</v>
      </c>
      <c r="S20" s="196">
        <f t="shared" ca="1" si="3"/>
        <v>7.9240587646311322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8.6144252393292735</v>
      </c>
      <c r="W20" s="196">
        <f t="shared" ca="1" si="7"/>
        <v>8.6144252393292735</v>
      </c>
      <c r="X20" s="83">
        <f t="shared" ca="1" si="8"/>
        <v>2.1158295482004426</v>
      </c>
      <c r="Y20" s="83">
        <f t="shared" ca="1" si="9"/>
        <v>3.2299999389768281</v>
      </c>
      <c r="Z20" s="83">
        <f t="shared" ca="1" si="10"/>
        <v>2.1158295482004426</v>
      </c>
      <c r="AA20" s="83">
        <f t="shared" ca="1" si="11"/>
        <v>3.3677892862215675</v>
      </c>
      <c r="AB20" s="83">
        <f t="shared" ca="1" si="12"/>
        <v>6.5267234229100142</v>
      </c>
      <c r="AC20" s="83">
        <f t="shared" ca="1" si="13"/>
        <v>1.6838946431107837</v>
      </c>
      <c r="AD20" s="83">
        <f t="shared" ca="1" si="14"/>
        <v>2.088860174652583</v>
      </c>
      <c r="AE20" s="83">
        <f t="shared" ca="1" si="15"/>
        <v>2.4671014538599856</v>
      </c>
      <c r="AF20" s="83">
        <f t="shared" ca="1" si="16"/>
        <v>4.7188210347639403</v>
      </c>
      <c r="AG20" s="83">
        <f t="shared" ca="1" si="17"/>
        <v>1.2335507269299928</v>
      </c>
      <c r="AH20" s="83">
        <f t="shared" ca="1" si="18"/>
        <v>3.379038517820355</v>
      </c>
      <c r="AI20" s="83">
        <f t="shared" ca="1" si="19"/>
        <v>6.0045855490772135</v>
      </c>
      <c r="AJ20" s="83">
        <f t="shared" ca="1" si="20"/>
        <v>2.7020634970847457</v>
      </c>
      <c r="AK20" s="83">
        <f t="shared" ca="1" si="21"/>
        <v>1.4657128116259723</v>
      </c>
      <c r="AL20" s="83">
        <f t="shared" ca="1" si="22"/>
        <v>1.4857133726710883</v>
      </c>
      <c r="AM20" s="83">
        <f t="shared" ca="1" si="23"/>
        <v>4.9211494608741511</v>
      </c>
      <c r="AN20" s="83">
        <f t="shared" ca="1" si="24"/>
        <v>4.6209201834202895</v>
      </c>
      <c r="AO20" s="83">
        <f t="shared" ca="1" si="25"/>
        <v>1.4239628116259724</v>
      </c>
      <c r="AP20" s="83">
        <f t="shared" ca="1" si="26"/>
        <v>0.69169634579808403</v>
      </c>
      <c r="AQ20" s="83">
        <f t="shared" ca="1" si="27"/>
        <v>1.7622153241857039</v>
      </c>
      <c r="AR20" s="83">
        <f t="shared" ca="1" si="28"/>
        <v>3.8768737132085485</v>
      </c>
      <c r="AS20" s="83">
        <f t="shared" ca="1" si="29"/>
        <v>0.88110766209285196</v>
      </c>
      <c r="AT20" s="83">
        <f t="shared" ca="1" si="30"/>
        <v>8.2852269112270527</v>
      </c>
      <c r="AU20" s="83">
        <f t="shared" ca="1" si="31"/>
        <v>0.45847404497830185</v>
      </c>
      <c r="AV20" s="83">
        <f t="shared" ca="1" si="32"/>
        <v>1.5523299629126341</v>
      </c>
      <c r="AW20" s="83">
        <f t="shared" ca="1" si="33"/>
        <v>0.22923702248915093</v>
      </c>
      <c r="AX20" s="83">
        <f t="shared" ca="1" si="34"/>
        <v>1.2335507269299928</v>
      </c>
      <c r="AY20" s="83">
        <f t="shared" ca="1" si="35"/>
        <v>2.6106893691640058</v>
      </c>
      <c r="AZ20" s="83">
        <f t="shared" ca="1" si="36"/>
        <v>0.6167753634649964</v>
      </c>
      <c r="BA20" s="83">
        <f t="shared" ca="1" si="37"/>
        <v>8.7767234229100133</v>
      </c>
      <c r="BB20" s="83">
        <f t="shared" ca="1" si="38"/>
        <v>0.89226102599623358</v>
      </c>
      <c r="BC20" s="83">
        <f t="shared" ca="1" si="39"/>
        <v>2.5732246060234178</v>
      </c>
      <c r="BD20" s="83">
        <f t="shared" ca="1" si="40"/>
        <v>0.44613051299811679</v>
      </c>
      <c r="BE20" s="83">
        <f t="shared" ca="1" si="41"/>
        <v>1.8992765160668139</v>
      </c>
      <c r="BF20" s="83">
        <f t="shared" ca="1" si="42"/>
        <v>2.2712997511726849</v>
      </c>
      <c r="BG20" s="83">
        <f t="shared" ca="1" si="43"/>
        <v>7.732293335583722</v>
      </c>
      <c r="BH20" s="83">
        <f t="shared" ca="1" si="44"/>
        <v>2.5612571229670023</v>
      </c>
      <c r="BI20" s="83">
        <f t="shared" ca="1" si="45"/>
        <v>0.84994034492131343</v>
      </c>
      <c r="BJ20" s="83">
        <f t="shared" ca="1" si="46"/>
        <v>3.1654608601113567</v>
      </c>
      <c r="BK20" s="83">
        <f t="shared" ca="1" si="47"/>
        <v>1.7230549836482438</v>
      </c>
      <c r="BL20" s="83">
        <f t="shared" ca="1" si="48"/>
        <v>3.3439316241287149</v>
      </c>
      <c r="BM20" s="83">
        <f t="shared" ca="1" si="49"/>
        <v>2.4093562716233525</v>
      </c>
      <c r="BN20" s="83">
        <f t="shared" ca="1" si="50"/>
        <v>0.18338961799132072</v>
      </c>
      <c r="BO20" s="83">
        <f t="shared" ca="1" si="51"/>
        <v>1.1748102161238025</v>
      </c>
      <c r="BP20" s="83">
        <f t="shared" ca="1" si="52"/>
        <v>0.44381719275788101</v>
      </c>
      <c r="BQ20" s="83">
        <f t="shared" ca="1" si="53"/>
        <v>2.6769006439875538</v>
      </c>
      <c r="BR20" s="83">
        <f t="shared" ca="1" si="54"/>
        <v>3.5353663218622779</v>
      </c>
      <c r="BS20" s="83">
        <f t="shared" ca="1" si="55"/>
        <v>0.47610766209285194</v>
      </c>
      <c r="BT20" s="83">
        <f t="shared" ca="1" si="56"/>
        <v>1.8535894521064438</v>
      </c>
      <c r="BU20" s="83">
        <f t="shared" ca="1" si="57"/>
        <v>1.5925205151900435</v>
      </c>
      <c r="BV20" s="83">
        <f t="shared" ca="1" si="58"/>
        <v>3.9934091574240562</v>
      </c>
      <c r="BW20" s="83">
        <f t="shared" ca="1" si="59"/>
        <v>3.0436095525842957</v>
      </c>
      <c r="BX20" s="83">
        <f t="shared" ca="1" si="60"/>
        <v>0.42673353417211168</v>
      </c>
      <c r="BY20" s="83">
        <f t="shared" ca="1" si="61"/>
        <v>1.8535894521064438</v>
      </c>
      <c r="BZ20" s="83">
        <f t="shared" ca="1" si="62"/>
        <v>1.5925205151900435</v>
      </c>
      <c r="CA20" s="83">
        <f t="shared" ca="1" si="63"/>
        <v>5.5381124798562187</v>
      </c>
      <c r="CB20" s="83">
        <f t="shared" ca="1" si="64"/>
        <v>2.4544174635044627</v>
      </c>
      <c r="CC20" s="83">
        <f t="shared" ca="1" si="65"/>
        <v>0.52195506659068203</v>
      </c>
      <c r="CD20" s="83">
        <f t="shared" ca="1" si="66"/>
        <v>3.5633497097014657</v>
      </c>
      <c r="CE20" s="83">
        <f t="shared" ca="1" si="67"/>
        <v>2.0744229033361172</v>
      </c>
      <c r="CF20" s="83">
        <f t="shared" ca="1" si="68"/>
        <v>5.7200905741966759</v>
      </c>
      <c r="CG20" s="83">
        <f t="shared" ca="1" si="69"/>
        <v>2.0744229033361172</v>
      </c>
      <c r="CH20" s="83">
        <f t="shared" ca="1" si="70"/>
        <v>2.9066501011461785</v>
      </c>
      <c r="CI20" s="83">
        <f t="shared" ca="1" si="71"/>
        <v>7.8280843659638091</v>
      </c>
      <c r="CJ20" s="83">
        <f t="shared" ca="1" si="72"/>
        <v>2.9066501011461785</v>
      </c>
      <c r="CK20" s="83">
        <f t="shared" ca="1" si="73"/>
        <v>2.1941808557275033</v>
      </c>
    </row>
    <row r="21" spans="1:89" x14ac:dyDescent="0.25">
      <c r="A21" t="str">
        <f>Plantilla!D20</f>
        <v>G. Stoychev</v>
      </c>
      <c r="B21" s="319">
        <f>Plantilla!E20</f>
        <v>24</v>
      </c>
      <c r="C21" s="115">
        <f ca="1">Plantilla!F20</f>
        <v>47</v>
      </c>
      <c r="D21" s="319" t="str">
        <f>Plantilla!G20</f>
        <v>IMP</v>
      </c>
      <c r="E21" s="265">
        <f>Plantilla!O20</f>
        <v>43650</v>
      </c>
      <c r="F21" s="115">
        <f>Plantilla!Q20</f>
        <v>6</v>
      </c>
      <c r="G21" s="142">
        <f t="shared" si="0"/>
        <v>0.92582009977255142</v>
      </c>
      <c r="H21" s="142">
        <f t="shared" si="1"/>
        <v>0.99928545900129484</v>
      </c>
      <c r="I21" s="195">
        <f ca="1">Plantilla!P20</f>
        <v>0.34254750934422762</v>
      </c>
      <c r="J21" s="196">
        <f>Plantilla!I20</f>
        <v>3.7</v>
      </c>
      <c r="K21" s="49">
        <f>Plantilla!X20</f>
        <v>0</v>
      </c>
      <c r="L21" s="49">
        <f>Plantilla!Y20</f>
        <v>9</v>
      </c>
      <c r="M21" s="49">
        <f>Plantilla!Z20</f>
        <v>9</v>
      </c>
      <c r="N21" s="49">
        <f>Plantilla!AA20</f>
        <v>9</v>
      </c>
      <c r="O21" s="49">
        <f>Plantilla!AB20</f>
        <v>5</v>
      </c>
      <c r="P21" s="49">
        <f>Plantilla!AC20</f>
        <v>5</v>
      </c>
      <c r="Q21" s="49">
        <f>Plantilla!AD20</f>
        <v>3</v>
      </c>
      <c r="R21" s="196">
        <f t="shared" si="2"/>
        <v>2.75</v>
      </c>
      <c r="S21" s="196">
        <f t="shared" ca="1" si="3"/>
        <v>4.7813310759014893</v>
      </c>
      <c r="T21" s="49">
        <f t="shared" si="4"/>
        <v>0.33999999999999997</v>
      </c>
      <c r="U21" s="49">
        <f t="shared" si="5"/>
        <v>0.45</v>
      </c>
      <c r="V21" s="196">
        <f t="shared" ca="1" si="6"/>
        <v>3.8797555980084786</v>
      </c>
      <c r="W21" s="196">
        <f t="shared" ca="1" si="7"/>
        <v>4.1876206344204601</v>
      </c>
      <c r="X21" s="83">
        <f t="shared" ca="1" si="8"/>
        <v>3.4444307824714926</v>
      </c>
      <c r="Y21" s="83">
        <f t="shared" ca="1" si="9"/>
        <v>5.2452934022573849</v>
      </c>
      <c r="Z21" s="83">
        <f t="shared" ca="1" si="10"/>
        <v>3.4444307824714926</v>
      </c>
      <c r="AA21" s="83">
        <f t="shared" ca="1" si="11"/>
        <v>5.2116773009797139</v>
      </c>
      <c r="AB21" s="83">
        <f t="shared" ca="1" si="12"/>
        <v>10.10014980810022</v>
      </c>
      <c r="AC21" s="83">
        <f t="shared" ca="1" si="13"/>
        <v>2.605838650489857</v>
      </c>
      <c r="AD21" s="83">
        <f t="shared" ca="1" si="14"/>
        <v>2.4038356543278523</v>
      </c>
      <c r="AE21" s="83">
        <f t="shared" ca="1" si="15"/>
        <v>3.8178566274618833</v>
      </c>
      <c r="AF21" s="83">
        <f t="shared" ca="1" si="16"/>
        <v>7.3024083112564586</v>
      </c>
      <c r="AG21" s="83">
        <f t="shared" ca="1" si="17"/>
        <v>1.9089283137309416</v>
      </c>
      <c r="AH21" s="83">
        <f t="shared" ca="1" si="18"/>
        <v>3.8885576761185847</v>
      </c>
      <c r="AI21" s="83">
        <f t="shared" ca="1" si="19"/>
        <v>9.2921378234522027</v>
      </c>
      <c r="AJ21" s="83">
        <f t="shared" ca="1" si="20"/>
        <v>4.1814620205534911</v>
      </c>
      <c r="AK21" s="83">
        <f t="shared" ca="1" si="21"/>
        <v>1.6867250179527369</v>
      </c>
      <c r="AL21" s="83">
        <f t="shared" ca="1" si="22"/>
        <v>5.9388880871629288</v>
      </c>
      <c r="AM21" s="83">
        <f t="shared" ca="1" si="23"/>
        <v>7.6155129553075653</v>
      </c>
      <c r="AN21" s="83">
        <f t="shared" ca="1" si="24"/>
        <v>7.1509060641349551</v>
      </c>
      <c r="AO21" s="83">
        <f t="shared" ca="1" si="25"/>
        <v>0.68472501795273699</v>
      </c>
      <c r="AP21" s="83">
        <f t="shared" ca="1" si="26"/>
        <v>1.1088431447328635</v>
      </c>
      <c r="AQ21" s="83">
        <f t="shared" ca="1" si="27"/>
        <v>2.7270404481870596</v>
      </c>
      <c r="AR21" s="83">
        <f t="shared" ca="1" si="28"/>
        <v>5.9994889860115306</v>
      </c>
      <c r="AS21" s="83">
        <f t="shared" ca="1" si="29"/>
        <v>1.3635202240935298</v>
      </c>
      <c r="AT21" s="83">
        <f t="shared" ca="1" si="30"/>
        <v>9.5345414188466062</v>
      </c>
      <c r="AU21" s="83">
        <f t="shared" ca="1" si="31"/>
        <v>0.79301947505302883</v>
      </c>
      <c r="AV21" s="83">
        <f t="shared" ca="1" si="32"/>
        <v>1.7873438937733648</v>
      </c>
      <c r="AW21" s="83">
        <f t="shared" ca="1" si="33"/>
        <v>0.39650973752651442</v>
      </c>
      <c r="AX21" s="83">
        <f t="shared" ca="1" si="34"/>
        <v>1.9089283137309416</v>
      </c>
      <c r="AY21" s="83">
        <f t="shared" ca="1" si="35"/>
        <v>4.0400599232400882</v>
      </c>
      <c r="AZ21" s="83">
        <f t="shared" ca="1" si="36"/>
        <v>0.95446415686547081</v>
      </c>
      <c r="BA21" s="83">
        <f t="shared" ca="1" si="37"/>
        <v>10.10014980810022</v>
      </c>
      <c r="BB21" s="83">
        <f t="shared" ca="1" si="38"/>
        <v>1.543337901449356</v>
      </c>
      <c r="BC21" s="83">
        <f t="shared" ca="1" si="39"/>
        <v>3.3611825442632224</v>
      </c>
      <c r="BD21" s="83">
        <f t="shared" ca="1" si="40"/>
        <v>0.771668950724678</v>
      </c>
      <c r="BE21" s="83">
        <f t="shared" ca="1" si="41"/>
        <v>2.9391435941571635</v>
      </c>
      <c r="BF21" s="83">
        <f t="shared" ca="1" si="42"/>
        <v>3.5148521332188762</v>
      </c>
      <c r="BG21" s="83">
        <f t="shared" ca="1" si="43"/>
        <v>8.8982319809362931</v>
      </c>
      <c r="BH21" s="83">
        <f t="shared" ca="1" si="44"/>
        <v>7.7190331794010953</v>
      </c>
      <c r="BI21" s="83">
        <f t="shared" ca="1" si="45"/>
        <v>1.4701361037521534</v>
      </c>
      <c r="BJ21" s="83">
        <f t="shared" ca="1" si="46"/>
        <v>4.8985726569286063</v>
      </c>
      <c r="BK21" s="83">
        <f t="shared" ca="1" si="47"/>
        <v>2.6664395493384583</v>
      </c>
      <c r="BL21" s="83">
        <f t="shared" ca="1" si="48"/>
        <v>3.8481570768861837</v>
      </c>
      <c r="BM21" s="83">
        <f t="shared" ca="1" si="49"/>
        <v>8.0235309322795931</v>
      </c>
      <c r="BN21" s="83">
        <f t="shared" ca="1" si="50"/>
        <v>0.31720779002121152</v>
      </c>
      <c r="BO21" s="83">
        <f t="shared" ca="1" si="51"/>
        <v>1.8180269654580394</v>
      </c>
      <c r="BP21" s="83">
        <f t="shared" ca="1" si="52"/>
        <v>0.68681018695081497</v>
      </c>
      <c r="BQ21" s="83">
        <f t="shared" ca="1" si="53"/>
        <v>3.0805456914705669</v>
      </c>
      <c r="BR21" s="83">
        <f t="shared" ca="1" si="54"/>
        <v>11.844792653216883</v>
      </c>
      <c r="BS21" s="83">
        <f t="shared" ca="1" si="55"/>
        <v>0.82352022409352998</v>
      </c>
      <c r="BT21" s="83">
        <f t="shared" ca="1" si="56"/>
        <v>2.8684425455004621</v>
      </c>
      <c r="BU21" s="83">
        <f t="shared" ca="1" si="57"/>
        <v>2.4644365531764536</v>
      </c>
      <c r="BV21" s="83">
        <f t="shared" ca="1" si="58"/>
        <v>4.5955681626856002</v>
      </c>
      <c r="BW21" s="83">
        <f t="shared" ca="1" si="59"/>
        <v>10.214965987375043</v>
      </c>
      <c r="BX21" s="83">
        <f t="shared" ca="1" si="60"/>
        <v>0.73811812678012678</v>
      </c>
      <c r="BY21" s="83">
        <f t="shared" ca="1" si="61"/>
        <v>2.8684425455004621</v>
      </c>
      <c r="BZ21" s="83">
        <f t="shared" ca="1" si="62"/>
        <v>2.4644365531764536</v>
      </c>
      <c r="CA21" s="83">
        <f t="shared" ca="1" si="63"/>
        <v>6.3731945289112391</v>
      </c>
      <c r="CB21" s="83">
        <f t="shared" ca="1" si="64"/>
        <v>8.2676340782496958</v>
      </c>
      <c r="CC21" s="83">
        <f t="shared" ca="1" si="65"/>
        <v>0.90282217159883271</v>
      </c>
      <c r="CD21" s="83">
        <f t="shared" ca="1" si="66"/>
        <v>4.1006608220886891</v>
      </c>
      <c r="CE21" s="83">
        <f t="shared" ca="1" si="67"/>
        <v>3.7541780500202151</v>
      </c>
      <c r="CF21" s="83">
        <f t="shared" ca="1" si="68"/>
        <v>6.868768683920849</v>
      </c>
      <c r="CG21" s="83">
        <f t="shared" ca="1" si="69"/>
        <v>3.7541780500202151</v>
      </c>
      <c r="CH21" s="83">
        <f t="shared" ca="1" si="70"/>
        <v>4.855330978016938</v>
      </c>
      <c r="CI21" s="83">
        <f t="shared" ca="1" si="71"/>
        <v>8.3511050872892021</v>
      </c>
      <c r="CJ21" s="83">
        <f t="shared" ca="1" si="72"/>
        <v>4.855330978016938</v>
      </c>
      <c r="CK21" s="83">
        <f t="shared" ca="1" si="73"/>
        <v>2.5250374520250549</v>
      </c>
    </row>
    <row r="22" spans="1:89" x14ac:dyDescent="0.25">
      <c r="A22" t="str">
        <f>Plantilla!D21</f>
        <v>K. Helms</v>
      </c>
      <c r="B22" s="319">
        <f>Plantilla!E21</f>
        <v>35</v>
      </c>
      <c r="C22" s="115">
        <f ca="1">Plantilla!F21</f>
        <v>107</v>
      </c>
      <c r="D22" s="319" t="str">
        <f>Plantilla!G21</f>
        <v>TEC</v>
      </c>
      <c r="E22" s="265">
        <v>36526</v>
      </c>
      <c r="F22" s="115">
        <f>Plantilla!Q21</f>
        <v>2</v>
      </c>
      <c r="G22" s="142">
        <f t="shared" si="0"/>
        <v>0.53452248382484879</v>
      </c>
      <c r="H22" s="142">
        <f t="shared" si="1"/>
        <v>0.65356167049702141</v>
      </c>
      <c r="I22" s="195">
        <f>Plantilla!P21</f>
        <v>1.5</v>
      </c>
      <c r="J22" s="196">
        <f>Plantilla!I21</f>
        <v>13.6</v>
      </c>
      <c r="K22" s="49">
        <f>Plantilla!X21</f>
        <v>0</v>
      </c>
      <c r="L22" s="49">
        <f>Plantilla!Y21</f>
        <v>6.95</v>
      </c>
      <c r="M22" s="49">
        <f>Plantilla!Z21</f>
        <v>10.600000000000005</v>
      </c>
      <c r="N22" s="49">
        <f>Plantilla!AA21</f>
        <v>12.95</v>
      </c>
      <c r="O22" s="49">
        <f>Plantilla!AB21</f>
        <v>9.9499999999999993</v>
      </c>
      <c r="P22" s="49">
        <f>Plantilla!AC21</f>
        <v>3.95</v>
      </c>
      <c r="Q22" s="49">
        <f>Plantilla!AD21</f>
        <v>17.95</v>
      </c>
      <c r="R22" s="196">
        <f t="shared" si="2"/>
        <v>3.7312499999999997</v>
      </c>
      <c r="S22" s="196">
        <f t="shared" si="3"/>
        <v>15.484661316664242</v>
      </c>
      <c r="T22" s="49">
        <f t="shared" si="4"/>
        <v>0.73599999999999999</v>
      </c>
      <c r="U22" s="49">
        <f t="shared" si="5"/>
        <v>0.81649999999999989</v>
      </c>
      <c r="V22" s="196">
        <f t="shared" ca="1" si="6"/>
        <v>10.937070445566427</v>
      </c>
      <c r="W22" s="196">
        <f t="shared" ca="1" si="7"/>
        <v>13.372777099288969</v>
      </c>
      <c r="X22" s="83">
        <f t="shared" si="8"/>
        <v>4.5471392893429332</v>
      </c>
      <c r="Y22" s="83">
        <f t="shared" si="9"/>
        <v>6.8414483076079335</v>
      </c>
      <c r="Z22" s="83">
        <f t="shared" si="10"/>
        <v>4.5471392893429332</v>
      </c>
      <c r="AA22" s="83">
        <f t="shared" si="11"/>
        <v>5.1400747689587094</v>
      </c>
      <c r="AB22" s="83">
        <f t="shared" si="12"/>
        <v>9.9613852111602892</v>
      </c>
      <c r="AC22" s="83">
        <f t="shared" si="13"/>
        <v>2.5700373844793547</v>
      </c>
      <c r="AD22" s="83">
        <f t="shared" si="14"/>
        <v>3.23950968025615</v>
      </c>
      <c r="AE22" s="83">
        <f t="shared" si="15"/>
        <v>3.7654036098185895</v>
      </c>
      <c r="AF22" s="83">
        <f t="shared" si="16"/>
        <v>7.2020815076688889</v>
      </c>
      <c r="AG22" s="83">
        <f t="shared" si="17"/>
        <v>1.8827018049092947</v>
      </c>
      <c r="AH22" s="83">
        <f t="shared" si="18"/>
        <v>5.2403833062967138</v>
      </c>
      <c r="AI22" s="83">
        <f t="shared" si="19"/>
        <v>9.1644743942674669</v>
      </c>
      <c r="AJ22" s="83">
        <f t="shared" si="20"/>
        <v>4.1240134774203598</v>
      </c>
      <c r="AK22" s="83">
        <f t="shared" si="21"/>
        <v>2.2731013302637693</v>
      </c>
      <c r="AL22" s="83">
        <f t="shared" si="22"/>
        <v>9.3852945041622498</v>
      </c>
      <c r="AM22" s="83">
        <f t="shared" si="23"/>
        <v>7.5108844492148581</v>
      </c>
      <c r="AN22" s="83">
        <f t="shared" si="24"/>
        <v>7.0526607295014845</v>
      </c>
      <c r="AO22" s="83">
        <f t="shared" si="25"/>
        <v>3.500551330263769</v>
      </c>
      <c r="AP22" s="83">
        <f t="shared" si="26"/>
        <v>1.9418789408141632</v>
      </c>
      <c r="AQ22" s="83">
        <f t="shared" si="27"/>
        <v>2.6895740070132783</v>
      </c>
      <c r="AR22" s="83">
        <f t="shared" si="28"/>
        <v>5.9170628154292118</v>
      </c>
      <c r="AS22" s="83">
        <f t="shared" si="29"/>
        <v>1.3447870035066392</v>
      </c>
      <c r="AT22" s="83">
        <f t="shared" si="30"/>
        <v>12.849147639335317</v>
      </c>
      <c r="AU22" s="83">
        <f t="shared" si="31"/>
        <v>1.6849800774508377</v>
      </c>
      <c r="AV22" s="83">
        <f t="shared" si="32"/>
        <v>2.7596858668699644</v>
      </c>
      <c r="AW22" s="83">
        <f t="shared" si="33"/>
        <v>0.84249003872541883</v>
      </c>
      <c r="AX22" s="83">
        <f t="shared" si="34"/>
        <v>1.8827018049092947</v>
      </c>
      <c r="AY22" s="83">
        <f t="shared" si="35"/>
        <v>3.9845540844641159</v>
      </c>
      <c r="AZ22" s="83">
        <f t="shared" si="36"/>
        <v>0.94135090245464736</v>
      </c>
      <c r="BA22" s="83">
        <f t="shared" si="37"/>
        <v>13.611385211160295</v>
      </c>
      <c r="BB22" s="83">
        <f t="shared" si="38"/>
        <v>3.279230458423553</v>
      </c>
      <c r="BC22" s="83">
        <f t="shared" si="39"/>
        <v>5.8817232513493201</v>
      </c>
      <c r="BD22" s="83">
        <f t="shared" si="40"/>
        <v>1.6396152292117765</v>
      </c>
      <c r="BE22" s="83">
        <f t="shared" si="41"/>
        <v>2.8987630964476438</v>
      </c>
      <c r="BF22" s="83">
        <f t="shared" si="42"/>
        <v>3.4665620534837802</v>
      </c>
      <c r="BG22" s="83">
        <f t="shared" si="43"/>
        <v>11.991630371032221</v>
      </c>
      <c r="BH22" s="83">
        <f t="shared" si="44"/>
        <v>13.244671452721498</v>
      </c>
      <c r="BI22" s="83">
        <f t="shared" si="45"/>
        <v>3.1236938358896298</v>
      </c>
      <c r="BJ22" s="83">
        <f t="shared" si="46"/>
        <v>4.8312718274127402</v>
      </c>
      <c r="BK22" s="83">
        <f t="shared" si="47"/>
        <v>2.6298056957463163</v>
      </c>
      <c r="BL22" s="83">
        <f t="shared" si="48"/>
        <v>5.1859377654520724</v>
      </c>
      <c r="BM22" s="83">
        <f t="shared" si="49"/>
        <v>13.347250674554093</v>
      </c>
      <c r="BN22" s="83">
        <f t="shared" si="50"/>
        <v>0.673992030980335</v>
      </c>
      <c r="BO22" s="83">
        <f t="shared" si="51"/>
        <v>1.7930493380088519</v>
      </c>
      <c r="BP22" s="83">
        <f t="shared" si="52"/>
        <v>0.67737419435889967</v>
      </c>
      <c r="BQ22" s="83">
        <f t="shared" si="53"/>
        <v>4.1514724894038899</v>
      </c>
      <c r="BR22" s="83">
        <f t="shared" si="54"/>
        <v>19.668341381552132</v>
      </c>
      <c r="BS22" s="83">
        <f t="shared" si="55"/>
        <v>1.7497870035066392</v>
      </c>
      <c r="BT22" s="83">
        <f t="shared" si="56"/>
        <v>2.8290333999695219</v>
      </c>
      <c r="BU22" s="83">
        <f t="shared" si="57"/>
        <v>2.4305779915231107</v>
      </c>
      <c r="BV22" s="83">
        <f t="shared" si="58"/>
        <v>6.1931802710779342</v>
      </c>
      <c r="BW22" s="83">
        <f t="shared" si="59"/>
        <v>16.953214813965602</v>
      </c>
      <c r="BX22" s="83">
        <f t="shared" si="60"/>
        <v>1.5683276105503949</v>
      </c>
      <c r="BY22" s="83">
        <f t="shared" si="61"/>
        <v>2.8290333999695219</v>
      </c>
      <c r="BZ22" s="83">
        <f t="shared" si="62"/>
        <v>2.4305779915231107</v>
      </c>
      <c r="CA22" s="83">
        <f t="shared" si="63"/>
        <v>8.5887840682421466</v>
      </c>
      <c r="CB22" s="83">
        <f t="shared" si="64"/>
        <v>13.706439763988458</v>
      </c>
      <c r="CC22" s="83">
        <f t="shared" si="65"/>
        <v>1.9182850112517227</v>
      </c>
      <c r="CD22" s="83">
        <f t="shared" si="66"/>
        <v>5.5262223957310797</v>
      </c>
      <c r="CE22" s="83">
        <f t="shared" si="67"/>
        <v>7.4777925119073343</v>
      </c>
      <c r="CF22" s="83">
        <f t="shared" si="68"/>
        <v>11.096519747766486</v>
      </c>
      <c r="CG22" s="83">
        <f t="shared" si="69"/>
        <v>7.4777925119073343</v>
      </c>
      <c r="CH22" s="83">
        <f t="shared" si="70"/>
        <v>7.0479429865528598</v>
      </c>
      <c r="CI22" s="83">
        <f t="shared" si="71"/>
        <v>11.744136354078437</v>
      </c>
      <c r="CJ22" s="83">
        <f t="shared" si="72"/>
        <v>7.0479429865528598</v>
      </c>
      <c r="CK22" s="83">
        <f t="shared" si="73"/>
        <v>3.4028463027900737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10</v>
      </c>
      <c r="D23" s="319" t="str">
        <f>Plantilla!G22</f>
        <v>CAB</v>
      </c>
      <c r="E23" s="265">
        <v>36526</v>
      </c>
      <c r="F23" s="115">
        <f>Plantilla!Q22</f>
        <v>5</v>
      </c>
      <c r="G23" s="142">
        <f t="shared" si="0"/>
        <v>0.84515425472851657</v>
      </c>
      <c r="H23" s="142">
        <f t="shared" si="1"/>
        <v>0.92504826128926143</v>
      </c>
      <c r="I23" s="195">
        <f>Plantilla!P22</f>
        <v>1.5</v>
      </c>
      <c r="J23" s="196">
        <f>Plantilla!I22</f>
        <v>13.3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19.363616168716348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15.634059658447393</v>
      </c>
      <c r="W23" s="196">
        <f t="shared" ca="1" si="7"/>
        <v>17.111976450482359</v>
      </c>
      <c r="X23" s="83">
        <f t="shared" si="8"/>
        <v>4.9250233100856873</v>
      </c>
      <c r="Y23" s="83">
        <f t="shared" si="9"/>
        <v>7.4240232913180089</v>
      </c>
      <c r="Z23" s="83">
        <f t="shared" si="10"/>
        <v>4.9250233100856873</v>
      </c>
      <c r="AA23" s="83">
        <f t="shared" si="11"/>
        <v>5.8609699289853534</v>
      </c>
      <c r="AB23" s="83">
        <f t="shared" si="12"/>
        <v>11.358468854622778</v>
      </c>
      <c r="AC23" s="83">
        <f t="shared" si="13"/>
        <v>2.9304849644926767</v>
      </c>
      <c r="AD23" s="83">
        <f t="shared" si="14"/>
        <v>3.6299478096224438</v>
      </c>
      <c r="AE23" s="83">
        <f t="shared" si="15"/>
        <v>4.2935012270474102</v>
      </c>
      <c r="AF23" s="83">
        <f t="shared" si="16"/>
        <v>8.2121729818922677</v>
      </c>
      <c r="AG23" s="83">
        <f t="shared" si="17"/>
        <v>2.1467506135237051</v>
      </c>
      <c r="AH23" s="83">
        <f t="shared" si="18"/>
        <v>5.8719743979186596</v>
      </c>
      <c r="AI23" s="83">
        <f t="shared" si="19"/>
        <v>10.449791346252956</v>
      </c>
      <c r="AJ23" s="83">
        <f t="shared" si="20"/>
        <v>4.7024061058138296</v>
      </c>
      <c r="AK23" s="83">
        <f t="shared" si="21"/>
        <v>2.5470642193569253</v>
      </c>
      <c r="AL23" s="83">
        <f t="shared" si="22"/>
        <v>9.3776996865181932</v>
      </c>
      <c r="AM23" s="83">
        <f t="shared" si="23"/>
        <v>8.5642855163855742</v>
      </c>
      <c r="AN23" s="83">
        <f t="shared" si="24"/>
        <v>8.0417959490729256</v>
      </c>
      <c r="AO23" s="83">
        <f t="shared" si="25"/>
        <v>3.1727442987220047</v>
      </c>
      <c r="AP23" s="83">
        <f t="shared" si="26"/>
        <v>2.0097990301313606</v>
      </c>
      <c r="AQ23" s="83">
        <f t="shared" si="27"/>
        <v>3.0667865907481504</v>
      </c>
      <c r="AR23" s="83">
        <f t="shared" si="28"/>
        <v>6.7469304996459298</v>
      </c>
      <c r="AS23" s="83">
        <f t="shared" si="29"/>
        <v>1.5333932953740752</v>
      </c>
      <c r="AT23" s="83">
        <f t="shared" si="30"/>
        <v>14.397776186065492</v>
      </c>
      <c r="AU23" s="83">
        <f t="shared" si="31"/>
        <v>1.7210009511009616</v>
      </c>
      <c r="AV23" s="83">
        <f t="shared" si="32"/>
        <v>3.3097013744044741</v>
      </c>
      <c r="AW23" s="83">
        <f t="shared" si="33"/>
        <v>0.86050047555048081</v>
      </c>
      <c r="AX23" s="83">
        <f t="shared" si="34"/>
        <v>2.1467506135237051</v>
      </c>
      <c r="AY23" s="83">
        <f t="shared" si="35"/>
        <v>4.5433875418491114</v>
      </c>
      <c r="AZ23" s="83">
        <f t="shared" si="36"/>
        <v>1.0733753067618526</v>
      </c>
      <c r="BA23" s="83">
        <f t="shared" si="37"/>
        <v>15.25188155303548</v>
      </c>
      <c r="BB23" s="83">
        <f t="shared" si="38"/>
        <v>3.3493326202195637</v>
      </c>
      <c r="BC23" s="83">
        <f t="shared" si="39"/>
        <v>6.6034963388971519</v>
      </c>
      <c r="BD23" s="83">
        <f t="shared" si="40"/>
        <v>1.6746663101097818</v>
      </c>
      <c r="BE23" s="83">
        <f t="shared" si="41"/>
        <v>3.3053144366952281</v>
      </c>
      <c r="BF23" s="83">
        <f t="shared" si="42"/>
        <v>3.9527471614087264</v>
      </c>
      <c r="BG23" s="83">
        <f t="shared" si="43"/>
        <v>13.436907648224258</v>
      </c>
      <c r="BH23" s="83">
        <f t="shared" si="44"/>
        <v>13.32453881175965</v>
      </c>
      <c r="BI23" s="83">
        <f t="shared" si="45"/>
        <v>3.1904709939640901</v>
      </c>
      <c r="BJ23" s="83">
        <f t="shared" si="46"/>
        <v>5.5088573944920469</v>
      </c>
      <c r="BK23" s="83">
        <f t="shared" si="47"/>
        <v>2.9986357776204136</v>
      </c>
      <c r="BL23" s="83">
        <f t="shared" si="48"/>
        <v>5.8109668717065182</v>
      </c>
      <c r="BM23" s="83">
        <f t="shared" si="49"/>
        <v>13.39425177894031</v>
      </c>
      <c r="BN23" s="83">
        <f t="shared" si="50"/>
        <v>0.68840038044038454</v>
      </c>
      <c r="BO23" s="83">
        <f t="shared" si="51"/>
        <v>2.0445243938320998</v>
      </c>
      <c r="BP23" s="83">
        <f t="shared" si="52"/>
        <v>0.77237588211434893</v>
      </c>
      <c r="BQ23" s="83">
        <f t="shared" si="53"/>
        <v>4.6518238736758208</v>
      </c>
      <c r="BR23" s="83">
        <f t="shared" si="54"/>
        <v>19.734670947044894</v>
      </c>
      <c r="BS23" s="83">
        <f t="shared" si="55"/>
        <v>1.7871932953740755</v>
      </c>
      <c r="BT23" s="83">
        <f t="shared" si="56"/>
        <v>3.2258051547128685</v>
      </c>
      <c r="BU23" s="83">
        <f t="shared" si="57"/>
        <v>2.7714664005279577</v>
      </c>
      <c r="BV23" s="83">
        <f t="shared" si="58"/>
        <v>6.9396061066311434</v>
      </c>
      <c r="BW23" s="83">
        <f t="shared" si="59"/>
        <v>17.009663490922041</v>
      </c>
      <c r="BX23" s="83">
        <f t="shared" si="60"/>
        <v>1.6018547314093565</v>
      </c>
      <c r="BY23" s="83">
        <f t="shared" si="61"/>
        <v>3.2258051547128685</v>
      </c>
      <c r="BZ23" s="83">
        <f t="shared" si="62"/>
        <v>2.7714664005279577</v>
      </c>
      <c r="CA23" s="83">
        <f t="shared" si="63"/>
        <v>9.6239372599653876</v>
      </c>
      <c r="CB23" s="83">
        <f t="shared" si="64"/>
        <v>13.750849624887387</v>
      </c>
      <c r="CC23" s="83">
        <f t="shared" si="65"/>
        <v>1.9592933904841714</v>
      </c>
      <c r="CD23" s="83">
        <f t="shared" si="66"/>
        <v>6.1922639105324055</v>
      </c>
      <c r="CE23" s="83">
        <f t="shared" si="67"/>
        <v>6.8696522732584686</v>
      </c>
      <c r="CF23" s="83">
        <f t="shared" si="68"/>
        <v>12.98844593030525</v>
      </c>
      <c r="CG23" s="83">
        <f t="shared" si="69"/>
        <v>6.8696522732584686</v>
      </c>
      <c r="CH23" s="83">
        <f t="shared" si="70"/>
        <v>7.8610760964299926</v>
      </c>
      <c r="CI23" s="83">
        <f t="shared" si="71"/>
        <v>14.833463861978586</v>
      </c>
      <c r="CJ23" s="83">
        <f t="shared" si="72"/>
        <v>7.8610760964299926</v>
      </c>
      <c r="CK23" s="83">
        <f t="shared" si="73"/>
        <v>3.8129703882588699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10</v>
      </c>
      <c r="D24" s="319">
        <f>Plantilla!G23</f>
        <v>0</v>
      </c>
      <c r="E24" s="265">
        <v>36526</v>
      </c>
      <c r="F24" s="115">
        <f>Plantilla!Q23</f>
        <v>7</v>
      </c>
      <c r="G24" s="142">
        <f t="shared" si="0"/>
        <v>1</v>
      </c>
      <c r="H24" s="142">
        <f t="shared" si="1"/>
        <v>1</v>
      </c>
      <c r="I24" s="195">
        <f>Plantilla!P23</f>
        <v>1.5</v>
      </c>
      <c r="J24" s="196">
        <f>Plantilla!I23</f>
        <v>12.2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2.95</v>
      </c>
      <c r="O24" s="49">
        <f>Plantilla!AB23</f>
        <v>8.9499999999999993</v>
      </c>
      <c r="P24" s="49">
        <f>Plantilla!AC23</f>
        <v>4.95</v>
      </c>
      <c r="Q24" s="49">
        <f>Plantilla!AD23</f>
        <v>16.95</v>
      </c>
      <c r="R24" s="196">
        <f t="shared" si="2"/>
        <v>3.3562499999999997</v>
      </c>
      <c r="S24" s="196">
        <f t="shared" si="3"/>
        <v>16.455640301054927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19.398479774232996</v>
      </c>
      <c r="W24" s="196">
        <f t="shared" ca="1" si="7"/>
        <v>19.398479774232996</v>
      </c>
      <c r="X24" s="83">
        <f t="shared" si="8"/>
        <v>4.2162228429054069</v>
      </c>
      <c r="Y24" s="83">
        <f t="shared" si="9"/>
        <v>6.3352373885348001</v>
      </c>
      <c r="Z24" s="83">
        <f t="shared" si="10"/>
        <v>4.2162228429054069</v>
      </c>
      <c r="AA24" s="83">
        <f t="shared" si="11"/>
        <v>4.5916155635042273</v>
      </c>
      <c r="AB24" s="83">
        <f t="shared" si="12"/>
        <v>8.8984797742329977</v>
      </c>
      <c r="AC24" s="83">
        <f t="shared" si="13"/>
        <v>2.2958077817521136</v>
      </c>
      <c r="AD24" s="83">
        <f t="shared" si="14"/>
        <v>4.0218381862674528</v>
      </c>
      <c r="AE24" s="83">
        <f t="shared" si="15"/>
        <v>3.3636253546600732</v>
      </c>
      <c r="AF24" s="83">
        <f t="shared" si="16"/>
        <v>6.4336008767704573</v>
      </c>
      <c r="AG24" s="83">
        <f t="shared" si="17"/>
        <v>1.6818126773300366</v>
      </c>
      <c r="AH24" s="83">
        <f t="shared" si="18"/>
        <v>6.5059147130797035</v>
      </c>
      <c r="AI24" s="83">
        <f t="shared" si="19"/>
        <v>8.1866013922943583</v>
      </c>
      <c r="AJ24" s="83">
        <f t="shared" si="20"/>
        <v>3.683970626532461</v>
      </c>
      <c r="AK24" s="83">
        <f t="shared" si="21"/>
        <v>2.8220461222969107</v>
      </c>
      <c r="AL24" s="83">
        <f t="shared" si="22"/>
        <v>3.4683061072490027</v>
      </c>
      <c r="AM24" s="83">
        <f t="shared" si="23"/>
        <v>6.7094537497716802</v>
      </c>
      <c r="AN24" s="83">
        <f t="shared" si="24"/>
        <v>6.300123680156962</v>
      </c>
      <c r="AO24" s="83">
        <f t="shared" si="25"/>
        <v>3.3230461222969105</v>
      </c>
      <c r="AP24" s="83">
        <f t="shared" si="26"/>
        <v>1.8157621749791029</v>
      </c>
      <c r="AQ24" s="83">
        <f t="shared" si="27"/>
        <v>2.4025895390429097</v>
      </c>
      <c r="AR24" s="83">
        <f t="shared" si="28"/>
        <v>5.2856969858944005</v>
      </c>
      <c r="AS24" s="83">
        <f t="shared" si="29"/>
        <v>1.2012947695214549</v>
      </c>
      <c r="AT24" s="83">
        <f t="shared" si="30"/>
        <v>15.952164906875947</v>
      </c>
      <c r="AU24" s="83">
        <f t="shared" si="31"/>
        <v>1.5468023706502896</v>
      </c>
      <c r="AV24" s="83">
        <f t="shared" si="32"/>
        <v>2.7942545738502682</v>
      </c>
      <c r="AW24" s="83">
        <f t="shared" si="33"/>
        <v>0.77340118532514479</v>
      </c>
      <c r="AX24" s="83">
        <f t="shared" si="34"/>
        <v>1.6818126773300366</v>
      </c>
      <c r="AY24" s="83">
        <f t="shared" si="35"/>
        <v>3.5593919096931992</v>
      </c>
      <c r="AZ24" s="83">
        <f t="shared" si="36"/>
        <v>0.84090633866501829</v>
      </c>
      <c r="BA24" s="83">
        <f t="shared" si="37"/>
        <v>16.898479774232996</v>
      </c>
      <c r="BB24" s="83">
        <f t="shared" si="38"/>
        <v>3.0103153828809481</v>
      </c>
      <c r="BC24" s="83">
        <f t="shared" si="39"/>
        <v>5.7160623556023813</v>
      </c>
      <c r="BD24" s="83">
        <f t="shared" si="40"/>
        <v>1.5051576914404741</v>
      </c>
      <c r="BE24" s="83">
        <f t="shared" si="41"/>
        <v>2.5894576143018022</v>
      </c>
      <c r="BF24" s="83">
        <f t="shared" si="42"/>
        <v>3.096670961433083</v>
      </c>
      <c r="BG24" s="83">
        <f t="shared" si="43"/>
        <v>14.88756068109927</v>
      </c>
      <c r="BH24" s="83">
        <f t="shared" si="44"/>
        <v>7.1337485192931336</v>
      </c>
      <c r="BI24" s="83">
        <f t="shared" si="45"/>
        <v>2.867533625590152</v>
      </c>
      <c r="BJ24" s="83">
        <f t="shared" si="46"/>
        <v>4.3157626905030035</v>
      </c>
      <c r="BK24" s="83">
        <f t="shared" si="47"/>
        <v>2.3491986603975117</v>
      </c>
      <c r="BL24" s="83">
        <f t="shared" si="48"/>
        <v>6.4383207939827711</v>
      </c>
      <c r="BM24" s="83">
        <f t="shared" si="49"/>
        <v>6.3612713226796398</v>
      </c>
      <c r="BN24" s="83">
        <f t="shared" si="50"/>
        <v>0.61872094826011581</v>
      </c>
      <c r="BO24" s="83">
        <f t="shared" si="51"/>
        <v>1.6017263593619395</v>
      </c>
      <c r="BP24" s="83">
        <f t="shared" si="52"/>
        <v>0.60509662464784386</v>
      </c>
      <c r="BQ24" s="83">
        <f t="shared" si="53"/>
        <v>5.1540363311410635</v>
      </c>
      <c r="BR24" s="83">
        <f t="shared" si="54"/>
        <v>9.3014449896636346</v>
      </c>
      <c r="BS24" s="83">
        <f t="shared" si="55"/>
        <v>1.6062947695214547</v>
      </c>
      <c r="BT24" s="83">
        <f t="shared" si="56"/>
        <v>2.5271682558821711</v>
      </c>
      <c r="BU24" s="83">
        <f t="shared" si="57"/>
        <v>2.1712290649128514</v>
      </c>
      <c r="BV24" s="83">
        <f t="shared" si="58"/>
        <v>7.6888082972760134</v>
      </c>
      <c r="BW24" s="83">
        <f t="shared" si="59"/>
        <v>7.9995155898501604</v>
      </c>
      <c r="BX24" s="83">
        <f t="shared" si="60"/>
        <v>1.4397160526821924</v>
      </c>
      <c r="BY24" s="83">
        <f t="shared" si="61"/>
        <v>2.5271682558821711</v>
      </c>
      <c r="BZ24" s="83">
        <f t="shared" si="62"/>
        <v>2.1712290649128514</v>
      </c>
      <c r="CA24" s="83">
        <f t="shared" si="63"/>
        <v>10.662940737541021</v>
      </c>
      <c r="CB24" s="83">
        <f t="shared" si="64"/>
        <v>6.437139397938533</v>
      </c>
      <c r="CC24" s="83">
        <f t="shared" si="65"/>
        <v>1.7609750065864833</v>
      </c>
      <c r="CD24" s="83">
        <f t="shared" si="66"/>
        <v>6.8607827883385966</v>
      </c>
      <c r="CE24" s="83">
        <f t="shared" si="67"/>
        <v>4.8271079623753916</v>
      </c>
      <c r="CF24" s="83">
        <f t="shared" si="68"/>
        <v>11.065688225786355</v>
      </c>
      <c r="CG24" s="83">
        <f t="shared" si="69"/>
        <v>4.8271079623753916</v>
      </c>
      <c r="CH24" s="83">
        <f t="shared" si="70"/>
        <v>4.9167528993471574</v>
      </c>
      <c r="CI24" s="83">
        <f t="shared" si="71"/>
        <v>12.289018810924972</v>
      </c>
      <c r="CJ24" s="83">
        <f t="shared" si="72"/>
        <v>4.9167528993471574</v>
      </c>
      <c r="CK24" s="83">
        <f t="shared" si="73"/>
        <v>4.224619943558249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47</v>
      </c>
      <c r="D25" s="319" t="str">
        <f>Plantilla!G24</f>
        <v>RAP</v>
      </c>
      <c r="E25" s="265">
        <v>36526</v>
      </c>
      <c r="F25" s="115">
        <f>Plantilla!Q24</f>
        <v>5</v>
      </c>
      <c r="G25" s="142">
        <f t="shared" si="0"/>
        <v>0.84515425472851657</v>
      </c>
      <c r="H25" s="142">
        <f t="shared" si="1"/>
        <v>0.92504826128926143</v>
      </c>
      <c r="I25" s="195">
        <f>Plantilla!P24</f>
        <v>1.5</v>
      </c>
      <c r="J25" s="196">
        <f>Plantilla!I24</f>
        <v>14.4</v>
      </c>
      <c r="K25" s="49">
        <f>Plantilla!X24</f>
        <v>0</v>
      </c>
      <c r="L25" s="49">
        <f>Plantilla!Y24</f>
        <v>6.8376190476190493</v>
      </c>
      <c r="M25" s="49">
        <f>Plantilla!Z24</f>
        <v>8.9499999999999993</v>
      </c>
      <c r="N25" s="49">
        <f>Plantilla!AA24</f>
        <v>7.95</v>
      </c>
      <c r="O25" s="49">
        <f>Plantilla!AB24</f>
        <v>8.9499999999999993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3.4672023809523811</v>
      </c>
      <c r="S25" s="196">
        <f t="shared" si="3"/>
        <v>21.115308143374001</v>
      </c>
      <c r="T25" s="49">
        <f t="shared" si="4"/>
        <v>0.91749999999999976</v>
      </c>
      <c r="U25" s="49">
        <f t="shared" si="5"/>
        <v>0.84350476190476176</v>
      </c>
      <c r="V25" s="196">
        <f t="shared" ca="1" si="6"/>
        <v>18.208411746186631</v>
      </c>
      <c r="W25" s="196">
        <f t="shared" ca="1" si="7"/>
        <v>19.929686838125765</v>
      </c>
      <c r="X25" s="83">
        <f t="shared" si="8"/>
        <v>4.5450167979417291</v>
      </c>
      <c r="Y25" s="83">
        <f t="shared" si="9"/>
        <v>6.8364160649647197</v>
      </c>
      <c r="Z25" s="83">
        <f t="shared" si="10"/>
        <v>4.5450167979417291</v>
      </c>
      <c r="AA25" s="83">
        <f t="shared" si="11"/>
        <v>5.0991648231329618</v>
      </c>
      <c r="AB25" s="83">
        <f t="shared" si="12"/>
        <v>9.8821023704127171</v>
      </c>
      <c r="AC25" s="83">
        <f t="shared" si="13"/>
        <v>2.5495824115664809</v>
      </c>
      <c r="AD25" s="83">
        <f t="shared" si="14"/>
        <v>2.8546870308248926</v>
      </c>
      <c r="AE25" s="83">
        <f t="shared" si="15"/>
        <v>3.7354346960160072</v>
      </c>
      <c r="AF25" s="83">
        <f t="shared" si="16"/>
        <v>7.1447600138083942</v>
      </c>
      <c r="AG25" s="83">
        <f t="shared" si="17"/>
        <v>1.8677173480080036</v>
      </c>
      <c r="AH25" s="83">
        <f t="shared" si="18"/>
        <v>4.617876079275562</v>
      </c>
      <c r="AI25" s="83">
        <f t="shared" si="19"/>
        <v>9.0915341807796999</v>
      </c>
      <c r="AJ25" s="83">
        <f t="shared" si="20"/>
        <v>4.0911903813508648</v>
      </c>
      <c r="AK25" s="83">
        <f t="shared" si="21"/>
        <v>2.0030787149065423</v>
      </c>
      <c r="AL25" s="83">
        <f t="shared" si="22"/>
        <v>6.4647561938026756</v>
      </c>
      <c r="AM25" s="83">
        <f t="shared" si="23"/>
        <v>7.4511051872911889</v>
      </c>
      <c r="AN25" s="83">
        <f t="shared" si="24"/>
        <v>6.9965284782522037</v>
      </c>
      <c r="AO25" s="83">
        <f t="shared" si="25"/>
        <v>3.6814287149065414</v>
      </c>
      <c r="AP25" s="83">
        <f t="shared" si="26"/>
        <v>1.8753654826788615</v>
      </c>
      <c r="AQ25" s="83">
        <f t="shared" si="27"/>
        <v>2.6681676400114336</v>
      </c>
      <c r="AR25" s="83">
        <f t="shared" si="28"/>
        <v>5.8699688080251535</v>
      </c>
      <c r="AS25" s="83">
        <f t="shared" si="29"/>
        <v>1.3340838200057168</v>
      </c>
      <c r="AT25" s="83">
        <f t="shared" si="30"/>
        <v>11.32279225671722</v>
      </c>
      <c r="AU25" s="83">
        <f t="shared" si="31"/>
        <v>1.5592828319631766</v>
      </c>
      <c r="AV25" s="83">
        <f t="shared" si="32"/>
        <v>3.1683836135785439</v>
      </c>
      <c r="AW25" s="83">
        <f t="shared" si="33"/>
        <v>0.77964141598158831</v>
      </c>
      <c r="AX25" s="83">
        <f t="shared" si="34"/>
        <v>1.8677173480080036</v>
      </c>
      <c r="AY25" s="83">
        <f t="shared" si="35"/>
        <v>3.952840948165087</v>
      </c>
      <c r="AZ25" s="83">
        <f t="shared" si="36"/>
        <v>0.9338586740040018</v>
      </c>
      <c r="BA25" s="83">
        <f t="shared" si="37"/>
        <v>11.994483322793666</v>
      </c>
      <c r="BB25" s="83">
        <f t="shared" si="38"/>
        <v>3.0346042806667977</v>
      </c>
      <c r="BC25" s="83">
        <f t="shared" si="39"/>
        <v>6.1889603108593105</v>
      </c>
      <c r="BD25" s="83">
        <f t="shared" si="40"/>
        <v>1.5173021403333988</v>
      </c>
      <c r="BE25" s="83">
        <f t="shared" si="41"/>
        <v>2.8756917897901006</v>
      </c>
      <c r="BF25" s="83">
        <f t="shared" si="42"/>
        <v>3.4389716249036253</v>
      </c>
      <c r="BG25" s="83">
        <f t="shared" si="43"/>
        <v>10.567139807381221</v>
      </c>
      <c r="BH25" s="83">
        <f t="shared" si="44"/>
        <v>10.08909567396357</v>
      </c>
      <c r="BI25" s="83">
        <f t="shared" si="45"/>
        <v>2.8906704807932733</v>
      </c>
      <c r="BJ25" s="83">
        <f t="shared" si="46"/>
        <v>4.792819649650168</v>
      </c>
      <c r="BK25" s="83">
        <f t="shared" si="47"/>
        <v>2.6088750257889575</v>
      </c>
      <c r="BL25" s="83">
        <f t="shared" si="48"/>
        <v>4.5698981459843866</v>
      </c>
      <c r="BM25" s="83">
        <f t="shared" si="49"/>
        <v>9.8101784241216645</v>
      </c>
      <c r="BN25" s="83">
        <f t="shared" si="50"/>
        <v>0.62371313278527063</v>
      </c>
      <c r="BO25" s="83">
        <f t="shared" si="51"/>
        <v>1.778778426674289</v>
      </c>
      <c r="BP25" s="83">
        <f t="shared" si="52"/>
        <v>0.67198296118806478</v>
      </c>
      <c r="BQ25" s="83">
        <f t="shared" si="53"/>
        <v>3.658317413452068</v>
      </c>
      <c r="BR25" s="83">
        <f t="shared" si="54"/>
        <v>14.424905553112655</v>
      </c>
      <c r="BS25" s="83">
        <f t="shared" si="55"/>
        <v>1.619255248577145</v>
      </c>
      <c r="BT25" s="83">
        <f t="shared" si="56"/>
        <v>2.8065170731972113</v>
      </c>
      <c r="BU25" s="83">
        <f t="shared" si="57"/>
        <v>2.4112329783807027</v>
      </c>
      <c r="BV25" s="83">
        <f t="shared" si="58"/>
        <v>5.457489911871118</v>
      </c>
      <c r="BW25" s="83">
        <f t="shared" si="59"/>
        <v>12.425887521655381</v>
      </c>
      <c r="BX25" s="83">
        <f t="shared" si="60"/>
        <v>1.4513324820580336</v>
      </c>
      <c r="BY25" s="83">
        <f t="shared" si="61"/>
        <v>2.8065170731972113</v>
      </c>
      <c r="BZ25" s="83">
        <f t="shared" si="62"/>
        <v>2.4112329783807027</v>
      </c>
      <c r="CA25" s="83">
        <f t="shared" si="63"/>
        <v>7.5685189766828032</v>
      </c>
      <c r="CB25" s="83">
        <f t="shared" si="64"/>
        <v>10.033062573900331</v>
      </c>
      <c r="CC25" s="83">
        <f t="shared" si="65"/>
        <v>1.7751835317734626</v>
      </c>
      <c r="CD25" s="83">
        <f t="shared" si="66"/>
        <v>4.8697602290542292</v>
      </c>
      <c r="CE25" s="83">
        <f t="shared" si="67"/>
        <v>5.8511258111754998</v>
      </c>
      <c r="CF25" s="83">
        <f t="shared" si="68"/>
        <v>12.339788221465668</v>
      </c>
      <c r="CG25" s="83">
        <f t="shared" si="69"/>
        <v>5.8511258111754998</v>
      </c>
      <c r="CH25" s="83">
        <f t="shared" si="70"/>
        <v>6.6015631101004546</v>
      </c>
      <c r="CI25" s="83">
        <f t="shared" si="71"/>
        <v>14.420447668904529</v>
      </c>
      <c r="CJ25" s="83">
        <f t="shared" si="72"/>
        <v>6.6015631101004546</v>
      </c>
      <c r="CK25" s="83">
        <f t="shared" si="73"/>
        <v>2.9986208306984166</v>
      </c>
    </row>
    <row r="26" spans="1:89" x14ac:dyDescent="0.25">
      <c r="A26" t="str">
        <f>Plantilla!D25</f>
        <v>P .Trivadi</v>
      </c>
      <c r="B26" s="319">
        <f>Plantilla!E25</f>
        <v>32</v>
      </c>
      <c r="C26" s="115">
        <f ca="1">Plantilla!F25</f>
        <v>78</v>
      </c>
      <c r="D26" s="319">
        <f>Plantilla!G25</f>
        <v>0</v>
      </c>
      <c r="E26" s="265">
        <v>36526</v>
      </c>
      <c r="F26" s="115">
        <f>Plantilla!Q25</f>
        <v>3</v>
      </c>
      <c r="G26" s="142">
        <f t="shared" si="0"/>
        <v>0.65465367070797709</v>
      </c>
      <c r="H26" s="142">
        <f t="shared" si="1"/>
        <v>0.75498344352707503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10.517526693747016</v>
      </c>
      <c r="W26" s="196">
        <f t="shared" ca="1" si="7"/>
        <v>12.129403493675845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694" t="s">
        <v>445</v>
      </c>
      <c r="B35" s="694"/>
      <c r="C35" s="694"/>
      <c r="D35" s="694"/>
      <c r="E35" s="694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35</v>
      </c>
      <c r="C37">
        <f t="shared" ca="1" si="74"/>
        <v>75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</v>
      </c>
      <c r="H37" s="49">
        <f>K3</f>
        <v>16.666666666666668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2.149999999999999</v>
      </c>
      <c r="L37" s="49">
        <f t="shared" si="75"/>
        <v>0.95</v>
      </c>
      <c r="M37" s="49">
        <f t="shared" si="75"/>
        <v>0</v>
      </c>
      <c r="N37" s="49">
        <f t="shared" si="75"/>
        <v>18.2</v>
      </c>
      <c r="O37" s="196">
        <f>((2*(L37+1))+(I37+1))/8</f>
        <v>2.1062499999999997</v>
      </c>
      <c r="P37" s="196">
        <f ca="1">1.66*(M37+(LOG(G37)*4/3)+F37)+0.55*(N37+(LOG(G37)*4/3)+F37)-7.6</f>
        <v>8.6870224589102012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21.040281655615473</v>
      </c>
      <c r="T37" s="83">
        <f ca="1">((H37+F37+(LOG(G37)*4/3))*0.597)+((I37+F37+(LOG(G37)*4/3))*0.276)</f>
        <v>15.727765885352309</v>
      </c>
      <c r="U37" s="83">
        <f ca="1">((H37+F37+(LOG(G37)*4/3))*0.866)+((I37+F37+(LOG(G37)*4/3))*0.425)</f>
        <v>23.17888695073291</v>
      </c>
      <c r="V37" s="83">
        <f ca="1">T37</f>
        <v>15.727765885352309</v>
      </c>
      <c r="W37" s="83">
        <f ca="1">((I37+F37+(LOG(G37)*4/3))*0.516)</f>
        <v>7.6317853342975841</v>
      </c>
      <c r="X37" s="83">
        <f ca="1">(I37+F37+(LOG(G37)*4/3))*1</f>
        <v>14.790281655615473</v>
      </c>
      <c r="Y37" s="83">
        <f ca="1">W37/2</f>
        <v>3.8158926671487921</v>
      </c>
      <c r="Z37" s="83">
        <f ca="1">(J37+F37+(LOG(G37)*4/3))*0.238</f>
        <v>1.1686470340364825</v>
      </c>
      <c r="AA37" s="83">
        <f ca="1">((I37+F37+(LOG(G37)*4/3))*0.378)</f>
        <v>5.590726465822649</v>
      </c>
      <c r="AB37" s="83">
        <f ca="1">(I37+F37+(LOG(G37)*4/3))*0.723</f>
        <v>10.693373637009987</v>
      </c>
      <c r="AC37" s="83">
        <f ca="1">AA37/2</f>
        <v>2.7953632329113245</v>
      </c>
      <c r="AD37" s="83">
        <f ca="1">(J37+F37+(LOG(G37)*4/3))*0.385</f>
        <v>1.8904584374119573</v>
      </c>
      <c r="AE37" s="326">
        <f ca="1">((I37+F37+(LOG(G37)*4/3))*0.92)</f>
        <v>13.607059123166236</v>
      </c>
      <c r="AF37" s="83">
        <f ca="1">(I37+F37+(LOG(G37)*4/3))*0.414</f>
        <v>6.1231766054248054</v>
      </c>
      <c r="AG37" s="83">
        <f ca="1">((J37+F37+(LOG(G37)*4/3))*0.167)</f>
        <v>0.82001703648778412</v>
      </c>
      <c r="AH37" s="326">
        <f ca="1">(K37+F37+(LOG(G37)*4/3))*0.588</f>
        <v>2.9342856135018982</v>
      </c>
      <c r="AI37" s="83">
        <f ca="1">((I37+F37+(LOG(G37)*4/3))*0.754)</f>
        <v>11.151872368334066</v>
      </c>
      <c r="AJ37" s="83">
        <f ca="1">((I37+F37+(LOG(G37)*4/3))*0.708)</f>
        <v>10.471519412175754</v>
      </c>
      <c r="AK37" s="83">
        <f ca="1">((N37+F37+(LOG(G37)*4/3))*0.167)</f>
        <v>3.5137270364877842</v>
      </c>
      <c r="AL37" s="83">
        <f ca="1">((O37+F37+(LOG(G37)*4/3))*0.288)</f>
        <v>1.4246011168172565</v>
      </c>
      <c r="AM37" s="83">
        <f ca="1">((I37+F37+(LOG(G37)*4/3))*0.27)</f>
        <v>3.9933760470161781</v>
      </c>
      <c r="AN37" s="83">
        <f ca="1">((I37+F37+(LOG(G37)*4/3))*0.594)</f>
        <v>8.7854273034355899</v>
      </c>
      <c r="AO37" s="83">
        <f ca="1">AM37/2</f>
        <v>1.996688023508089</v>
      </c>
      <c r="AP37" s="83">
        <f ca="1">((J37+F37+(LOG(G37)*4/3))*0.944)</f>
        <v>4.6353058829010063</v>
      </c>
      <c r="AQ37" s="83">
        <f ca="1">((L37+F37+(LOG(G37)*4/3))*0.13)</f>
        <v>0.49273661523001172</v>
      </c>
      <c r="AR37" s="83">
        <f ca="1">((M37+F37+(LOG(G37)*4/3))*0.173)+((L37+F37+(LOG(G37)*4/3))*0.12)</f>
        <v>0.94620252509533409</v>
      </c>
      <c r="AS37" s="83">
        <f ca="1">AQ37/2</f>
        <v>0.24636830761500586</v>
      </c>
      <c r="AT37" s="83">
        <f ca="1">((I37+F37+(LOG(G37)*4/3))*0.189)</f>
        <v>2.7953632329113245</v>
      </c>
      <c r="AU37" s="83">
        <f ca="1">((I37+F37+(LOG(G37)*4/3))*0.4)</f>
        <v>5.9161126622461895</v>
      </c>
      <c r="AV37" s="83">
        <f ca="1">AT37/2</f>
        <v>1.3976816164556622</v>
      </c>
      <c r="AW37" s="83">
        <f ca="1">((J37+F37+(LOG(G37)*4/3))*1)</f>
        <v>4.9102816556154734</v>
      </c>
      <c r="AX37" s="83">
        <f ca="1">((L37+F37+(LOG(G37)*4/3))*0.253)</f>
        <v>0.95894125887071513</v>
      </c>
      <c r="AY37" s="83">
        <f ca="1">((M37+F37+(LOG(G37)*4/3))*0.21)+((L37+F37+(LOG(G37)*4/3))*0.341)</f>
        <v>1.8889451922441265</v>
      </c>
      <c r="AZ37" s="83">
        <f ca="1">AX37/2</f>
        <v>0.47947062943535756</v>
      </c>
      <c r="BA37" s="83">
        <f ca="1">((I37+F37+(LOG(G37)*4/3))*0.291)</f>
        <v>4.3039719617841028</v>
      </c>
      <c r="BB37" s="83">
        <f ca="1">((I37+F37+(LOG(G37)*4/3))*0.348)</f>
        <v>5.1470180161541847</v>
      </c>
      <c r="BC37" s="83">
        <f ca="1">((J37+F37+(LOG(G37)*4/3))*0.881)</f>
        <v>4.3259581385972323</v>
      </c>
      <c r="BD37" s="83">
        <f ca="1">((K37+F37+(LOG(G37)*4/3))*0.574)+((L37+F37+(LOG(G37)*4/3))*0.315)</f>
        <v>4.0583603918421556</v>
      </c>
      <c r="BE37" s="83">
        <f ca="1">((L37+F37+(LOG(G37)*4/3))*0.241)</f>
        <v>0.91345787900332931</v>
      </c>
      <c r="BF37" s="83">
        <f ca="1">((I37+F37+(LOG(G37)*4/3))*0.485)</f>
        <v>7.1732866029735041</v>
      </c>
      <c r="BG37" s="83">
        <f ca="1">((I37+F37+(LOG(G37)*4/3))*0.264)</f>
        <v>3.9046343570824851</v>
      </c>
      <c r="BH37" s="83">
        <f ca="1">((J37+F37+(LOG(G37)*4/3))*0.381)</f>
        <v>1.8708173107894954</v>
      </c>
      <c r="BI37" s="83">
        <f ca="1">((K37+F37+(LOG(G37)*4/3))*0.673)+((L37+F37+(LOG(G37)*4/3))*0.201)</f>
        <v>4.1203061670079242</v>
      </c>
      <c r="BJ37" s="83">
        <f ca="1">((L37+F37+(LOG(G37)*4/3))*0.052)</f>
        <v>0.19709464609200467</v>
      </c>
      <c r="BK37" s="83">
        <f ca="1">((I37+F37+(LOG(G37)*4/3))*0.18)</f>
        <v>2.662250698010785</v>
      </c>
      <c r="BL37" s="83">
        <f ca="1">(I37+F37+(LOG(G37)*4/3))*0.068</f>
        <v>1.0057391525818522</v>
      </c>
      <c r="BM37" s="83">
        <f ca="1">((J37+F37+(LOG(G37)*4/3))*0.305)</f>
        <v>1.4976359049627193</v>
      </c>
      <c r="BN37" s="83">
        <f ca="1">((K37+F37+(LOG(G37)*4/3))*1)+((L37+F37+(LOG(G37)*4/3))*0.286)</f>
        <v>6.0743022091214991</v>
      </c>
      <c r="BO37" s="83">
        <f ca="1">((L37+F37+(LOG(G37)*4/3))*0.135)</f>
        <v>0.51168802350808906</v>
      </c>
      <c r="BP37" s="83">
        <f ca="1">((I37+F37+(LOG(G37)*4/3))*0.284)</f>
        <v>4.200439990194794</v>
      </c>
      <c r="BQ37" s="83">
        <f ca="1">(I37+F37+(LOG(G37)*4/3))*0.244</f>
        <v>3.6088287239701753</v>
      </c>
      <c r="BR37" s="83">
        <f ca="1">((J37+F37+(LOG(G37)*4/3))*0.455)</f>
        <v>2.2341781533050407</v>
      </c>
      <c r="BS37" s="83">
        <f ca="1">((K37+F37+(LOG(G37)*4/3))*0.864)+((L37+F37+(LOG(G37)*4/3))*0.244)</f>
        <v>5.2364320744219448</v>
      </c>
      <c r="BT37" s="83">
        <f ca="1">((L37+F37+(LOG(G37)*4/3))*0.121)</f>
        <v>0.45862408032947244</v>
      </c>
      <c r="BU37" s="83">
        <f ca="1">((I37+F37+(LOG(G37)*4/3))*0.284)</f>
        <v>4.200439990194794</v>
      </c>
      <c r="BV37" s="83">
        <f ca="1">((I37+F37+(LOG(G37)*4/3))*0.244)</f>
        <v>3.6088287239701753</v>
      </c>
      <c r="BW37" s="83">
        <f ca="1">((J37+F37+(LOG(G37)*4/3))*0.631)</f>
        <v>3.0983877246933638</v>
      </c>
      <c r="BX37" s="83">
        <f ca="1">((K37+F37+(LOG(G37)*4/3))*0.702)+((L37+F37+(LOG(G37)*4/3))*0.193)</f>
        <v>4.2347020817758487</v>
      </c>
      <c r="BY37" s="83">
        <f ca="1">((L37+F37+(LOG(G37)*4/3))*0.148)</f>
        <v>0.56096168503109023</v>
      </c>
      <c r="BZ37" s="83">
        <f ca="1">((J37+F37+(LOG(G37)*4/3))*0.406)</f>
        <v>1.9935743521798823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2.026886742575662</v>
      </c>
      <c r="CB37" s="83">
        <f ca="1">((L37+F37+(LOG(G37)*4/3))*0.543)+((M37+F37+(LOG(G37)*4/3))*0.583)</f>
        <v>3.7140071442230242</v>
      </c>
      <c r="CC37" s="83">
        <f ca="1">CA37</f>
        <v>2.026886742575662</v>
      </c>
      <c r="CD37" s="83">
        <f ca="1">((M37+1+(LOG(G37)*4/3))*0.26)+((K37+F37+(LOG(G37)*4/3))*0.221)+((L37+F37+(LOG(G37)*4/3))*0.142)</f>
        <v>2.3795454714484405</v>
      </c>
      <c r="CE37" s="83">
        <f ca="1">((M37+F37+(LOG(G37)*4/3))*1)+((L37+F37+(LOG(G37)*4/3))*0.369)</f>
        <v>4.238895586537585</v>
      </c>
      <c r="CF37" s="83">
        <f ca="1">CD37</f>
        <v>2.3795454714484405</v>
      </c>
      <c r="CG37" s="83">
        <f ca="1">((J37+F37+(LOG(G37)*4/3))*0.25)</f>
        <v>1.2275704139038683</v>
      </c>
    </row>
    <row r="38" spans="1:85" x14ac:dyDescent="0.25">
      <c r="A38" t="str">
        <f t="shared" ref="A38:E38" si="76">A4</f>
        <v>T. Hammond</v>
      </c>
      <c r="B38">
        <f t="shared" si="76"/>
        <v>39</v>
      </c>
      <c r="C38">
        <f t="shared" ca="1" si="76"/>
        <v>84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6.95</v>
      </c>
      <c r="I38" s="49">
        <f t="shared" ref="I38:I60" si="79">L4</f>
        <v>6.95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1.48125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0.69650000000000001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8.4527110889760309</v>
      </c>
      <c r="U38" s="83">
        <f t="shared" ref="U38:U60" si="91">((H38+F38+(LOG(G38)*4/3))*0.866)+((I38+F38+(LOG(G38)*4/3))*0.425)</f>
        <v>12.499942744407853</v>
      </c>
      <c r="V38" s="83">
        <f t="shared" ref="V38:V60" si="92">T38</f>
        <v>8.4527110889760309</v>
      </c>
      <c r="W38" s="83">
        <f t="shared" ref="W38:W60" si="93">((I38+F38+(LOG(G38)*4/3))*0.516)</f>
        <v>4.9961041488105744</v>
      </c>
      <c r="X38" s="83">
        <f t="shared" ref="X38:X60" si="94">(I38+F38+(LOG(G38)*4/3))*1</f>
        <v>9.682372381415842</v>
      </c>
      <c r="Y38" s="83">
        <f t="shared" ref="Y38:Y60" si="95">W38/2</f>
        <v>2.4980520744052872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3.6599367601751882</v>
      </c>
      <c r="AB38" s="83">
        <f t="shared" ref="AB38:AB60" si="98">(I38+F38+(LOG(G38)*4/3))*0.723</f>
        <v>7.0003552317636535</v>
      </c>
      <c r="AC38" s="83">
        <f t="shared" ref="AC38:AC60" si="99">AA38/2</f>
        <v>1.8299683800875941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8.9077825909025758</v>
      </c>
      <c r="AF38" s="83">
        <f t="shared" ref="AF38:AF60" si="102">(I38+F38+(LOG(G38)*4/3))*0.414</f>
        <v>4.0085021659061582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7.3005087755875451</v>
      </c>
      <c r="AJ38" s="83">
        <f t="shared" ref="AJ38:AJ60" si="106">((I38+F38+(LOG(G38)*4/3))*0.708)</f>
        <v>6.8551196460424162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1.2135232458477625</v>
      </c>
      <c r="AM38" s="83">
        <f t="shared" ref="AM38:AM60" si="109">((I38+F38+(LOG(G38)*4/3))*0.27)</f>
        <v>2.6142405429822775</v>
      </c>
      <c r="AN38" s="83">
        <f t="shared" ref="AN38:AN60" si="110">((I38+F38+(LOG(G38)*4/3))*0.594)</f>
        <v>5.7513291945610101</v>
      </c>
      <c r="AO38" s="83">
        <f t="shared" ref="AO38:AO60" si="111">AM38/2</f>
        <v>1.3071202714911387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1.8299683800875941</v>
      </c>
      <c r="AU38" s="83">
        <f t="shared" ref="AU38:AU60" si="117">((I38+F38+(LOG(G38)*4/3))*0.4)</f>
        <v>3.872948952566337</v>
      </c>
      <c r="AV38" s="83">
        <f t="shared" ref="AV38:AV60" si="118">AT38/2</f>
        <v>0.91498419004379705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2.8175703629920097</v>
      </c>
      <c r="BB38" s="83">
        <f t="shared" ref="BB38:BB60" si="124">((I38+F38+(LOG(G38)*4/3))*0.348)</f>
        <v>3.3694655887327127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4.6959506049866828</v>
      </c>
      <c r="BG38" s="83">
        <f t="shared" ref="BG38:BG60" si="129">((I38+F38+(LOG(G38)*4/3))*0.264)</f>
        <v>2.5561463086937826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1.7428270286548515</v>
      </c>
      <c r="BL38" s="83">
        <f t="shared" ref="BL38:BL60" si="134">(I38+F38+(LOG(G38)*4/3))*0.068</f>
        <v>0.65840132193627732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2.7497937563220991</v>
      </c>
      <c r="BQ38" s="83">
        <f t="shared" ref="BQ38:BQ60" si="139">(I38+F38+(LOG(G38)*4/3))*0.244</f>
        <v>2.3624988610654656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2.7497937563220991</v>
      </c>
      <c r="BV38" s="83">
        <f t="shared" ref="BV38:BV60" si="144">((I38+F38+(LOG(G38)*4/3))*0.244)</f>
        <v>2.3624988610654656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36</v>
      </c>
      <c r="C39">
        <f t="shared" ca="1" si="156"/>
        <v>86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18.3</v>
      </c>
      <c r="H39" s="49">
        <f t="shared" si="157"/>
        <v>0</v>
      </c>
      <c r="I39" s="49">
        <f t="shared" si="79"/>
        <v>11.95</v>
      </c>
      <c r="J39" s="49">
        <f t="shared" si="80"/>
        <v>11.75</v>
      </c>
      <c r="K39" s="49">
        <f t="shared" si="81"/>
        <v>8.9499999999999993</v>
      </c>
      <c r="L39" s="49">
        <f t="shared" si="82"/>
        <v>7.95</v>
      </c>
      <c r="M39" s="49">
        <f t="shared" si="83"/>
        <v>0.95</v>
      </c>
      <c r="N39" s="49">
        <f t="shared" si="84"/>
        <v>17.177777777777774</v>
      </c>
      <c r="O39" s="196">
        <f t="shared" si="85"/>
        <v>3.8562499999999997</v>
      </c>
      <c r="P39" s="196">
        <f t="shared" si="86"/>
        <v>10.459800322183442</v>
      </c>
      <c r="Q39" s="196">
        <f t="shared" si="87"/>
        <v>0.56283333333333307</v>
      </c>
      <c r="R39" s="196">
        <f t="shared" si="88"/>
        <v>0.99333333333333318</v>
      </c>
      <c r="S39" s="196">
        <f t="shared" ca="1" si="89"/>
        <v>19.861045897418347</v>
      </c>
      <c r="T39" s="83">
        <f t="shared" si="90"/>
        <v>6.0771930684462196</v>
      </c>
      <c r="U39" s="83">
        <f t="shared" si="91"/>
        <v>9.18834914245598</v>
      </c>
      <c r="V39" s="83">
        <f t="shared" si="92"/>
        <v>6.0771930684462196</v>
      </c>
      <c r="W39" s="83">
        <f t="shared" si="93"/>
        <v>7.8087663497345359</v>
      </c>
      <c r="X39" s="83">
        <f t="shared" si="94"/>
        <v>15.133268119640572</v>
      </c>
      <c r="Y39" s="83">
        <f t="shared" si="95"/>
        <v>3.9043831748672679</v>
      </c>
      <c r="Z39" s="83">
        <f t="shared" si="96"/>
        <v>3.5541178124744564</v>
      </c>
      <c r="AA39" s="83">
        <f t="shared" si="97"/>
        <v>5.7203753492241365</v>
      </c>
      <c r="AB39" s="83">
        <f t="shared" si="98"/>
        <v>10.941352850500133</v>
      </c>
      <c r="AC39" s="83">
        <f t="shared" si="99"/>
        <v>2.8601876746120682</v>
      </c>
      <c r="AD39" s="83">
        <f t="shared" si="100"/>
        <v>5.7493082260616211</v>
      </c>
      <c r="AE39" s="326">
        <f t="shared" si="101"/>
        <v>13.922606670069326</v>
      </c>
      <c r="AF39" s="83">
        <f t="shared" si="102"/>
        <v>6.2651730015311964</v>
      </c>
      <c r="AG39" s="83">
        <f t="shared" si="103"/>
        <v>2.4938557759799758</v>
      </c>
      <c r="AH39" s="326">
        <f t="shared" si="104"/>
        <v>7.1343616543486563</v>
      </c>
      <c r="AI39" s="83">
        <f t="shared" si="105"/>
        <v>11.410484162208991</v>
      </c>
      <c r="AJ39" s="83">
        <f t="shared" si="106"/>
        <v>10.714353828705525</v>
      </c>
      <c r="AK39" s="83">
        <f t="shared" si="107"/>
        <v>3.4002946648688641</v>
      </c>
      <c r="AL39" s="83">
        <f t="shared" si="108"/>
        <v>2.0273812184564846</v>
      </c>
      <c r="AM39" s="83">
        <f t="shared" si="109"/>
        <v>4.085982392302955</v>
      </c>
      <c r="AN39" s="83">
        <f t="shared" si="110"/>
        <v>8.9891612630664994</v>
      </c>
      <c r="AO39" s="83">
        <f t="shared" si="111"/>
        <v>2.0429911961514775</v>
      </c>
      <c r="AP39" s="83">
        <f t="shared" si="112"/>
        <v>14.097005104940701</v>
      </c>
      <c r="AQ39" s="83">
        <f t="shared" si="113"/>
        <v>1.4473248555532745</v>
      </c>
      <c r="AR39" s="83">
        <f t="shared" si="114"/>
        <v>2.0510475590546875</v>
      </c>
      <c r="AS39" s="83">
        <f t="shared" si="115"/>
        <v>0.72366242777663725</v>
      </c>
      <c r="AT39" s="83">
        <f t="shared" si="116"/>
        <v>2.8601876746120682</v>
      </c>
      <c r="AU39" s="83">
        <f t="shared" si="117"/>
        <v>6.0533072478562291</v>
      </c>
      <c r="AV39" s="83">
        <f t="shared" si="118"/>
        <v>1.4300938373060341</v>
      </c>
      <c r="AW39" s="83">
        <f t="shared" si="119"/>
        <v>14.933268119640573</v>
      </c>
      <c r="AX39" s="83">
        <f t="shared" si="120"/>
        <v>2.8167168342690649</v>
      </c>
      <c r="AY39" s="83">
        <f t="shared" si="121"/>
        <v>4.6644307339219555</v>
      </c>
      <c r="AZ39" s="83">
        <f t="shared" si="122"/>
        <v>1.4083584171345325</v>
      </c>
      <c r="BA39" s="83">
        <f t="shared" si="123"/>
        <v>4.403781022815406</v>
      </c>
      <c r="BB39" s="83">
        <f t="shared" si="124"/>
        <v>5.2663773056349186</v>
      </c>
      <c r="BC39" s="83">
        <f t="shared" si="125"/>
        <v>13.156209213403345</v>
      </c>
      <c r="BD39" s="83">
        <f t="shared" si="126"/>
        <v>10.471475358360468</v>
      </c>
      <c r="BE39" s="83">
        <f t="shared" si="127"/>
        <v>2.6831176168333779</v>
      </c>
      <c r="BF39" s="83">
        <f t="shared" si="128"/>
        <v>7.3396350380256772</v>
      </c>
      <c r="BG39" s="83">
        <f t="shared" si="129"/>
        <v>3.9951827835851113</v>
      </c>
      <c r="BH39" s="83">
        <f t="shared" si="130"/>
        <v>5.6895751535830588</v>
      </c>
      <c r="BI39" s="83">
        <f t="shared" si="131"/>
        <v>10.403476336565861</v>
      </c>
      <c r="BJ39" s="83">
        <f t="shared" si="132"/>
        <v>0.57892994222130978</v>
      </c>
      <c r="BK39" s="83">
        <f t="shared" si="133"/>
        <v>2.723988261535303</v>
      </c>
      <c r="BL39" s="83">
        <f t="shared" si="134"/>
        <v>1.0290622321355589</v>
      </c>
      <c r="BM39" s="83">
        <f t="shared" si="135"/>
        <v>4.5546467764903751</v>
      </c>
      <c r="BN39" s="83">
        <f t="shared" si="136"/>
        <v>15.317382801857775</v>
      </c>
      <c r="BO39" s="83">
        <f t="shared" si="137"/>
        <v>1.5029911961514772</v>
      </c>
      <c r="BP39" s="83">
        <f t="shared" si="138"/>
        <v>4.2978481459779223</v>
      </c>
      <c r="BQ39" s="83">
        <f t="shared" si="139"/>
        <v>3.6925174211922998</v>
      </c>
      <c r="BR39" s="83">
        <f t="shared" si="140"/>
        <v>6.7946369944364609</v>
      </c>
      <c r="BS39" s="83">
        <f t="shared" si="141"/>
        <v>13.199661076561755</v>
      </c>
      <c r="BT39" s="83">
        <f t="shared" si="142"/>
        <v>1.3471254424765091</v>
      </c>
      <c r="BU39" s="83">
        <f t="shared" si="143"/>
        <v>4.2978481459779223</v>
      </c>
      <c r="BV39" s="83">
        <f t="shared" si="144"/>
        <v>3.6925174211922998</v>
      </c>
      <c r="BW39" s="83">
        <f t="shared" si="145"/>
        <v>9.422892183493202</v>
      </c>
      <c r="BX39" s="83">
        <f t="shared" si="146"/>
        <v>10.666274967078312</v>
      </c>
      <c r="BY39" s="83">
        <f t="shared" si="147"/>
        <v>1.6477236817068046</v>
      </c>
      <c r="BZ39" s="83">
        <f t="shared" si="148"/>
        <v>6.0629068565740729</v>
      </c>
      <c r="CA39" s="83">
        <f t="shared" si="149"/>
        <v>5.0554326903327382</v>
      </c>
      <c r="CB39" s="83">
        <f t="shared" si="150"/>
        <v>8.4550599027152842</v>
      </c>
      <c r="CC39" s="83">
        <f t="shared" si="151"/>
        <v>5.0554326903327382</v>
      </c>
      <c r="CD39" s="83">
        <f t="shared" si="152"/>
        <v>5.2070260385360765</v>
      </c>
      <c r="CE39" s="83">
        <f t="shared" si="153"/>
        <v>8.2414440557879445</v>
      </c>
      <c r="CF39" s="83">
        <f t="shared" si="154"/>
        <v>5.2070260385360765</v>
      </c>
      <c r="CG39" s="83">
        <f t="shared" si="155"/>
        <v>3.7333170299101432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32</v>
      </c>
      <c r="C41">
        <f t="shared" ca="1" si="160"/>
        <v>94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6.4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6.1599999999999984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10.322404767783633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15.411017743089626</v>
      </c>
      <c r="T41" s="83">
        <f t="shared" si="90"/>
        <v>4.898781489717245</v>
      </c>
      <c r="U41" s="83">
        <f t="shared" si="91"/>
        <v>7.4061877952175976</v>
      </c>
      <c r="V41" s="83">
        <f t="shared" si="92"/>
        <v>4.898781489717245</v>
      </c>
      <c r="W41" s="83">
        <f t="shared" si="93"/>
        <v>6.2846598221009149</v>
      </c>
      <c r="X41" s="83">
        <f t="shared" si="94"/>
        <v>12.179573298645183</v>
      </c>
      <c r="Y41" s="83">
        <f t="shared" si="95"/>
        <v>3.1423299110504574</v>
      </c>
      <c r="Z41" s="83">
        <f t="shared" si="96"/>
        <v>2.5168277784108866</v>
      </c>
      <c r="AA41" s="83">
        <f t="shared" si="97"/>
        <v>4.6038787068878788</v>
      </c>
      <c r="AB41" s="83">
        <f t="shared" si="98"/>
        <v>8.8058314949204668</v>
      </c>
      <c r="AC41" s="83">
        <f t="shared" si="99"/>
        <v>2.3019393534439394</v>
      </c>
      <c r="AD41" s="83">
        <f t="shared" si="100"/>
        <v>4.0713390533117284</v>
      </c>
      <c r="AE41" s="326">
        <f t="shared" si="101"/>
        <v>11.205207434753568</v>
      </c>
      <c r="AF41" s="83">
        <f t="shared" si="102"/>
        <v>5.0423433456391056</v>
      </c>
      <c r="AG41" s="83">
        <f t="shared" si="103"/>
        <v>1.7660094075404122</v>
      </c>
      <c r="AH41" s="326">
        <f t="shared" si="104"/>
        <v>5.1361250996033663</v>
      </c>
      <c r="AI41" s="83">
        <f t="shared" si="105"/>
        <v>9.1833982671784682</v>
      </c>
      <c r="AJ41" s="83">
        <f t="shared" si="106"/>
        <v>8.6231378954407898</v>
      </c>
      <c r="AK41" s="83">
        <f t="shared" si="107"/>
        <v>2.6571399630959678</v>
      </c>
      <c r="AL41" s="83">
        <f t="shared" si="108"/>
        <v>1.8335011100098124</v>
      </c>
      <c r="AM41" s="83">
        <f t="shared" si="109"/>
        <v>3.2884847906341994</v>
      </c>
      <c r="AN41" s="83">
        <f t="shared" si="110"/>
        <v>7.2346665393952385</v>
      </c>
      <c r="AO41" s="83">
        <f t="shared" si="111"/>
        <v>1.6442423953170997</v>
      </c>
      <c r="AP41" s="83">
        <f t="shared" si="112"/>
        <v>9.9827118605877185</v>
      </c>
      <c r="AQ41" s="83">
        <f t="shared" si="113"/>
        <v>1.4869711954905402</v>
      </c>
      <c r="AR41" s="83">
        <f t="shared" si="114"/>
        <v>2.3283976431697049</v>
      </c>
      <c r="AS41" s="83">
        <f t="shared" si="115"/>
        <v>0.74348559774527012</v>
      </c>
      <c r="AT41" s="83">
        <f t="shared" si="116"/>
        <v>2.3019393534439394</v>
      </c>
      <c r="AU41" s="83">
        <f t="shared" si="117"/>
        <v>4.8718293194580733</v>
      </c>
      <c r="AV41" s="83">
        <f t="shared" si="118"/>
        <v>1.1509696767219697</v>
      </c>
      <c r="AW41" s="83">
        <f t="shared" si="119"/>
        <v>10.574906631978516</v>
      </c>
      <c r="AX41" s="83">
        <f t="shared" si="120"/>
        <v>2.8938747112238974</v>
      </c>
      <c r="AY41" s="83">
        <f t="shared" si="121"/>
        <v>5.0606702208868288</v>
      </c>
      <c r="AZ41" s="83">
        <f t="shared" si="122"/>
        <v>1.4469373556119487</v>
      </c>
      <c r="BA41" s="83">
        <f t="shared" si="123"/>
        <v>3.5442558299057478</v>
      </c>
      <c r="BB41" s="83">
        <f t="shared" si="124"/>
        <v>4.238491507928523</v>
      </c>
      <c r="BC41" s="83">
        <f t="shared" si="125"/>
        <v>9.3164927427730735</v>
      </c>
      <c r="BD41" s="83">
        <f t="shared" si="126"/>
        <v>8.6168819958288978</v>
      </c>
      <c r="BE41" s="83">
        <f t="shared" si="127"/>
        <v>2.756615831640155</v>
      </c>
      <c r="BF41" s="83">
        <f t="shared" si="128"/>
        <v>5.9070930498429135</v>
      </c>
      <c r="BG41" s="83">
        <f t="shared" si="129"/>
        <v>3.2154073508423284</v>
      </c>
      <c r="BH41" s="83">
        <f t="shared" si="130"/>
        <v>4.0290394267838145</v>
      </c>
      <c r="BI41" s="83">
        <f t="shared" si="131"/>
        <v>8.1776783963492221</v>
      </c>
      <c r="BJ41" s="83">
        <f t="shared" si="132"/>
        <v>0.59478847819621605</v>
      </c>
      <c r="BK41" s="83">
        <f t="shared" si="133"/>
        <v>2.1923231937561329</v>
      </c>
      <c r="BL41" s="83">
        <f t="shared" si="134"/>
        <v>0.82821098430787254</v>
      </c>
      <c r="BM41" s="83">
        <f t="shared" si="135"/>
        <v>3.2253465227534472</v>
      </c>
      <c r="BN41" s="83">
        <f t="shared" si="136"/>
        <v>12.006243262057703</v>
      </c>
      <c r="BO41" s="83">
        <f t="shared" si="137"/>
        <v>1.5441623953170995</v>
      </c>
      <c r="BP41" s="83">
        <f t="shared" si="138"/>
        <v>3.4589988168152317</v>
      </c>
      <c r="BQ41" s="83">
        <f t="shared" si="139"/>
        <v>2.9718158848694247</v>
      </c>
      <c r="BR41" s="83">
        <f t="shared" si="140"/>
        <v>4.8115825175502254</v>
      </c>
      <c r="BS41" s="83">
        <f t="shared" si="141"/>
        <v>10.337889881565527</v>
      </c>
      <c r="BT41" s="83">
        <f t="shared" si="142"/>
        <v>1.3840270358027336</v>
      </c>
      <c r="BU41" s="83">
        <f t="shared" si="143"/>
        <v>3.4589988168152317</v>
      </c>
      <c r="BV41" s="83">
        <f t="shared" si="144"/>
        <v>2.9718158848694247</v>
      </c>
      <c r="BW41" s="83">
        <f t="shared" si="145"/>
        <v>6.672766084778444</v>
      </c>
      <c r="BX41" s="83">
        <f t="shared" si="146"/>
        <v>8.3394847689541027</v>
      </c>
      <c r="BY41" s="83">
        <f t="shared" si="147"/>
        <v>1.6928595148661534</v>
      </c>
      <c r="BZ41" s="83">
        <f t="shared" si="148"/>
        <v>4.2934120925832779</v>
      </c>
      <c r="CA41" s="83">
        <f t="shared" si="149"/>
        <v>4.8190496885941396</v>
      </c>
      <c r="CB41" s="83">
        <f t="shared" si="150"/>
        <v>9.4319848676078095</v>
      </c>
      <c r="CC41" s="83">
        <f t="shared" si="151"/>
        <v>4.8190496885941396</v>
      </c>
      <c r="CD41" s="83">
        <f t="shared" si="152"/>
        <v>4.8611201650559481</v>
      </c>
      <c r="CE41" s="83">
        <f t="shared" si="153"/>
        <v>9.7456171791785877</v>
      </c>
      <c r="CF41" s="83">
        <f t="shared" si="154"/>
        <v>4.8611201650559481</v>
      </c>
      <c r="CG41" s="83">
        <f t="shared" si="155"/>
        <v>2.643726657994629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48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17.399999999999999</v>
      </c>
      <c r="H42" s="49">
        <f t="shared" si="163"/>
        <v>0</v>
      </c>
      <c r="I42" s="49">
        <f t="shared" si="79"/>
        <v>11.95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4.3562499999999993</v>
      </c>
      <c r="P42" s="196">
        <f t="shared" si="86"/>
        <v>17.228985118272725</v>
      </c>
      <c r="Q42" s="196">
        <f t="shared" si="87"/>
        <v>0.77339999999999998</v>
      </c>
      <c r="R42" s="196">
        <f t="shared" si="88"/>
        <v>1.0039</v>
      </c>
      <c r="S42" s="196">
        <f t="shared" ca="1" si="89"/>
        <v>20.184065664376796</v>
      </c>
      <c r="T42" s="83">
        <f t="shared" si="90"/>
        <v>6.0516993250009463</v>
      </c>
      <c r="U42" s="83">
        <f t="shared" si="91"/>
        <v>9.1506487727104471</v>
      </c>
      <c r="V42" s="83">
        <f t="shared" si="92"/>
        <v>6.0516993250009463</v>
      </c>
      <c r="W42" s="83">
        <f t="shared" si="93"/>
        <v>7.7936978828184289</v>
      </c>
      <c r="X42" s="83">
        <f t="shared" si="94"/>
        <v>15.104065664376799</v>
      </c>
      <c r="Y42" s="83">
        <f t="shared" si="95"/>
        <v>3.8968489414092145</v>
      </c>
      <c r="Z42" s="83">
        <f t="shared" si="96"/>
        <v>3.5947676281216783</v>
      </c>
      <c r="AA42" s="83">
        <f t="shared" si="97"/>
        <v>5.7093368211344302</v>
      </c>
      <c r="AB42" s="83">
        <f t="shared" si="98"/>
        <v>10.920239475344426</v>
      </c>
      <c r="AC42" s="83">
        <f t="shared" si="99"/>
        <v>2.8546684105672151</v>
      </c>
      <c r="AD42" s="83">
        <f t="shared" si="100"/>
        <v>5.8150652807850678</v>
      </c>
      <c r="AE42" s="326">
        <f t="shared" si="101"/>
        <v>13.895740411226656</v>
      </c>
      <c r="AF42" s="83">
        <f t="shared" si="102"/>
        <v>6.2530831850519943</v>
      </c>
      <c r="AG42" s="83">
        <f t="shared" si="103"/>
        <v>2.5223789659509257</v>
      </c>
      <c r="AH42" s="326">
        <f t="shared" si="104"/>
        <v>8.8811906106535581</v>
      </c>
      <c r="AI42" s="83">
        <f t="shared" si="105"/>
        <v>11.388465510940106</v>
      </c>
      <c r="AJ42" s="83">
        <f t="shared" si="106"/>
        <v>10.693678490378772</v>
      </c>
      <c r="AK42" s="83">
        <f t="shared" si="107"/>
        <v>3.4542389659509252</v>
      </c>
      <c r="AL42" s="83">
        <f t="shared" si="108"/>
        <v>2.1629709113405182</v>
      </c>
      <c r="AM42" s="83">
        <f t="shared" si="109"/>
        <v>4.078097729381736</v>
      </c>
      <c r="AN42" s="83">
        <f t="shared" si="110"/>
        <v>8.9718150046398186</v>
      </c>
      <c r="AO42" s="83">
        <f t="shared" si="111"/>
        <v>2.039048864690868</v>
      </c>
      <c r="AP42" s="83">
        <f t="shared" si="112"/>
        <v>14.258237987171698</v>
      </c>
      <c r="AQ42" s="83">
        <f t="shared" si="113"/>
        <v>1.703528536368984</v>
      </c>
      <c r="AR42" s="83">
        <f t="shared" si="114"/>
        <v>2.9744912396624019</v>
      </c>
      <c r="AS42" s="83">
        <f t="shared" si="115"/>
        <v>0.85176426818449202</v>
      </c>
      <c r="AT42" s="83">
        <f t="shared" si="116"/>
        <v>2.8546684105672151</v>
      </c>
      <c r="AU42" s="83">
        <f t="shared" si="117"/>
        <v>6.04162626575072</v>
      </c>
      <c r="AV42" s="83">
        <f t="shared" si="118"/>
        <v>1.4273342052836075</v>
      </c>
      <c r="AW42" s="83">
        <f t="shared" si="119"/>
        <v>15.104065664376799</v>
      </c>
      <c r="AX42" s="83">
        <f t="shared" si="120"/>
        <v>3.3153286130873303</v>
      </c>
      <c r="AY42" s="83">
        <f t="shared" si="121"/>
        <v>6.1703401810716159</v>
      </c>
      <c r="AZ42" s="83">
        <f t="shared" si="122"/>
        <v>1.6576643065436651</v>
      </c>
      <c r="BA42" s="83">
        <f t="shared" si="123"/>
        <v>4.3952831083336479</v>
      </c>
      <c r="BB42" s="83">
        <f t="shared" si="124"/>
        <v>5.2562148512031257</v>
      </c>
      <c r="BC42" s="83">
        <f t="shared" si="125"/>
        <v>13.306681850315961</v>
      </c>
      <c r="BD42" s="83">
        <f t="shared" si="126"/>
        <v>12.797514375630975</v>
      </c>
      <c r="BE42" s="83">
        <f t="shared" si="127"/>
        <v>3.1580798251148083</v>
      </c>
      <c r="BF42" s="83">
        <f t="shared" si="128"/>
        <v>7.3254718472227474</v>
      </c>
      <c r="BG42" s="83">
        <f t="shared" si="129"/>
        <v>3.987473335395475</v>
      </c>
      <c r="BH42" s="83">
        <f t="shared" si="130"/>
        <v>5.7546490181275605</v>
      </c>
      <c r="BI42" s="83">
        <f t="shared" si="131"/>
        <v>12.798953390665325</v>
      </c>
      <c r="BJ42" s="83">
        <f t="shared" si="132"/>
        <v>0.68141141454759357</v>
      </c>
      <c r="BK42" s="83">
        <f t="shared" si="133"/>
        <v>2.7187318195878238</v>
      </c>
      <c r="BL42" s="83">
        <f t="shared" si="134"/>
        <v>1.0270764651776225</v>
      </c>
      <c r="BM42" s="83">
        <f t="shared" si="135"/>
        <v>4.606740027634924</v>
      </c>
      <c r="BN42" s="83">
        <f t="shared" si="136"/>
        <v>18.851828444388563</v>
      </c>
      <c r="BO42" s="83">
        <f t="shared" si="137"/>
        <v>1.769048864690868</v>
      </c>
      <c r="BP42" s="83">
        <f t="shared" si="138"/>
        <v>4.2895546486830103</v>
      </c>
      <c r="BQ42" s="83">
        <f t="shared" si="139"/>
        <v>3.6853920221079388</v>
      </c>
      <c r="BR42" s="83">
        <f t="shared" si="140"/>
        <v>6.8723498772914438</v>
      </c>
      <c r="BS42" s="83">
        <f t="shared" si="141"/>
        <v>16.247304756129491</v>
      </c>
      <c r="BT42" s="83">
        <f t="shared" si="142"/>
        <v>1.5855919453895926</v>
      </c>
      <c r="BU42" s="83">
        <f t="shared" si="143"/>
        <v>4.2895546486830103</v>
      </c>
      <c r="BV42" s="83">
        <f t="shared" si="144"/>
        <v>3.6853920221079388</v>
      </c>
      <c r="BW42" s="83">
        <f t="shared" si="145"/>
        <v>9.5306654342217598</v>
      </c>
      <c r="BX42" s="83">
        <f t="shared" si="146"/>
        <v>13.132138769617235</v>
      </c>
      <c r="BY42" s="83">
        <f t="shared" si="147"/>
        <v>1.9394017183277661</v>
      </c>
      <c r="BZ42" s="83">
        <f t="shared" si="148"/>
        <v>6.1322506597369806</v>
      </c>
      <c r="CA42" s="83">
        <f t="shared" si="149"/>
        <v>6.4802182111403122</v>
      </c>
      <c r="CB42" s="83">
        <f t="shared" si="150"/>
        <v>11.840177938088276</v>
      </c>
      <c r="CC42" s="83">
        <f t="shared" si="151"/>
        <v>6.4802182111403122</v>
      </c>
      <c r="CD42" s="83">
        <f t="shared" si="152"/>
        <v>7.1758329089067461</v>
      </c>
      <c r="CE42" s="83">
        <f t="shared" si="153"/>
        <v>12.939465894531839</v>
      </c>
      <c r="CF42" s="83">
        <f t="shared" si="154"/>
        <v>7.1758329089067461</v>
      </c>
      <c r="CG42" s="83">
        <f t="shared" si="155"/>
        <v>3.7760164160941998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7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</v>
      </c>
      <c r="H43" s="49">
        <f t="shared" si="165"/>
        <v>0</v>
      </c>
      <c r="I43" s="49">
        <f t="shared" si="79"/>
        <v>9.3036666666666648</v>
      </c>
      <c r="J43" s="49">
        <f t="shared" si="80"/>
        <v>14</v>
      </c>
      <c r="K43" s="49">
        <f t="shared" si="81"/>
        <v>12.945</v>
      </c>
      <c r="L43" s="49">
        <f t="shared" si="82"/>
        <v>9.9499999999999993</v>
      </c>
      <c r="M43" s="49">
        <f t="shared" si="83"/>
        <v>3.95</v>
      </c>
      <c r="N43" s="49">
        <f t="shared" si="84"/>
        <v>16</v>
      </c>
      <c r="O43" s="196">
        <f t="shared" si="85"/>
        <v>4.0254583333333329</v>
      </c>
      <c r="P43" s="196">
        <f t="shared" si="86"/>
        <v>14.537548910017408</v>
      </c>
      <c r="Q43" s="196">
        <f t="shared" si="87"/>
        <v>0.67749999999999999</v>
      </c>
      <c r="R43" s="196">
        <f t="shared" si="88"/>
        <v>0.8521466666666665</v>
      </c>
      <c r="S43" s="196">
        <f t="shared" ca="1" si="89"/>
        <v>18.568121678740908</v>
      </c>
      <c r="T43" s="83">
        <f t="shared" si="90"/>
        <v>5.2462822255408126</v>
      </c>
      <c r="U43" s="83">
        <f t="shared" si="91"/>
        <v>7.915003420587845</v>
      </c>
      <c r="V43" s="83">
        <f t="shared" si="92"/>
        <v>5.2462822255408126</v>
      </c>
      <c r="W43" s="83">
        <f t="shared" si="93"/>
        <v>6.383842786230308</v>
      </c>
      <c r="X43" s="83">
        <f t="shared" si="94"/>
        <v>12.371788345407573</v>
      </c>
      <c r="Y43" s="83">
        <f t="shared" si="95"/>
        <v>3.191921393115154</v>
      </c>
      <c r="Z43" s="83">
        <f t="shared" si="96"/>
        <v>4.0622129595403358</v>
      </c>
      <c r="AA43" s="83">
        <f t="shared" si="97"/>
        <v>4.6765359945640625</v>
      </c>
      <c r="AB43" s="83">
        <f t="shared" si="98"/>
        <v>8.9448029737296757</v>
      </c>
      <c r="AC43" s="83">
        <f t="shared" si="99"/>
        <v>2.3382679972820313</v>
      </c>
      <c r="AD43" s="83">
        <f t="shared" si="100"/>
        <v>6.5712268463152501</v>
      </c>
      <c r="AE43" s="326">
        <f t="shared" si="101"/>
        <v>11.382045277774967</v>
      </c>
      <c r="AF43" s="83">
        <f t="shared" si="102"/>
        <v>5.1219203749987354</v>
      </c>
      <c r="AG43" s="83">
        <f t="shared" si="103"/>
        <v>2.8503763203497319</v>
      </c>
      <c r="AH43" s="326">
        <f t="shared" si="104"/>
        <v>9.4157155470996532</v>
      </c>
      <c r="AI43" s="83">
        <f t="shared" si="105"/>
        <v>9.32832841243731</v>
      </c>
      <c r="AJ43" s="83">
        <f t="shared" si="106"/>
        <v>8.7592261485485619</v>
      </c>
      <c r="AK43" s="83">
        <f t="shared" si="107"/>
        <v>3.1843763203497319</v>
      </c>
      <c r="AL43" s="83">
        <f t="shared" si="108"/>
        <v>2.0429510434773812</v>
      </c>
      <c r="AM43" s="83">
        <f t="shared" si="109"/>
        <v>3.3403828532600448</v>
      </c>
      <c r="AN43" s="83">
        <f t="shared" si="110"/>
        <v>7.348842277172098</v>
      </c>
      <c r="AO43" s="83">
        <f t="shared" si="111"/>
        <v>1.6701914266300224</v>
      </c>
      <c r="AP43" s="83">
        <f t="shared" si="112"/>
        <v>16.112306864731416</v>
      </c>
      <c r="AQ43" s="83">
        <f t="shared" si="113"/>
        <v>1.6923558182363181</v>
      </c>
      <c r="AR43" s="83">
        <f t="shared" si="114"/>
        <v>2.7763096518710859</v>
      </c>
      <c r="AS43" s="83">
        <f t="shared" si="115"/>
        <v>0.84617790911815904</v>
      </c>
      <c r="AT43" s="83">
        <f t="shared" si="116"/>
        <v>2.3382679972820313</v>
      </c>
      <c r="AU43" s="83">
        <f t="shared" si="117"/>
        <v>4.94871533816303</v>
      </c>
      <c r="AV43" s="83">
        <f t="shared" si="118"/>
        <v>1.1691339986410156</v>
      </c>
      <c r="AW43" s="83">
        <f t="shared" si="119"/>
        <v>17.068121678740908</v>
      </c>
      <c r="AX43" s="83">
        <f t="shared" si="120"/>
        <v>3.2935847847214497</v>
      </c>
      <c r="AY43" s="83">
        <f t="shared" si="121"/>
        <v>5.9129850449862413</v>
      </c>
      <c r="AZ43" s="83">
        <f t="shared" si="122"/>
        <v>1.6467923923607248</v>
      </c>
      <c r="BA43" s="83">
        <f t="shared" si="123"/>
        <v>3.6001904085136034</v>
      </c>
      <c r="BB43" s="83">
        <f t="shared" si="124"/>
        <v>4.3053823442018349</v>
      </c>
      <c r="BC43" s="83">
        <f t="shared" si="125"/>
        <v>15.037015198970741</v>
      </c>
      <c r="BD43" s="83">
        <f t="shared" si="126"/>
        <v>13.292240172400668</v>
      </c>
      <c r="BE43" s="83">
        <f t="shared" si="127"/>
        <v>3.1373673245765588</v>
      </c>
      <c r="BF43" s="83">
        <f t="shared" si="128"/>
        <v>6.0003173475226728</v>
      </c>
      <c r="BG43" s="83">
        <f t="shared" si="129"/>
        <v>3.2661521231875996</v>
      </c>
      <c r="BH43" s="83">
        <f t="shared" si="130"/>
        <v>6.5029543596002863</v>
      </c>
      <c r="BI43" s="83">
        <f t="shared" si="131"/>
        <v>13.393473347219555</v>
      </c>
      <c r="BJ43" s="83">
        <f t="shared" si="132"/>
        <v>0.67694232729452719</v>
      </c>
      <c r="BK43" s="83">
        <f t="shared" si="133"/>
        <v>2.2269219021733631</v>
      </c>
      <c r="BL43" s="83">
        <f t="shared" si="134"/>
        <v>0.84128160748771508</v>
      </c>
      <c r="BM43" s="83">
        <f t="shared" si="135"/>
        <v>5.2057771120159773</v>
      </c>
      <c r="BN43" s="83">
        <f t="shared" si="136"/>
        <v>19.736304478860809</v>
      </c>
      <c r="BO43" s="83">
        <f t="shared" si="137"/>
        <v>1.7574464266300227</v>
      </c>
      <c r="BP43" s="83">
        <f t="shared" si="138"/>
        <v>3.5135878900957507</v>
      </c>
      <c r="BQ43" s="83">
        <f t="shared" si="139"/>
        <v>3.0187163562794477</v>
      </c>
      <c r="BR43" s="83">
        <f t="shared" si="140"/>
        <v>7.7659953638271135</v>
      </c>
      <c r="BS43" s="83">
        <f t="shared" si="141"/>
        <v>17.011758820044925</v>
      </c>
      <c r="BT43" s="83">
        <f t="shared" si="142"/>
        <v>1.5751927231276497</v>
      </c>
      <c r="BU43" s="83">
        <f t="shared" si="143"/>
        <v>3.5135878900957507</v>
      </c>
      <c r="BV43" s="83">
        <f t="shared" si="144"/>
        <v>3.0187163562794477</v>
      </c>
      <c r="BW43" s="83">
        <f t="shared" si="145"/>
        <v>10.769984779285513</v>
      </c>
      <c r="BX43" s="83">
        <f t="shared" si="146"/>
        <v>13.753708902473113</v>
      </c>
      <c r="BY43" s="83">
        <f t="shared" si="147"/>
        <v>1.9266820084536542</v>
      </c>
      <c r="BZ43" s="83">
        <f t="shared" si="148"/>
        <v>6.929657401568809</v>
      </c>
      <c r="CA43" s="83">
        <f t="shared" si="149"/>
        <v>7.5111411289232857</v>
      </c>
      <c r="CB43" s="83">
        <f t="shared" si="150"/>
        <v>11.160405010262263</v>
      </c>
      <c r="CC43" s="83">
        <f t="shared" si="151"/>
        <v>7.5111411289232857</v>
      </c>
      <c r="CD43" s="83">
        <f t="shared" si="152"/>
        <v>7.0821848058555856</v>
      </c>
      <c r="CE43" s="83">
        <f t="shared" si="153"/>
        <v>11.821808578196304</v>
      </c>
      <c r="CF43" s="83">
        <f t="shared" si="154"/>
        <v>7.0821848058555856</v>
      </c>
      <c r="CG43" s="83">
        <f t="shared" si="155"/>
        <v>4.2670304196852271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str">
        <f t="shared" ref="A45:E45" si="168">A11</f>
        <v>W. Gelifini</v>
      </c>
      <c r="B45">
        <f t="shared" si="168"/>
        <v>34</v>
      </c>
      <c r="C45">
        <f t="shared" ca="1" si="168"/>
        <v>72</v>
      </c>
      <c r="D45">
        <f t="shared" si="168"/>
        <v>0</v>
      </c>
      <c r="E45" s="265">
        <f t="shared" si="168"/>
        <v>36526</v>
      </c>
      <c r="F45" s="195">
        <f t="shared" si="77"/>
        <v>1.5</v>
      </c>
      <c r="G45" s="196">
        <f t="shared" ref="G45:H45" si="169">J11</f>
        <v>4.5</v>
      </c>
      <c r="H45" s="49">
        <f t="shared" si="169"/>
        <v>0</v>
      </c>
      <c r="I45" s="49">
        <f t="shared" si="79"/>
        <v>5.6515555555555519</v>
      </c>
      <c r="J45" s="49">
        <f t="shared" si="80"/>
        <v>9</v>
      </c>
      <c r="K45" s="49">
        <f t="shared" si="81"/>
        <v>6.95</v>
      </c>
      <c r="L45" s="49">
        <f t="shared" si="82"/>
        <v>8.9499999999999993</v>
      </c>
      <c r="M45" s="49">
        <f t="shared" si="83"/>
        <v>2.95</v>
      </c>
      <c r="N45" s="49">
        <f t="shared" si="84"/>
        <v>12.847222222222223</v>
      </c>
      <c r="O45" s="196">
        <f t="shared" si="85"/>
        <v>3.318944444444444</v>
      </c>
      <c r="P45" s="196">
        <f t="shared" si="86"/>
        <v>9.6027717628135694</v>
      </c>
      <c r="Q45" s="196">
        <f t="shared" si="87"/>
        <v>0.53291666666666671</v>
      </c>
      <c r="R45" s="196">
        <f t="shared" si="88"/>
        <v>0.61147888888888879</v>
      </c>
      <c r="S45" s="196">
        <f t="shared" ca="1" si="89"/>
        <v>14.718172240589348</v>
      </c>
      <c r="T45" s="83">
        <f t="shared" si="90"/>
        <v>3.6296686993678327</v>
      </c>
      <c r="U45" s="83">
        <f t="shared" si="91"/>
        <v>5.4628075848230679</v>
      </c>
      <c r="V45" s="83">
        <f t="shared" si="92"/>
        <v>3.6296686993678327</v>
      </c>
      <c r="W45" s="83">
        <f t="shared" si="93"/>
        <v>4.1396128761441018</v>
      </c>
      <c r="X45" s="83">
        <f t="shared" si="94"/>
        <v>8.0225055739226772</v>
      </c>
      <c r="Y45" s="83">
        <f t="shared" si="95"/>
        <v>2.0698064380720509</v>
      </c>
      <c r="Z45" s="83">
        <f t="shared" si="96"/>
        <v>2.7062861043713755</v>
      </c>
      <c r="AA45" s="83">
        <f t="shared" si="97"/>
        <v>3.0325071069427718</v>
      </c>
      <c r="AB45" s="83">
        <f t="shared" si="98"/>
        <v>5.8002715299460954</v>
      </c>
      <c r="AC45" s="83">
        <f t="shared" si="99"/>
        <v>1.5162535534713859</v>
      </c>
      <c r="AD45" s="83">
        <f t="shared" si="100"/>
        <v>4.3778157570713434</v>
      </c>
      <c r="AE45" s="326">
        <f t="shared" si="101"/>
        <v>7.3807051280088629</v>
      </c>
      <c r="AF45" s="83">
        <f t="shared" si="102"/>
        <v>3.3213173076039881</v>
      </c>
      <c r="AG45" s="83">
        <f t="shared" si="103"/>
        <v>1.8989486530673101</v>
      </c>
      <c r="AH45" s="326">
        <f t="shared" si="104"/>
        <v>5.4807186107998689</v>
      </c>
      <c r="AI45" s="83">
        <f t="shared" si="105"/>
        <v>6.0489692027376982</v>
      </c>
      <c r="AJ45" s="83">
        <f t="shared" si="106"/>
        <v>5.6799339463372549</v>
      </c>
      <c r="AK45" s="83">
        <f t="shared" si="107"/>
        <v>2.5414347641784212</v>
      </c>
      <c r="AL45" s="83">
        <f t="shared" si="108"/>
        <v>1.6386896052897317</v>
      </c>
      <c r="AM45" s="83">
        <f t="shared" si="109"/>
        <v>2.1660765049591229</v>
      </c>
      <c r="AN45" s="83">
        <f t="shared" si="110"/>
        <v>4.7653683109100697</v>
      </c>
      <c r="AO45" s="83">
        <f t="shared" si="111"/>
        <v>1.0830382524795614</v>
      </c>
      <c r="AP45" s="83">
        <f t="shared" si="112"/>
        <v>10.734176817338566</v>
      </c>
      <c r="AQ45" s="83">
        <f t="shared" si="113"/>
        <v>1.4717235023877262</v>
      </c>
      <c r="AR45" s="83">
        <f t="shared" si="114"/>
        <v>2.2790383553815676</v>
      </c>
      <c r="AS45" s="83">
        <f t="shared" si="115"/>
        <v>0.7358617511938631</v>
      </c>
      <c r="AT45" s="83">
        <f t="shared" si="116"/>
        <v>1.5162535534713859</v>
      </c>
      <c r="AU45" s="83">
        <f t="shared" si="117"/>
        <v>3.2090022295690712</v>
      </c>
      <c r="AV45" s="83">
        <f t="shared" si="118"/>
        <v>0.75812677673569295</v>
      </c>
      <c r="AW45" s="83">
        <f t="shared" si="119"/>
        <v>11.370950018367125</v>
      </c>
      <c r="AX45" s="83">
        <f t="shared" si="120"/>
        <v>2.8642003546468824</v>
      </c>
      <c r="AY45" s="83">
        <f t="shared" si="121"/>
        <v>4.9778434601202859</v>
      </c>
      <c r="AZ45" s="83">
        <f t="shared" si="122"/>
        <v>1.4321001773234412</v>
      </c>
      <c r="BA45" s="83">
        <f t="shared" si="123"/>
        <v>2.3345491220114991</v>
      </c>
      <c r="BB45" s="83">
        <f t="shared" si="124"/>
        <v>2.7918319397250912</v>
      </c>
      <c r="BC45" s="83">
        <f t="shared" si="125"/>
        <v>10.017806966181437</v>
      </c>
      <c r="BD45" s="83">
        <f t="shared" si="126"/>
        <v>8.9163245663283739</v>
      </c>
      <c r="BE45" s="83">
        <f t="shared" si="127"/>
        <v>2.728348954426477</v>
      </c>
      <c r="BF45" s="83">
        <f t="shared" si="128"/>
        <v>3.8909152033524985</v>
      </c>
      <c r="BG45" s="83">
        <f t="shared" si="129"/>
        <v>2.1179414715155866</v>
      </c>
      <c r="BH45" s="83">
        <f t="shared" si="130"/>
        <v>4.3323319569978747</v>
      </c>
      <c r="BI45" s="83">
        <f t="shared" si="131"/>
        <v>8.5485103160528677</v>
      </c>
      <c r="BJ45" s="83">
        <f t="shared" si="132"/>
        <v>0.58868940095509048</v>
      </c>
      <c r="BK45" s="83">
        <f t="shared" si="133"/>
        <v>1.4440510033060818</v>
      </c>
      <c r="BL45" s="83">
        <f t="shared" si="134"/>
        <v>0.54553037902674206</v>
      </c>
      <c r="BM45" s="83">
        <f t="shared" si="135"/>
        <v>3.4681397556019733</v>
      </c>
      <c r="BN45" s="83">
        <f t="shared" si="136"/>
        <v>12.558741723620122</v>
      </c>
      <c r="BO45" s="83">
        <f t="shared" si="137"/>
        <v>1.5283282524795618</v>
      </c>
      <c r="BP45" s="83">
        <f t="shared" si="138"/>
        <v>2.2783915829940402</v>
      </c>
      <c r="BQ45" s="83">
        <f t="shared" si="139"/>
        <v>1.9574913600371331</v>
      </c>
      <c r="BR45" s="83">
        <f t="shared" si="140"/>
        <v>5.1737822583570425</v>
      </c>
      <c r="BS45" s="83">
        <f t="shared" si="141"/>
        <v>10.815612620350775</v>
      </c>
      <c r="BT45" s="83">
        <f t="shared" si="142"/>
        <v>1.369834952222422</v>
      </c>
      <c r="BU45" s="83">
        <f t="shared" si="143"/>
        <v>2.2783915829940402</v>
      </c>
      <c r="BV45" s="83">
        <f t="shared" si="144"/>
        <v>1.9574913600371331</v>
      </c>
      <c r="BW45" s="83">
        <f t="shared" si="145"/>
        <v>7.175069461589656</v>
      </c>
      <c r="BX45" s="83">
        <f t="shared" si="146"/>
        <v>8.7282502664385753</v>
      </c>
      <c r="BY45" s="83">
        <f t="shared" si="147"/>
        <v>1.6755006027183343</v>
      </c>
      <c r="BZ45" s="83">
        <f t="shared" si="148"/>
        <v>4.6166057074570528</v>
      </c>
      <c r="CA45" s="83">
        <f t="shared" si="149"/>
        <v>4.8482149595692716</v>
      </c>
      <c r="CB45" s="83">
        <f t="shared" si="150"/>
        <v>9.249389720681382</v>
      </c>
      <c r="CC45" s="83">
        <f t="shared" si="151"/>
        <v>4.8482149595692716</v>
      </c>
      <c r="CD45" s="83">
        <f t="shared" si="152"/>
        <v>4.9209518614427195</v>
      </c>
      <c r="CE45" s="83">
        <f t="shared" si="153"/>
        <v>9.4983805751445942</v>
      </c>
      <c r="CF45" s="83">
        <f t="shared" si="154"/>
        <v>4.9209518614427195</v>
      </c>
      <c r="CG45" s="83">
        <f t="shared" si="155"/>
        <v>2.8427375045917813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30</v>
      </c>
      <c r="D46" t="str">
        <f t="shared" si="170"/>
        <v>CAB</v>
      </c>
      <c r="E46" s="265">
        <f t="shared" si="170"/>
        <v>43626</v>
      </c>
      <c r="F46" s="195">
        <f t="shared" ca="1" si="77"/>
        <v>0.42114842817984777</v>
      </c>
      <c r="G46" s="196">
        <f t="shared" ref="G46:H46" si="171">J12</f>
        <v>0.5</v>
      </c>
      <c r="H46" s="49">
        <f t="shared" si="171"/>
        <v>0</v>
      </c>
      <c r="I46" s="49">
        <f t="shared" si="79"/>
        <v>4</v>
      </c>
      <c r="J46" s="49">
        <f t="shared" si="80"/>
        <v>9.4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7.363702972387598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6.1074769170471326</v>
      </c>
      <c r="T46" s="83">
        <f t="shared" ca="1" si="90"/>
        <v>1.1212636628481329</v>
      </c>
      <c r="U46" s="83">
        <f t="shared" ca="1" si="91"/>
        <v>1.7255296549105834</v>
      </c>
      <c r="V46" s="83">
        <f t="shared" ca="1" si="92"/>
        <v>1.1212636628481329</v>
      </c>
      <c r="W46" s="83">
        <f t="shared" ca="1" si="93"/>
        <v>2.0742039519239821</v>
      </c>
      <c r="X46" s="83">
        <f t="shared" ca="1" si="94"/>
        <v>4.0197751006278724</v>
      </c>
      <c r="Y46" s="83">
        <f t="shared" ca="1" si="95"/>
        <v>1.0371019759619911</v>
      </c>
      <c r="Z46" s="83">
        <f t="shared" ca="1" si="96"/>
        <v>2.2419064739494337</v>
      </c>
      <c r="AA46" s="83">
        <f t="shared" ca="1" si="97"/>
        <v>1.5194749880373357</v>
      </c>
      <c r="AB46" s="83">
        <f t="shared" ca="1" si="98"/>
        <v>2.9062973977539515</v>
      </c>
      <c r="AC46" s="83">
        <f t="shared" ca="1" si="99"/>
        <v>0.75973749401866786</v>
      </c>
      <c r="AD46" s="83">
        <f t="shared" ca="1" si="100"/>
        <v>3.6266134137417314</v>
      </c>
      <c r="AE46" s="326">
        <f t="shared" ca="1" si="101"/>
        <v>3.6981930925776427</v>
      </c>
      <c r="AF46" s="83">
        <f t="shared" ca="1" si="102"/>
        <v>1.6641868916599392</v>
      </c>
      <c r="AG46" s="83">
        <f t="shared" ca="1" si="103"/>
        <v>1.5731024418048549</v>
      </c>
      <c r="AH46" s="326">
        <f t="shared" ca="1" si="104"/>
        <v>1.7756277591691891</v>
      </c>
      <c r="AI46" s="83">
        <f t="shared" ca="1" si="105"/>
        <v>3.0309104258734156</v>
      </c>
      <c r="AJ46" s="83">
        <f t="shared" ca="1" si="106"/>
        <v>2.8460007712445337</v>
      </c>
      <c r="AK46" s="83">
        <f t="shared" ca="1" si="107"/>
        <v>1.0053024418048548</v>
      </c>
      <c r="AL46" s="83">
        <f t="shared" ca="1" si="108"/>
        <v>0.54569522898082734</v>
      </c>
      <c r="AM46" s="83">
        <f t="shared" ca="1" si="109"/>
        <v>1.0853392771695256</v>
      </c>
      <c r="AN46" s="83">
        <f t="shared" ca="1" si="110"/>
        <v>2.3877464097729559</v>
      </c>
      <c r="AO46" s="83">
        <f t="shared" ca="1" si="111"/>
        <v>0.5426696385847628</v>
      </c>
      <c r="AP46" s="83">
        <f t="shared" ca="1" si="112"/>
        <v>8.8922676949927126</v>
      </c>
      <c r="AQ46" s="83">
        <f t="shared" ca="1" si="113"/>
        <v>0.52257076308162342</v>
      </c>
      <c r="AR46" s="83">
        <f t="shared" ca="1" si="114"/>
        <v>1.6967941044839665</v>
      </c>
      <c r="AS46" s="83">
        <f t="shared" ca="1" si="115"/>
        <v>0.26128538154081171</v>
      </c>
      <c r="AT46" s="83">
        <f t="shared" ca="1" si="116"/>
        <v>0.75973749401866786</v>
      </c>
      <c r="AU46" s="83">
        <f t="shared" ca="1" si="117"/>
        <v>1.607910040251149</v>
      </c>
      <c r="AV46" s="83">
        <f t="shared" ca="1" si="118"/>
        <v>0.37986874700933393</v>
      </c>
      <c r="AW46" s="83">
        <f t="shared" ca="1" si="119"/>
        <v>9.4197751006278736</v>
      </c>
      <c r="AX46" s="83">
        <f t="shared" ca="1" si="120"/>
        <v>1.0170031004588518</v>
      </c>
      <c r="AY46" s="83">
        <f t="shared" ca="1" si="121"/>
        <v>2.8448960804459578</v>
      </c>
      <c r="AZ46" s="83">
        <f t="shared" ca="1" si="122"/>
        <v>0.50850155022942589</v>
      </c>
      <c r="BA46" s="83">
        <f t="shared" ca="1" si="123"/>
        <v>1.1697545542827108</v>
      </c>
      <c r="BB46" s="83">
        <f t="shared" ca="1" si="124"/>
        <v>1.3988817350184994</v>
      </c>
      <c r="BC46" s="83">
        <f t="shared" ca="1" si="125"/>
        <v>8.2988218636531563</v>
      </c>
      <c r="BD46" s="83">
        <f t="shared" ca="1" si="126"/>
        <v>2.9995800644581783</v>
      </c>
      <c r="BE46" s="83">
        <f t="shared" ca="1" si="127"/>
        <v>0.96876579925131723</v>
      </c>
      <c r="BF46" s="83">
        <f t="shared" ca="1" si="128"/>
        <v>1.9495909238045179</v>
      </c>
      <c r="BG46" s="83">
        <f t="shared" ca="1" si="129"/>
        <v>1.0612206265657584</v>
      </c>
      <c r="BH46" s="83">
        <f t="shared" ca="1" si="130"/>
        <v>3.58893431333922</v>
      </c>
      <c r="BI46" s="83">
        <f t="shared" ca="1" si="131"/>
        <v>2.8402834379487611</v>
      </c>
      <c r="BJ46" s="83">
        <f t="shared" ca="1" si="132"/>
        <v>0.20902830523264934</v>
      </c>
      <c r="BK46" s="83">
        <f t="shared" ca="1" si="133"/>
        <v>0.723559518113017</v>
      </c>
      <c r="BL46" s="83">
        <f t="shared" ca="1" si="134"/>
        <v>0.27334470684269535</v>
      </c>
      <c r="BM46" s="83">
        <f t="shared" ca="1" si="135"/>
        <v>2.8730314056915014</v>
      </c>
      <c r="BN46" s="83">
        <f t="shared" ca="1" si="136"/>
        <v>4.1694307794074437</v>
      </c>
      <c r="BO46" s="83">
        <f t="shared" ca="1" si="137"/>
        <v>0.5426696385847628</v>
      </c>
      <c r="BP46" s="83">
        <f t="shared" ca="1" si="138"/>
        <v>1.1416161285783157</v>
      </c>
      <c r="BQ46" s="83">
        <f t="shared" ca="1" si="139"/>
        <v>0.98082512455320081</v>
      </c>
      <c r="BR46" s="83">
        <f t="shared" ca="1" si="140"/>
        <v>4.2859976707856831</v>
      </c>
      <c r="BS46" s="83">
        <f t="shared" ca="1" si="141"/>
        <v>3.5899108114956828</v>
      </c>
      <c r="BT46" s="83">
        <f t="shared" ca="1" si="142"/>
        <v>0.48639278717597256</v>
      </c>
      <c r="BU46" s="83">
        <f t="shared" ca="1" si="143"/>
        <v>1.1416161285783157</v>
      </c>
      <c r="BV46" s="83">
        <f t="shared" ca="1" si="144"/>
        <v>0.98082512455320081</v>
      </c>
      <c r="BW46" s="83">
        <f t="shared" ca="1" si="145"/>
        <v>5.9438780884961879</v>
      </c>
      <c r="BX46" s="83">
        <f t="shared" ca="1" si="146"/>
        <v>2.895698715061946</v>
      </c>
      <c r="BY46" s="83">
        <f t="shared" ca="1" si="147"/>
        <v>0.59492671489292503</v>
      </c>
      <c r="BZ46" s="83">
        <f t="shared" ca="1" si="148"/>
        <v>3.824428690854917</v>
      </c>
      <c r="CA46" s="83">
        <f t="shared" ca="1" si="149"/>
        <v>2.3313028274271215</v>
      </c>
      <c r="CB46" s="83">
        <f t="shared" ca="1" si="150"/>
        <v>6.2752667633069841</v>
      </c>
      <c r="CC46" s="83">
        <f t="shared" ca="1" si="151"/>
        <v>2.3313028274271215</v>
      </c>
      <c r="CD46" s="83">
        <f t="shared" ca="1" si="152"/>
        <v>3.2138212963644044</v>
      </c>
      <c r="CE46" s="83">
        <f t="shared" ca="1" si="153"/>
        <v>8.5030721127595577</v>
      </c>
      <c r="CF46" s="83">
        <f t="shared" ca="1" si="154"/>
        <v>3.2138212963644044</v>
      </c>
      <c r="CG46" s="83">
        <f t="shared" ca="1" si="155"/>
        <v>2.3549437751569684</v>
      </c>
    </row>
    <row r="47" spans="1:85" x14ac:dyDescent="0.25">
      <c r="A47" t="str">
        <f t="shared" ref="A47:E47" si="172">A13</f>
        <v>I. Stone</v>
      </c>
      <c r="B47">
        <f t="shared" si="172"/>
        <v>18</v>
      </c>
      <c r="C47">
        <f t="shared" ca="1" si="172"/>
        <v>85</v>
      </c>
      <c r="D47" t="str">
        <f t="shared" si="172"/>
        <v>RAP</v>
      </c>
      <c r="E47" s="265">
        <f t="shared" si="172"/>
        <v>43633</v>
      </c>
      <c r="F47" s="195">
        <f t="shared" ca="1" si="77"/>
        <v>0.39913558962999812</v>
      </c>
      <c r="G47" s="196">
        <f t="shared" ref="G47:H47" si="173">J13</f>
        <v>1.4</v>
      </c>
      <c r="H47" s="49">
        <f t="shared" si="173"/>
        <v>0</v>
      </c>
      <c r="I47" s="49">
        <f t="shared" si="79"/>
        <v>3</v>
      </c>
      <c r="J47" s="49">
        <f t="shared" si="80"/>
        <v>8.1999999999999993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9.7526802648808353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2.6827874173785844</v>
      </c>
      <c r="T47" s="83">
        <f t="shared" ca="1" si="90"/>
        <v>1.3465384032764574</v>
      </c>
      <c r="U47" s="83">
        <f t="shared" ca="1" si="91"/>
        <v>2.0418191049598011</v>
      </c>
      <c r="V47" s="83">
        <f t="shared" ca="1" si="92"/>
        <v>1.3465384032764574</v>
      </c>
      <c r="W47" s="83">
        <f t="shared" ca="1" si="93"/>
        <v>1.8544900527957067</v>
      </c>
      <c r="X47" s="83">
        <f t="shared" ca="1" si="94"/>
        <v>3.5939729705343151</v>
      </c>
      <c r="Y47" s="83">
        <f t="shared" ca="1" si="95"/>
        <v>0.92724502639785333</v>
      </c>
      <c r="Z47" s="83">
        <f t="shared" ca="1" si="96"/>
        <v>2.0929655669871665</v>
      </c>
      <c r="AA47" s="83">
        <f t="shared" ca="1" si="97"/>
        <v>1.3585217828619711</v>
      </c>
      <c r="AB47" s="83">
        <f t="shared" ca="1" si="98"/>
        <v>2.5984424576963097</v>
      </c>
      <c r="AC47" s="83">
        <f t="shared" ca="1" si="99"/>
        <v>0.67926089143098556</v>
      </c>
      <c r="AD47" s="83">
        <f t="shared" ca="1" si="100"/>
        <v>3.3856795936557109</v>
      </c>
      <c r="AE47" s="326">
        <f t="shared" ca="1" si="101"/>
        <v>3.3064551328915699</v>
      </c>
      <c r="AF47" s="83">
        <f t="shared" ca="1" si="102"/>
        <v>1.4879048098012064</v>
      </c>
      <c r="AG47" s="83">
        <f t="shared" ca="1" si="103"/>
        <v>1.4685934860792307</v>
      </c>
      <c r="AH47" s="326">
        <f t="shared" ca="1" si="104"/>
        <v>1.5252561066741772</v>
      </c>
      <c r="AI47" s="83">
        <f t="shared" ca="1" si="105"/>
        <v>2.7098556197828736</v>
      </c>
      <c r="AJ47" s="83">
        <f t="shared" ca="1" si="106"/>
        <v>2.5445328631382949</v>
      </c>
      <c r="AK47" s="83">
        <f t="shared" ca="1" si="107"/>
        <v>0.43319348607923064</v>
      </c>
      <c r="AL47" s="83">
        <f t="shared" ca="1" si="108"/>
        <v>0.81906421551388264</v>
      </c>
      <c r="AM47" s="83">
        <f t="shared" ca="1" si="109"/>
        <v>0.97037270204426518</v>
      </c>
      <c r="AN47" s="83">
        <f t="shared" ca="1" si="110"/>
        <v>2.1348199444973832</v>
      </c>
      <c r="AO47" s="83">
        <f t="shared" ca="1" si="111"/>
        <v>0.48518635102213259</v>
      </c>
      <c r="AP47" s="83">
        <f t="shared" ca="1" si="112"/>
        <v>8.3015104841843925</v>
      </c>
      <c r="AQ47" s="83">
        <f t="shared" ca="1" si="113"/>
        <v>0.85721648616946111</v>
      </c>
      <c r="AR47" s="83">
        <f t="shared" ca="1" si="114"/>
        <v>2.4510340803665542</v>
      </c>
      <c r="AS47" s="83">
        <f t="shared" ca="1" si="115"/>
        <v>0.42860824308473056</v>
      </c>
      <c r="AT47" s="83">
        <f t="shared" ca="1" si="116"/>
        <v>0.67926089143098556</v>
      </c>
      <c r="AU47" s="83">
        <f t="shared" ca="1" si="117"/>
        <v>1.4375891882137262</v>
      </c>
      <c r="AV47" s="83">
        <f t="shared" ca="1" si="118"/>
        <v>0.33963044571549278</v>
      </c>
      <c r="AW47" s="83">
        <f t="shared" ca="1" si="119"/>
        <v>8.7939729705343144</v>
      </c>
      <c r="AX47" s="83">
        <f t="shared" ca="1" si="120"/>
        <v>1.6682751615451819</v>
      </c>
      <c r="AY47" s="83">
        <f t="shared" ca="1" si="121"/>
        <v>4.2632791067644078</v>
      </c>
      <c r="AZ47" s="83">
        <f t="shared" ca="1" si="122"/>
        <v>0.83413758077259093</v>
      </c>
      <c r="BA47" s="83">
        <f t="shared" ca="1" si="123"/>
        <v>1.0458461344254857</v>
      </c>
      <c r="BB47" s="83">
        <f t="shared" ca="1" si="124"/>
        <v>1.2507025937459415</v>
      </c>
      <c r="BC47" s="83">
        <f t="shared" ca="1" si="125"/>
        <v>7.7474901870407313</v>
      </c>
      <c r="BD47" s="83">
        <f t="shared" ca="1" si="126"/>
        <v>3.5660419708050064</v>
      </c>
      <c r="BE47" s="83">
        <f t="shared" ca="1" si="127"/>
        <v>1.5891474858987702</v>
      </c>
      <c r="BF47" s="83">
        <f t="shared" ca="1" si="128"/>
        <v>1.7430768907091427</v>
      </c>
      <c r="BG47" s="83">
        <f t="shared" ca="1" si="129"/>
        <v>0.94880886422105926</v>
      </c>
      <c r="BH47" s="83">
        <f t="shared" ca="1" si="130"/>
        <v>3.3505037017735737</v>
      </c>
      <c r="BI47" s="83">
        <f t="shared" ca="1" si="131"/>
        <v>3.0711323762469918</v>
      </c>
      <c r="BJ47" s="83">
        <f t="shared" ca="1" si="132"/>
        <v>0.34288659446778441</v>
      </c>
      <c r="BK47" s="83">
        <f t="shared" ca="1" si="133"/>
        <v>0.64691513469617667</v>
      </c>
      <c r="BL47" s="83">
        <f t="shared" ca="1" si="134"/>
        <v>0.24439016199633345</v>
      </c>
      <c r="BM47" s="83">
        <f t="shared" ca="1" si="135"/>
        <v>2.6821617560129658</v>
      </c>
      <c r="BN47" s="83">
        <f t="shared" ca="1" si="136"/>
        <v>4.4798492401071295</v>
      </c>
      <c r="BO47" s="83">
        <f t="shared" ca="1" si="137"/>
        <v>0.89018635102213273</v>
      </c>
      <c r="BP47" s="83">
        <f t="shared" ca="1" si="138"/>
        <v>1.0206883236317454</v>
      </c>
      <c r="BQ47" s="83">
        <f t="shared" ca="1" si="139"/>
        <v>0.87692940481037285</v>
      </c>
      <c r="BR47" s="83">
        <f t="shared" ca="1" si="140"/>
        <v>4.0012577015931132</v>
      </c>
      <c r="BS47" s="83">
        <f t="shared" ca="1" si="141"/>
        <v>3.8501220513520211</v>
      </c>
      <c r="BT47" s="83">
        <f t="shared" ca="1" si="142"/>
        <v>0.7978707294346522</v>
      </c>
      <c r="BU47" s="83">
        <f t="shared" ca="1" si="143"/>
        <v>1.0206883236317454</v>
      </c>
      <c r="BV47" s="83">
        <f t="shared" ca="1" si="144"/>
        <v>0.87692940481037285</v>
      </c>
      <c r="BW47" s="83">
        <f t="shared" ca="1" si="145"/>
        <v>5.5489969444071523</v>
      </c>
      <c r="BX47" s="83">
        <f t="shared" ca="1" si="146"/>
        <v>3.0936058086282117</v>
      </c>
      <c r="BY47" s="83">
        <f t="shared" ca="1" si="147"/>
        <v>0.9759079996390787</v>
      </c>
      <c r="BZ47" s="83">
        <f t="shared" ca="1" si="148"/>
        <v>3.5703530260369321</v>
      </c>
      <c r="CA47" s="83">
        <f t="shared" ca="1" si="149"/>
        <v>3.2404599176483782</v>
      </c>
      <c r="CB47" s="83">
        <f t="shared" ca="1" si="150"/>
        <v>9.1738135648216392</v>
      </c>
      <c r="CC47" s="83">
        <f t="shared" ca="1" si="151"/>
        <v>3.2404599176483782</v>
      </c>
      <c r="CD47" s="83">
        <f t="shared" ca="1" si="152"/>
        <v>4.160269907339079</v>
      </c>
      <c r="CE47" s="83">
        <f t="shared" ca="1" si="153"/>
        <v>12.027148996661477</v>
      </c>
      <c r="CF47" s="83">
        <f t="shared" ca="1" si="154"/>
        <v>4.160269907339079</v>
      </c>
      <c r="CG47" s="83">
        <f t="shared" ca="1" si="155"/>
        <v>2.1984932426335786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46</v>
      </c>
      <c r="D48" t="str">
        <f t="shared" si="174"/>
        <v>IMP</v>
      </c>
      <c r="E48" s="265">
        <f t="shared" si="174"/>
        <v>43630</v>
      </c>
      <c r="F48" s="195">
        <f t="shared" ca="1" si="77"/>
        <v>0.40865125931141716</v>
      </c>
      <c r="G48" s="196">
        <f t="shared" ref="G48:H48" si="175">J14</f>
        <v>2</v>
      </c>
      <c r="H48" s="49">
        <f t="shared" si="175"/>
        <v>0</v>
      </c>
      <c r="I48" s="49">
        <f t="shared" si="79"/>
        <v>4</v>
      </c>
      <c r="J48" s="49">
        <f t="shared" si="80"/>
        <v>10.166666666666666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7.4701543369680952</v>
      </c>
      <c r="Q48" s="196">
        <f t="shared" si="87"/>
        <v>0.4</v>
      </c>
      <c r="R48" s="196">
        <f t="shared" si="88"/>
        <v>0.16</v>
      </c>
      <c r="S48" s="196">
        <f t="shared" ca="1" si="89"/>
        <v>0.89838822624597747</v>
      </c>
      <c r="T48" s="83">
        <f t="shared" ca="1" si="90"/>
        <v>1.8111514643317417</v>
      </c>
      <c r="U48" s="83">
        <f t="shared" ca="1" si="91"/>
        <v>2.7457417416406393</v>
      </c>
      <c r="V48" s="83">
        <f t="shared" ca="1" si="92"/>
        <v>1.8111514643317417</v>
      </c>
      <c r="W48" s="83">
        <f t="shared" ca="1" si="93"/>
        <v>2.4819726868215106</v>
      </c>
      <c r="X48" s="83">
        <f t="shared" ca="1" si="94"/>
        <v>4.8100245868633928</v>
      </c>
      <c r="Y48" s="83">
        <f t="shared" ca="1" si="95"/>
        <v>1.2409863434107553</v>
      </c>
      <c r="Z48" s="83">
        <f t="shared" ca="1" si="96"/>
        <v>2.6124525183401537</v>
      </c>
      <c r="AA48" s="83">
        <f t="shared" ca="1" si="97"/>
        <v>1.8181892938343625</v>
      </c>
      <c r="AB48" s="83">
        <f t="shared" ca="1" si="98"/>
        <v>3.4776477763022329</v>
      </c>
      <c r="AC48" s="83">
        <f t="shared" ca="1" si="99"/>
        <v>0.90909464691718123</v>
      </c>
      <c r="AD48" s="83">
        <f t="shared" ca="1" si="100"/>
        <v>4.2260261326090722</v>
      </c>
      <c r="AE48" s="326">
        <f t="shared" ca="1" si="101"/>
        <v>4.4252226199143214</v>
      </c>
      <c r="AF48" s="83">
        <f t="shared" ca="1" si="102"/>
        <v>1.9913501789614445</v>
      </c>
      <c r="AG48" s="83">
        <f t="shared" ca="1" si="103"/>
        <v>1.8331074393395197</v>
      </c>
      <c r="AH48" s="326">
        <f t="shared" ca="1" si="104"/>
        <v>2.2402944570756742</v>
      </c>
      <c r="AI48" s="83">
        <f t="shared" ca="1" si="105"/>
        <v>3.6267585384949981</v>
      </c>
      <c r="AJ48" s="83">
        <f t="shared" ca="1" si="106"/>
        <v>3.4054974074992819</v>
      </c>
      <c r="AK48" s="83">
        <f t="shared" ca="1" si="107"/>
        <v>0.13527410600618647</v>
      </c>
      <c r="AL48" s="83">
        <f t="shared" ca="1" si="108"/>
        <v>0.62928708101665687</v>
      </c>
      <c r="AM48" s="83">
        <f t="shared" ca="1" si="109"/>
        <v>1.2987066384531161</v>
      </c>
      <c r="AN48" s="83">
        <f t="shared" ca="1" si="110"/>
        <v>2.8571546045968552</v>
      </c>
      <c r="AO48" s="83">
        <f t="shared" ca="1" si="111"/>
        <v>0.64935331922655803</v>
      </c>
      <c r="AP48" s="83">
        <f t="shared" ca="1" si="112"/>
        <v>10.361996543332374</v>
      </c>
      <c r="AQ48" s="83">
        <f t="shared" ca="1" si="113"/>
        <v>0.36530319629224095</v>
      </c>
      <c r="AR48" s="83">
        <f t="shared" ca="1" si="114"/>
        <v>1.8613372039509737</v>
      </c>
      <c r="AS48" s="83">
        <f t="shared" ca="1" si="115"/>
        <v>0.18265159814612048</v>
      </c>
      <c r="AT48" s="83">
        <f t="shared" ca="1" si="116"/>
        <v>0.90909464691718123</v>
      </c>
      <c r="AU48" s="83">
        <f t="shared" ca="1" si="117"/>
        <v>1.9240098347453571</v>
      </c>
      <c r="AV48" s="83">
        <f t="shared" ca="1" si="118"/>
        <v>0.45454732345859061</v>
      </c>
      <c r="AW48" s="83">
        <f t="shared" ca="1" si="119"/>
        <v>10.976691253530058</v>
      </c>
      <c r="AX48" s="83">
        <f t="shared" ca="1" si="120"/>
        <v>0.71093622047643812</v>
      </c>
      <c r="AY48" s="83">
        <f t="shared" ca="1" si="121"/>
        <v>2.808323547361729</v>
      </c>
      <c r="AZ48" s="83">
        <f t="shared" ca="1" si="122"/>
        <v>0.35546811023821906</v>
      </c>
      <c r="BA48" s="83">
        <f t="shared" ca="1" si="123"/>
        <v>1.3997171547772471</v>
      </c>
      <c r="BB48" s="83">
        <f t="shared" ca="1" si="124"/>
        <v>1.6738885562284607</v>
      </c>
      <c r="BC48" s="83">
        <f t="shared" ca="1" si="125"/>
        <v>9.6704649943599819</v>
      </c>
      <c r="BD48" s="83">
        <f t="shared" ca="1" si="126"/>
        <v>3.0721118577215552</v>
      </c>
      <c r="BE48" s="83">
        <f t="shared" ca="1" si="127"/>
        <v>0.67721592543407749</v>
      </c>
      <c r="BF48" s="83">
        <f t="shared" ca="1" si="128"/>
        <v>2.3328619246287454</v>
      </c>
      <c r="BG48" s="83">
        <f t="shared" ca="1" si="129"/>
        <v>1.2698464909319358</v>
      </c>
      <c r="BH48" s="83">
        <f t="shared" ca="1" si="130"/>
        <v>4.182119367594952</v>
      </c>
      <c r="BI48" s="83">
        <f t="shared" ca="1" si="131"/>
        <v>3.1289614889186046</v>
      </c>
      <c r="BJ48" s="83">
        <f t="shared" ca="1" si="132"/>
        <v>0.14612127851689638</v>
      </c>
      <c r="BK48" s="83">
        <f t="shared" ca="1" si="133"/>
        <v>0.86580442563541071</v>
      </c>
      <c r="BL48" s="83">
        <f t="shared" ca="1" si="134"/>
        <v>0.32708167190671072</v>
      </c>
      <c r="BM48" s="83">
        <f t="shared" ca="1" si="135"/>
        <v>3.3478908323266676</v>
      </c>
      <c r="BN48" s="83">
        <f t="shared" ca="1" si="136"/>
        <v>4.6136916187063219</v>
      </c>
      <c r="BO48" s="83">
        <f t="shared" ca="1" si="137"/>
        <v>0.37935331922655796</v>
      </c>
      <c r="BP48" s="83">
        <f t="shared" ca="1" si="138"/>
        <v>1.3660469826692034</v>
      </c>
      <c r="BQ48" s="83">
        <f t="shared" ca="1" si="139"/>
        <v>1.1736459991946677</v>
      </c>
      <c r="BR48" s="83">
        <f t="shared" ca="1" si="140"/>
        <v>4.9943945203561766</v>
      </c>
      <c r="BS48" s="83">
        <f t="shared" ca="1" si="141"/>
        <v>3.9775072422446383</v>
      </c>
      <c r="BT48" s="83">
        <f t="shared" ca="1" si="142"/>
        <v>0.3400129750104704</v>
      </c>
      <c r="BU48" s="83">
        <f t="shared" ca="1" si="143"/>
        <v>1.3660469826692034</v>
      </c>
      <c r="BV48" s="83">
        <f t="shared" ca="1" si="144"/>
        <v>1.1736459991946677</v>
      </c>
      <c r="BW48" s="83">
        <f t="shared" ca="1" si="145"/>
        <v>6.9262921809774669</v>
      </c>
      <c r="BX48" s="83">
        <f t="shared" ca="1" si="146"/>
        <v>3.2169720052427357</v>
      </c>
      <c r="BY48" s="83">
        <f t="shared" ca="1" si="147"/>
        <v>0.415883638855782</v>
      </c>
      <c r="BZ48" s="83">
        <f t="shared" ca="1" si="148"/>
        <v>4.4565366489332039</v>
      </c>
      <c r="CA48" s="83">
        <f t="shared" ca="1" si="149"/>
        <v>2.3700228097558274</v>
      </c>
      <c r="CB48" s="83">
        <f t="shared" ca="1" si="150"/>
        <v>6.6620876848081787</v>
      </c>
      <c r="CC48" s="83">
        <f t="shared" ca="1" si="151"/>
        <v>2.3700228097558274</v>
      </c>
      <c r="CD48" s="83">
        <f t="shared" ca="1" si="152"/>
        <v>3.6853959901949245</v>
      </c>
      <c r="CE48" s="83">
        <f t="shared" ca="1" si="153"/>
        <v>9.8469236594159835</v>
      </c>
      <c r="CF48" s="83">
        <f t="shared" ca="1" si="154"/>
        <v>3.6853959901949245</v>
      </c>
      <c r="CG48" s="83">
        <f t="shared" ca="1" si="155"/>
        <v>2.7441728133825145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46</v>
      </c>
      <c r="D49" t="str">
        <f t="shared" si="176"/>
        <v>RAP</v>
      </c>
      <c r="E49" s="265">
        <f t="shared" si="176"/>
        <v>43627</v>
      </c>
      <c r="F49" s="195">
        <f t="shared" ca="1" si="77"/>
        <v>0.41804388130271769</v>
      </c>
      <c r="G49" s="196">
        <f t="shared" ref="G49:H49" si="177">J15</f>
        <v>2</v>
      </c>
      <c r="H49" s="49">
        <f t="shared" si="177"/>
        <v>0</v>
      </c>
      <c r="I49" s="49">
        <f t="shared" si="79"/>
        <v>2</v>
      </c>
      <c r="J49" s="49">
        <f t="shared" si="80"/>
        <v>10.166666666666666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10.790912031568867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6.9072906932871128</v>
      </c>
      <c r="T49" s="83">
        <f t="shared" ca="1" si="90"/>
        <v>1.2673512233301467</v>
      </c>
      <c r="U49" s="83">
        <f t="shared" ca="1" si="91"/>
        <v>1.9078676166314081</v>
      </c>
      <c r="V49" s="83">
        <f t="shared" ca="1" si="92"/>
        <v>1.2673512233301467</v>
      </c>
      <c r="W49" s="83">
        <f t="shared" ca="1" si="93"/>
        <v>1.4548192797690216</v>
      </c>
      <c r="X49" s="83">
        <f t="shared" ca="1" si="94"/>
        <v>2.8194172088546927</v>
      </c>
      <c r="Y49" s="83">
        <f t="shared" ca="1" si="95"/>
        <v>0.72740963988451079</v>
      </c>
      <c r="Z49" s="83">
        <f t="shared" ca="1" si="96"/>
        <v>2.6146879623740831</v>
      </c>
      <c r="AA49" s="83">
        <f t="shared" ca="1" si="97"/>
        <v>1.0657397049470738</v>
      </c>
      <c r="AB49" s="83">
        <f t="shared" ca="1" si="98"/>
        <v>2.0384386420019429</v>
      </c>
      <c r="AC49" s="83">
        <f t="shared" ca="1" si="99"/>
        <v>0.53286985247353691</v>
      </c>
      <c r="AD49" s="83">
        <f t="shared" ca="1" si="100"/>
        <v>4.2296422920757228</v>
      </c>
      <c r="AE49" s="326">
        <f t="shared" ca="1" si="101"/>
        <v>2.5938638321463174</v>
      </c>
      <c r="AF49" s="83">
        <f t="shared" ca="1" si="102"/>
        <v>1.1672387244658426</v>
      </c>
      <c r="AG49" s="83">
        <f t="shared" ca="1" si="103"/>
        <v>1.8346760072120667</v>
      </c>
      <c r="AH49" s="326">
        <f t="shared" ca="1" si="104"/>
        <v>3.4218173188065593</v>
      </c>
      <c r="AI49" s="83">
        <f t="shared" ca="1" si="105"/>
        <v>2.1258405754764382</v>
      </c>
      <c r="AJ49" s="83">
        <f t="shared" ca="1" si="106"/>
        <v>1.9961473838691224</v>
      </c>
      <c r="AK49" s="83">
        <f t="shared" ca="1" si="107"/>
        <v>1.1388426738787338</v>
      </c>
      <c r="AL49" s="83">
        <f t="shared" ca="1" si="108"/>
        <v>0.70399215615015143</v>
      </c>
      <c r="AM49" s="83">
        <f t="shared" ca="1" si="109"/>
        <v>0.76124264639076711</v>
      </c>
      <c r="AN49" s="83">
        <f t="shared" ca="1" si="110"/>
        <v>1.6747338220596875</v>
      </c>
      <c r="AO49" s="83">
        <f t="shared" ca="1" si="111"/>
        <v>0.38062132319538355</v>
      </c>
      <c r="AP49" s="83">
        <f t="shared" ca="1" si="112"/>
        <v>10.370863178492161</v>
      </c>
      <c r="AQ49" s="83">
        <f t="shared" ca="1" si="113"/>
        <v>0.62652423715111016</v>
      </c>
      <c r="AR49" s="83">
        <f t="shared" ca="1" si="114"/>
        <v>2.1040892421944246</v>
      </c>
      <c r="AS49" s="83">
        <f t="shared" ca="1" si="115"/>
        <v>0.31326211857555508</v>
      </c>
      <c r="AT49" s="83">
        <f t="shared" ca="1" si="116"/>
        <v>0.53286985247353691</v>
      </c>
      <c r="AU49" s="83">
        <f t="shared" ca="1" si="117"/>
        <v>1.127766883541877</v>
      </c>
      <c r="AV49" s="83">
        <f t="shared" ca="1" si="118"/>
        <v>0.26643492623676845</v>
      </c>
      <c r="AW49" s="83">
        <f t="shared" ca="1" si="119"/>
        <v>10.986083875521357</v>
      </c>
      <c r="AX49" s="83">
        <f t="shared" ca="1" si="120"/>
        <v>1.2193125538402374</v>
      </c>
      <c r="AY49" s="83">
        <f t="shared" ca="1" si="121"/>
        <v>3.4954988820789357</v>
      </c>
      <c r="AZ49" s="83">
        <f t="shared" ca="1" si="122"/>
        <v>0.6096562769201187</v>
      </c>
      <c r="BA49" s="83">
        <f t="shared" ca="1" si="123"/>
        <v>0.82045040777671552</v>
      </c>
      <c r="BB49" s="83">
        <f t="shared" ca="1" si="124"/>
        <v>0.98115718868143298</v>
      </c>
      <c r="BC49" s="83">
        <f t="shared" ca="1" si="125"/>
        <v>9.6787398943343153</v>
      </c>
      <c r="BD49" s="83">
        <f t="shared" ca="1" si="126"/>
        <v>4.8584618986718215</v>
      </c>
      <c r="BE49" s="83">
        <f t="shared" ca="1" si="127"/>
        <v>1.161479547333981</v>
      </c>
      <c r="BF49" s="83">
        <f t="shared" ca="1" si="128"/>
        <v>1.3674173462945258</v>
      </c>
      <c r="BG49" s="83">
        <f t="shared" ca="1" si="129"/>
        <v>0.7443261431376389</v>
      </c>
      <c r="BH49" s="83">
        <f t="shared" ca="1" si="130"/>
        <v>4.1856979565736374</v>
      </c>
      <c r="BI49" s="83">
        <f t="shared" ca="1" si="131"/>
        <v>4.8851706405390019</v>
      </c>
      <c r="BJ49" s="83">
        <f t="shared" ca="1" si="132"/>
        <v>0.25060969486044404</v>
      </c>
      <c r="BK49" s="83">
        <f t="shared" ca="1" si="133"/>
        <v>0.5074950975938447</v>
      </c>
      <c r="BL49" s="83">
        <f t="shared" ca="1" si="134"/>
        <v>0.19172037020211913</v>
      </c>
      <c r="BM49" s="83">
        <f t="shared" ca="1" si="135"/>
        <v>3.3507555820340138</v>
      </c>
      <c r="BN49" s="83">
        <f t="shared" ca="1" si="136"/>
        <v>7.1977705305871353</v>
      </c>
      <c r="BO49" s="83">
        <f t="shared" ca="1" si="137"/>
        <v>0.65062132319538357</v>
      </c>
      <c r="BP49" s="83">
        <f t="shared" ca="1" si="138"/>
        <v>0.80071448731473271</v>
      </c>
      <c r="BQ49" s="83">
        <f t="shared" ca="1" si="139"/>
        <v>0.68793779896054497</v>
      </c>
      <c r="BR49" s="83">
        <f t="shared" ca="1" si="140"/>
        <v>4.9986681633622174</v>
      </c>
      <c r="BS49" s="83">
        <f t="shared" ca="1" si="141"/>
        <v>6.2039142674110002</v>
      </c>
      <c r="BT49" s="83">
        <f t="shared" ca="1" si="142"/>
        <v>0.58314948227141783</v>
      </c>
      <c r="BU49" s="83">
        <f t="shared" ca="1" si="143"/>
        <v>0.80071448731473271</v>
      </c>
      <c r="BV49" s="83">
        <f t="shared" ca="1" si="144"/>
        <v>0.68793779896054497</v>
      </c>
      <c r="BW49" s="83">
        <f t="shared" ca="1" si="145"/>
        <v>6.9322189254539763</v>
      </c>
      <c r="BX49" s="83">
        <f t="shared" ca="1" si="146"/>
        <v>5.0153784019249503</v>
      </c>
      <c r="BY49" s="83">
        <f t="shared" ca="1" si="147"/>
        <v>0.7132737469104945</v>
      </c>
      <c r="BZ49" s="83">
        <f t="shared" ca="1" si="148"/>
        <v>4.4603500534616716</v>
      </c>
      <c r="CA49" s="83">
        <f t="shared" ca="1" si="149"/>
        <v>3.1629163658132948</v>
      </c>
      <c r="CB49" s="83">
        <f t="shared" ca="1" si="150"/>
        <v>7.7586637771703835</v>
      </c>
      <c r="CC49" s="83">
        <f t="shared" ca="1" si="151"/>
        <v>3.1629163658132948</v>
      </c>
      <c r="CD49" s="83">
        <f t="shared" ca="1" si="152"/>
        <v>4.4148055119777672</v>
      </c>
      <c r="CE49" s="83">
        <f t="shared" ca="1" si="153"/>
        <v>10.597782158922072</v>
      </c>
      <c r="CF49" s="83">
        <f t="shared" ca="1" si="154"/>
        <v>4.4148055119777672</v>
      </c>
      <c r="CG49" s="83">
        <f t="shared" ca="1" si="155"/>
        <v>2.7465209688803394</v>
      </c>
    </row>
    <row r="50" spans="1:85" x14ac:dyDescent="0.25">
      <c r="A50" t="str">
        <f t="shared" ref="A50:E50" si="178">A16</f>
        <v>J. Vartiainen</v>
      </c>
      <c r="B50">
        <f t="shared" si="178"/>
        <v>19</v>
      </c>
      <c r="C50">
        <f t="shared" ca="1" si="178"/>
        <v>92</v>
      </c>
      <c r="D50" t="str">
        <f t="shared" si="178"/>
        <v>CAB</v>
      </c>
      <c r="E50" s="265">
        <f t="shared" si="178"/>
        <v>43628</v>
      </c>
      <c r="F50" s="195">
        <f t="shared" ca="1" si="77"/>
        <v>0.41492631106246303</v>
      </c>
      <c r="G50" s="196">
        <f t="shared" ref="G50:H50" si="179">J16</f>
        <v>0.4</v>
      </c>
      <c r="H50" s="49">
        <f t="shared" si="179"/>
        <v>0</v>
      </c>
      <c r="I50" s="49">
        <f t="shared" si="79"/>
        <v>7</v>
      </c>
      <c r="J50" s="49">
        <f t="shared" si="80"/>
        <v>9</v>
      </c>
      <c r="K50" s="49">
        <f t="shared" si="81"/>
        <v>1</v>
      </c>
      <c r="L50" s="49">
        <f t="shared" si="82"/>
        <v>1</v>
      </c>
      <c r="M50" s="49">
        <f t="shared" si="83"/>
        <v>6</v>
      </c>
      <c r="N50" s="49">
        <f t="shared" si="84"/>
        <v>1</v>
      </c>
      <c r="O50" s="196">
        <f t="shared" si="85"/>
        <v>1.5</v>
      </c>
      <c r="P50" s="196">
        <f t="shared" ca="1" si="86"/>
        <v>2.654390588561105</v>
      </c>
      <c r="Q50" s="196">
        <f t="shared" si="87"/>
        <v>0.32999999999999996</v>
      </c>
      <c r="R50" s="196">
        <f t="shared" si="88"/>
        <v>0.31</v>
      </c>
      <c r="S50" s="196">
        <f t="shared" ca="1" si="89"/>
        <v>0.97238070687246425</v>
      </c>
      <c r="T50" s="83">
        <f t="shared" ca="1" si="90"/>
        <v>1.8310284994632788</v>
      </c>
      <c r="U50" s="83">
        <f t="shared" ca="1" si="91"/>
        <v>2.8256824659875055</v>
      </c>
      <c r="V50" s="83">
        <f t="shared" ca="1" si="92"/>
        <v>1.8310284994632788</v>
      </c>
      <c r="W50" s="83">
        <f t="shared" ca="1" si="93"/>
        <v>3.5523192505418693</v>
      </c>
      <c r="X50" s="83">
        <f t="shared" ca="1" si="94"/>
        <v>6.8843396328330799</v>
      </c>
      <c r="Y50" s="83">
        <f t="shared" ca="1" si="95"/>
        <v>1.7761596252709346</v>
      </c>
      <c r="Z50" s="83">
        <f t="shared" ca="1" si="96"/>
        <v>2.1144728326142728</v>
      </c>
      <c r="AA50" s="83">
        <f t="shared" ca="1" si="97"/>
        <v>2.6022803812109041</v>
      </c>
      <c r="AB50" s="83">
        <f t="shared" ca="1" si="98"/>
        <v>4.9773775545383163</v>
      </c>
      <c r="AC50" s="83">
        <f t="shared" ca="1" si="99"/>
        <v>1.3011401906054521</v>
      </c>
      <c r="AD50" s="83">
        <f t="shared" ca="1" si="100"/>
        <v>3.4204707586407355</v>
      </c>
      <c r="AE50" s="326">
        <f t="shared" ca="1" si="101"/>
        <v>6.3335924622064335</v>
      </c>
      <c r="AF50" s="83">
        <f t="shared" ca="1" si="102"/>
        <v>2.850116607992895</v>
      </c>
      <c r="AG50" s="83">
        <f t="shared" ca="1" si="103"/>
        <v>1.4836847186831243</v>
      </c>
      <c r="AH50" s="326">
        <f t="shared" ca="1" si="104"/>
        <v>0.51999170410585072</v>
      </c>
      <c r="AI50" s="83">
        <f t="shared" ca="1" si="105"/>
        <v>5.1907920831561425</v>
      </c>
      <c r="AJ50" s="83">
        <f t="shared" ca="1" si="106"/>
        <v>4.8741124600458203</v>
      </c>
      <c r="AK50" s="83">
        <f t="shared" ca="1" si="107"/>
        <v>0.1476847186831243</v>
      </c>
      <c r="AL50" s="83">
        <f t="shared" ca="1" si="108"/>
        <v>0.39868981425592687</v>
      </c>
      <c r="AM50" s="83">
        <f t="shared" ca="1" si="109"/>
        <v>1.8587717008649316</v>
      </c>
      <c r="AN50" s="83">
        <f t="shared" ca="1" si="110"/>
        <v>4.0892977419028496</v>
      </c>
      <c r="AO50" s="83">
        <f t="shared" ca="1" si="111"/>
        <v>0.9293858504324658</v>
      </c>
      <c r="AP50" s="83">
        <f t="shared" ca="1" si="112"/>
        <v>8.3868166133944264</v>
      </c>
      <c r="AQ50" s="83">
        <f t="shared" ca="1" si="113"/>
        <v>0.11496415226830035</v>
      </c>
      <c r="AR50" s="83">
        <f t="shared" ca="1" si="114"/>
        <v>1.1241115124200922</v>
      </c>
      <c r="AS50" s="83">
        <f t="shared" ca="1" si="115"/>
        <v>5.7482076134150177E-2</v>
      </c>
      <c r="AT50" s="83">
        <f t="shared" ca="1" si="116"/>
        <v>1.3011401906054521</v>
      </c>
      <c r="AU50" s="83">
        <f t="shared" ca="1" si="117"/>
        <v>2.7537358531332323</v>
      </c>
      <c r="AV50" s="83">
        <f t="shared" ca="1" si="118"/>
        <v>0.65057009530272603</v>
      </c>
      <c r="AW50" s="83">
        <f t="shared" ca="1" si="119"/>
        <v>8.884339632833079</v>
      </c>
      <c r="AX50" s="83">
        <f t="shared" ca="1" si="120"/>
        <v>0.22373792710676915</v>
      </c>
      <c r="AY50" s="83">
        <f t="shared" ca="1" si="121"/>
        <v>1.5372711376910271</v>
      </c>
      <c r="AZ50" s="83">
        <f t="shared" ca="1" si="122"/>
        <v>0.11186896355338458</v>
      </c>
      <c r="BA50" s="83">
        <f t="shared" ca="1" si="123"/>
        <v>2.0033428331544263</v>
      </c>
      <c r="BB50" s="83">
        <f t="shared" ca="1" si="124"/>
        <v>2.3957501922259117</v>
      </c>
      <c r="BC50" s="83">
        <f t="shared" ca="1" si="125"/>
        <v>7.8271032165259431</v>
      </c>
      <c r="BD50" s="83">
        <f t="shared" ca="1" si="126"/>
        <v>0.78617793358860766</v>
      </c>
      <c r="BE50" s="83">
        <f t="shared" ca="1" si="127"/>
        <v>0.21312585151277216</v>
      </c>
      <c r="BF50" s="83">
        <f t="shared" ca="1" si="128"/>
        <v>3.3389047219240435</v>
      </c>
      <c r="BG50" s="83">
        <f t="shared" ca="1" si="129"/>
        <v>1.8174656630679331</v>
      </c>
      <c r="BH50" s="83">
        <f t="shared" ca="1" si="130"/>
        <v>3.3849334001094031</v>
      </c>
      <c r="BI50" s="83">
        <f t="shared" ca="1" si="131"/>
        <v>0.77291283909611153</v>
      </c>
      <c r="BJ50" s="83">
        <f t="shared" ca="1" si="132"/>
        <v>4.5985660907320133E-2</v>
      </c>
      <c r="BK50" s="83">
        <f t="shared" ca="1" si="133"/>
        <v>1.2391811339099543</v>
      </c>
      <c r="BL50" s="83">
        <f t="shared" ca="1" si="134"/>
        <v>0.4681350950326495</v>
      </c>
      <c r="BM50" s="83">
        <f t="shared" ca="1" si="135"/>
        <v>2.7097235880140889</v>
      </c>
      <c r="BN50" s="83">
        <f t="shared" ca="1" si="136"/>
        <v>1.1372607678233404</v>
      </c>
      <c r="BO50" s="83">
        <f t="shared" ca="1" si="137"/>
        <v>0.11938585043246576</v>
      </c>
      <c r="BP50" s="83">
        <f t="shared" ca="1" si="138"/>
        <v>1.9551524557245945</v>
      </c>
      <c r="BQ50" s="83">
        <f t="shared" ca="1" si="139"/>
        <v>1.6797788704112715</v>
      </c>
      <c r="BR50" s="83">
        <f t="shared" ca="1" si="140"/>
        <v>4.0423745329390508</v>
      </c>
      <c r="BS50" s="83">
        <f t="shared" ca="1" si="141"/>
        <v>0.97984831317905219</v>
      </c>
      <c r="BT50" s="83">
        <f t="shared" ca="1" si="142"/>
        <v>0.10700509557280263</v>
      </c>
      <c r="BU50" s="83">
        <f t="shared" ca="1" si="143"/>
        <v>1.9551524557245945</v>
      </c>
      <c r="BV50" s="83">
        <f t="shared" ca="1" si="144"/>
        <v>1.6797788704112715</v>
      </c>
      <c r="BW50" s="83">
        <f t="shared" ca="1" si="145"/>
        <v>5.6060183083176733</v>
      </c>
      <c r="BX50" s="83">
        <f t="shared" ca="1" si="146"/>
        <v>0.79148397138560622</v>
      </c>
      <c r="BY50" s="83">
        <f t="shared" ca="1" si="147"/>
        <v>0.13088226565929578</v>
      </c>
      <c r="BZ50" s="83">
        <f t="shared" ca="1" si="148"/>
        <v>3.6070418909302302</v>
      </c>
      <c r="CA50" s="83">
        <f t="shared" ca="1" si="149"/>
        <v>1.0957409487060346</v>
      </c>
      <c r="CB50" s="83">
        <f t="shared" ca="1" si="150"/>
        <v>3.9107664265700475</v>
      </c>
      <c r="CC50" s="83">
        <f t="shared" ca="1" si="151"/>
        <v>1.0957409487060346</v>
      </c>
      <c r="CD50" s="83">
        <f t="shared" ca="1" si="152"/>
        <v>2.0030627503787684</v>
      </c>
      <c r="CE50" s="83">
        <f t="shared" ca="1" si="153"/>
        <v>6.2106609573484866</v>
      </c>
      <c r="CF50" s="83">
        <f t="shared" ca="1" si="154"/>
        <v>2.0030627503787684</v>
      </c>
      <c r="CG50" s="83">
        <f t="shared" ca="1" si="155"/>
        <v>2.2210849082082698</v>
      </c>
    </row>
    <row r="51" spans="1:85" x14ac:dyDescent="0.25">
      <c r="A51" t="str">
        <f t="shared" ref="A51:E51" si="180">A17</f>
        <v>R. Forsyth</v>
      </c>
      <c r="B51">
        <f t="shared" si="180"/>
        <v>19</v>
      </c>
      <c r="C51">
        <f t="shared" ca="1" si="180"/>
        <v>87</v>
      </c>
      <c r="D51" t="str">
        <f t="shared" si="180"/>
        <v>POT</v>
      </c>
      <c r="E51" s="265">
        <f t="shared" si="180"/>
        <v>43626</v>
      </c>
      <c r="F51" s="195">
        <f t="shared" ca="1" si="77"/>
        <v>0.42114842817984777</v>
      </c>
      <c r="G51" s="196">
        <f t="shared" ref="G51:H51" si="181">J17</f>
        <v>2.1</v>
      </c>
      <c r="H51" s="49">
        <f t="shared" si="181"/>
        <v>0</v>
      </c>
      <c r="I51" s="49">
        <f t="shared" si="79"/>
        <v>7</v>
      </c>
      <c r="J51" s="49">
        <f t="shared" si="80"/>
        <v>9.6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5.3402108814267457</v>
      </c>
      <c r="Q51" s="196">
        <f t="shared" si="87"/>
        <v>0.36</v>
      </c>
      <c r="R51" s="196">
        <f t="shared" si="88"/>
        <v>0.34</v>
      </c>
      <c r="S51" s="196">
        <f t="shared" ca="1" si="89"/>
        <v>2.938475970911</v>
      </c>
      <c r="T51" s="83">
        <f t="shared" ca="1" si="90"/>
        <v>2.6747258368712892</v>
      </c>
      <c r="U51" s="83">
        <f t="shared" ca="1" si="91"/>
        <v>4.0733494334488363</v>
      </c>
      <c r="V51" s="83">
        <f t="shared" ca="1" si="92"/>
        <v>2.6747258368712892</v>
      </c>
      <c r="W51" s="83">
        <f t="shared" ca="1" si="93"/>
        <v>4.050999463717738</v>
      </c>
      <c r="X51" s="83">
        <f t="shared" ca="1" si="94"/>
        <v>7.8507741544917398</v>
      </c>
      <c r="Y51" s="83">
        <f t="shared" ca="1" si="95"/>
        <v>2.025499731858869</v>
      </c>
      <c r="Z51" s="83">
        <f t="shared" ca="1" si="96"/>
        <v>2.4872842487690341</v>
      </c>
      <c r="AA51" s="83">
        <f t="shared" ca="1" si="97"/>
        <v>2.9675926303978777</v>
      </c>
      <c r="AB51" s="83">
        <f t="shared" ca="1" si="98"/>
        <v>5.676109713697528</v>
      </c>
      <c r="AC51" s="83">
        <f t="shared" ca="1" si="99"/>
        <v>1.4837963151989388</v>
      </c>
      <c r="AD51" s="83">
        <f t="shared" ca="1" si="100"/>
        <v>4.0235480494793201</v>
      </c>
      <c r="AE51" s="326">
        <f t="shared" ca="1" si="101"/>
        <v>7.2227122221324009</v>
      </c>
      <c r="AF51" s="83">
        <f t="shared" ca="1" si="102"/>
        <v>3.2502204999595801</v>
      </c>
      <c r="AG51" s="83">
        <f t="shared" ca="1" si="103"/>
        <v>1.7452792838001205</v>
      </c>
      <c r="AH51" s="326">
        <f t="shared" ca="1" si="104"/>
        <v>1.676255202841143</v>
      </c>
      <c r="AI51" s="83">
        <f t="shared" ca="1" si="105"/>
        <v>5.9194837124867714</v>
      </c>
      <c r="AJ51" s="83">
        <f t="shared" ca="1" si="106"/>
        <v>5.5583481013801519</v>
      </c>
      <c r="AK51" s="83">
        <f t="shared" ca="1" si="107"/>
        <v>0.47607928380012066</v>
      </c>
      <c r="AL51" s="83">
        <f t="shared" ca="1" si="108"/>
        <v>0.89302295649362107</v>
      </c>
      <c r="AM51" s="83">
        <f t="shared" ca="1" si="109"/>
        <v>2.1197090217127701</v>
      </c>
      <c r="AN51" s="83">
        <f t="shared" ca="1" si="110"/>
        <v>4.6633598477680929</v>
      </c>
      <c r="AO51" s="83">
        <f t="shared" ca="1" si="111"/>
        <v>1.059854510856385</v>
      </c>
      <c r="AP51" s="83">
        <f t="shared" ca="1" si="112"/>
        <v>9.865530801840201</v>
      </c>
      <c r="AQ51" s="83">
        <f t="shared" ca="1" si="113"/>
        <v>0.63060064008392624</v>
      </c>
      <c r="AR51" s="83">
        <f t="shared" ca="1" si="114"/>
        <v>1.7672768272660795</v>
      </c>
      <c r="AS51" s="83">
        <f t="shared" ca="1" si="115"/>
        <v>0.31530032004196312</v>
      </c>
      <c r="AT51" s="83">
        <f t="shared" ca="1" si="116"/>
        <v>1.4837963151989388</v>
      </c>
      <c r="AU51" s="83">
        <f t="shared" ca="1" si="117"/>
        <v>3.1403096617966959</v>
      </c>
      <c r="AV51" s="83">
        <f t="shared" ca="1" si="118"/>
        <v>0.74189815759946942</v>
      </c>
      <c r="AW51" s="83">
        <f t="shared" ca="1" si="119"/>
        <v>10.450774154491739</v>
      </c>
      <c r="AX51" s="83">
        <f t="shared" ca="1" si="120"/>
        <v>1.2272458610864101</v>
      </c>
      <c r="AY51" s="83">
        <f t="shared" ca="1" si="121"/>
        <v>3.0927765591249488</v>
      </c>
      <c r="AZ51" s="83">
        <f t="shared" ca="1" si="122"/>
        <v>0.61362293054320505</v>
      </c>
      <c r="BA51" s="83">
        <f t="shared" ca="1" si="123"/>
        <v>2.2845752789570963</v>
      </c>
      <c r="BB51" s="83">
        <f t="shared" ca="1" si="124"/>
        <v>2.7320694057631254</v>
      </c>
      <c r="BC51" s="83">
        <f t="shared" ca="1" si="125"/>
        <v>9.207132030107223</v>
      </c>
      <c r="BD51" s="83">
        <f t="shared" ca="1" si="126"/>
        <v>3.1643382233431567</v>
      </c>
      <c r="BE51" s="83">
        <f t="shared" ca="1" si="127"/>
        <v>1.1690365712325093</v>
      </c>
      <c r="BF51" s="83">
        <f t="shared" ca="1" si="128"/>
        <v>3.8076254649284937</v>
      </c>
      <c r="BG51" s="83">
        <f t="shared" ca="1" si="129"/>
        <v>2.0726043767858195</v>
      </c>
      <c r="BH51" s="83">
        <f t="shared" ca="1" si="130"/>
        <v>3.9817449528613529</v>
      </c>
      <c r="BI51" s="83">
        <f t="shared" ca="1" si="131"/>
        <v>2.893576611025781</v>
      </c>
      <c r="BJ51" s="83">
        <f t="shared" ca="1" si="132"/>
        <v>0.25224025603357048</v>
      </c>
      <c r="BK51" s="83">
        <f t="shared" ca="1" si="133"/>
        <v>1.413139347808513</v>
      </c>
      <c r="BL51" s="83">
        <f t="shared" ca="1" si="134"/>
        <v>0.53385264250543829</v>
      </c>
      <c r="BM51" s="83">
        <f t="shared" ca="1" si="135"/>
        <v>3.1874861171199806</v>
      </c>
      <c r="BN51" s="83">
        <f t="shared" ca="1" si="136"/>
        <v>4.2380955626763779</v>
      </c>
      <c r="BO51" s="83">
        <f t="shared" ca="1" si="137"/>
        <v>0.65485451085638491</v>
      </c>
      <c r="BP51" s="83">
        <f t="shared" ca="1" si="138"/>
        <v>2.2296198598756538</v>
      </c>
      <c r="BQ51" s="83">
        <f t="shared" ca="1" si="139"/>
        <v>1.9155888936959844</v>
      </c>
      <c r="BR51" s="83">
        <f t="shared" ca="1" si="140"/>
        <v>4.7551022402937413</v>
      </c>
      <c r="BS51" s="83">
        <f t="shared" ca="1" si="141"/>
        <v>3.6466577631768482</v>
      </c>
      <c r="BT51" s="83">
        <f t="shared" ca="1" si="142"/>
        <v>0.58694367269350045</v>
      </c>
      <c r="BU51" s="83">
        <f t="shared" ca="1" si="143"/>
        <v>2.2296198598756538</v>
      </c>
      <c r="BV51" s="83">
        <f t="shared" ca="1" si="144"/>
        <v>1.9155888936959844</v>
      </c>
      <c r="BW51" s="83">
        <f t="shared" ca="1" si="145"/>
        <v>6.5944384914842873</v>
      </c>
      <c r="BX51" s="83">
        <f t="shared" ca="1" si="146"/>
        <v>2.9374428682701073</v>
      </c>
      <c r="BY51" s="83">
        <f t="shared" ca="1" si="147"/>
        <v>0.7179145748647775</v>
      </c>
      <c r="BZ51" s="83">
        <f t="shared" ca="1" si="148"/>
        <v>4.2430143067236461</v>
      </c>
      <c r="CA51" s="83">
        <f t="shared" ca="1" si="149"/>
        <v>2.4932533344901966</v>
      </c>
      <c r="CB51" s="83">
        <f t="shared" ca="1" si="150"/>
        <v>6.6279716979576992</v>
      </c>
      <c r="CC51" s="83">
        <f t="shared" ca="1" si="151"/>
        <v>2.4932533344901966</v>
      </c>
      <c r="CD51" s="83">
        <f t="shared" ca="1" si="152"/>
        <v>3.2505337069215932</v>
      </c>
      <c r="CE51" s="83">
        <f t="shared" ca="1" si="153"/>
        <v>8.6407098174991912</v>
      </c>
      <c r="CF51" s="83">
        <f t="shared" ca="1" si="154"/>
        <v>3.2505337069215932</v>
      </c>
      <c r="CG51" s="83">
        <f t="shared" ca="1" si="155"/>
        <v>2.6126935386229349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45</v>
      </c>
      <c r="D52" t="str">
        <f t="shared" si="182"/>
        <v>CAB</v>
      </c>
      <c r="E52" s="265">
        <f t="shared" si="182"/>
        <v>43650</v>
      </c>
      <c r="F52" s="195">
        <f t="shared" ca="1" si="77"/>
        <v>0.34254750934422762</v>
      </c>
      <c r="G52" s="196">
        <f t="shared" ref="G52:H52" si="183">J18</f>
        <v>1.8</v>
      </c>
      <c r="H52" s="49">
        <f t="shared" si="183"/>
        <v>0</v>
      </c>
      <c r="I52" s="49">
        <f t="shared" si="79"/>
        <v>3</v>
      </c>
      <c r="J52" s="49">
        <f t="shared" si="80"/>
        <v>9.4166666666666661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0.53923297735515163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3.7733760420299607</v>
      </c>
      <c r="T52" s="83">
        <f t="shared" ca="1" si="90"/>
        <v>1.424181171597759</v>
      </c>
      <c r="U52" s="83">
        <f t="shared" ca="1" si="91"/>
        <v>2.156637906681222</v>
      </c>
      <c r="V52" s="83">
        <f t="shared" ca="1" si="92"/>
        <v>1.424181171597759</v>
      </c>
      <c r="W52" s="83">
        <f t="shared" ca="1" si="93"/>
        <v>1.9003819983326962</v>
      </c>
      <c r="X52" s="83">
        <f t="shared" ca="1" si="94"/>
        <v>3.6829108494819693</v>
      </c>
      <c r="Y52" s="83">
        <f t="shared" ca="1" si="95"/>
        <v>0.95019099916634808</v>
      </c>
      <c r="Z52" s="83">
        <f t="shared" ca="1" si="96"/>
        <v>2.4036994488433749</v>
      </c>
      <c r="AA52" s="83">
        <f t="shared" ca="1" si="97"/>
        <v>1.3921403011041844</v>
      </c>
      <c r="AB52" s="83">
        <f t="shared" ca="1" si="98"/>
        <v>2.6627445441754638</v>
      </c>
      <c r="AC52" s="83">
        <f t="shared" ca="1" si="99"/>
        <v>0.6960701505520922</v>
      </c>
      <c r="AD52" s="83">
        <f t="shared" ca="1" si="100"/>
        <v>3.8883373437172244</v>
      </c>
      <c r="AE52" s="326">
        <f t="shared" ca="1" si="101"/>
        <v>3.3882779815234119</v>
      </c>
      <c r="AF52" s="83">
        <f t="shared" ca="1" si="102"/>
        <v>1.5247250916855353</v>
      </c>
      <c r="AG52" s="83">
        <f t="shared" ca="1" si="103"/>
        <v>1.6866294451968222</v>
      </c>
      <c r="AH52" s="326">
        <f t="shared" ca="1" si="104"/>
        <v>5.6935515794953977</v>
      </c>
      <c r="AI52" s="83">
        <f t="shared" ca="1" si="105"/>
        <v>2.7769147805094048</v>
      </c>
      <c r="AJ52" s="83">
        <f t="shared" ca="1" si="106"/>
        <v>2.6075008814332343</v>
      </c>
      <c r="AK52" s="83">
        <f t="shared" ca="1" si="107"/>
        <v>0.6150461118634889</v>
      </c>
      <c r="AL52" s="83">
        <f t="shared" ca="1" si="108"/>
        <v>0.84467832465080706</v>
      </c>
      <c r="AM52" s="83">
        <f t="shared" ca="1" si="109"/>
        <v>0.99438592936013182</v>
      </c>
      <c r="AN52" s="83">
        <f t="shared" ca="1" si="110"/>
        <v>2.1876490445922898</v>
      </c>
      <c r="AO52" s="83">
        <f t="shared" ca="1" si="111"/>
        <v>0.49719296468006591</v>
      </c>
      <c r="AP52" s="83">
        <f t="shared" ca="1" si="112"/>
        <v>9.5340011752443115</v>
      </c>
      <c r="AQ52" s="83">
        <f t="shared" ca="1" si="113"/>
        <v>0.86877841043265602</v>
      </c>
      <c r="AR52" s="83">
        <f t="shared" ca="1" si="114"/>
        <v>1.4390928788982169</v>
      </c>
      <c r="AS52" s="83">
        <f t="shared" ca="1" si="115"/>
        <v>0.43438920521632801</v>
      </c>
      <c r="AT52" s="83">
        <f t="shared" ca="1" si="116"/>
        <v>0.6960701505520922</v>
      </c>
      <c r="AU52" s="83">
        <f t="shared" ca="1" si="117"/>
        <v>1.4731643397927878</v>
      </c>
      <c r="AV52" s="83">
        <f t="shared" ca="1" si="118"/>
        <v>0.3480350752760461</v>
      </c>
      <c r="AW52" s="83">
        <f t="shared" ca="1" si="119"/>
        <v>10.099577516148635</v>
      </c>
      <c r="AX52" s="83">
        <f t="shared" ca="1" si="120"/>
        <v>1.6907764449189382</v>
      </c>
      <c r="AY52" s="83">
        <f t="shared" ca="1" si="121"/>
        <v>3.0522838780645651</v>
      </c>
      <c r="AZ52" s="83">
        <f t="shared" ca="1" si="122"/>
        <v>0.8453882224594691</v>
      </c>
      <c r="BA52" s="83">
        <f t="shared" ca="1" si="123"/>
        <v>1.071727057199253</v>
      </c>
      <c r="BB52" s="83">
        <f t="shared" ca="1" si="124"/>
        <v>1.2816529756197252</v>
      </c>
      <c r="BC52" s="83">
        <f t="shared" ca="1" si="125"/>
        <v>8.8977277917269468</v>
      </c>
      <c r="BD52" s="83">
        <f t="shared" ca="1" si="126"/>
        <v>7.6631077451894694</v>
      </c>
      <c r="BE52" s="83">
        <f t="shared" ca="1" si="127"/>
        <v>1.6105815147251545</v>
      </c>
      <c r="BF52" s="83">
        <f t="shared" ca="1" si="128"/>
        <v>1.786211761998755</v>
      </c>
      <c r="BG52" s="83">
        <f t="shared" ca="1" si="129"/>
        <v>0.97228846426324</v>
      </c>
      <c r="BH52" s="83">
        <f t="shared" ca="1" si="130"/>
        <v>3.8479390336526298</v>
      </c>
      <c r="BI52" s="83">
        <f t="shared" ca="1" si="131"/>
        <v>7.8598640824472419</v>
      </c>
      <c r="BJ52" s="83">
        <f t="shared" ca="1" si="132"/>
        <v>0.34751136417306239</v>
      </c>
      <c r="BK52" s="83">
        <f t="shared" ca="1" si="133"/>
        <v>0.66292395290675443</v>
      </c>
      <c r="BL52" s="83">
        <f t="shared" ca="1" si="134"/>
        <v>0.25043793776477391</v>
      </c>
      <c r="BM52" s="83">
        <f t="shared" ca="1" si="135"/>
        <v>3.0803711424253337</v>
      </c>
      <c r="BN52" s="83">
        <f t="shared" ca="1" si="136"/>
        <v>11.594223352433811</v>
      </c>
      <c r="BO52" s="83">
        <f t="shared" ca="1" si="137"/>
        <v>0.90219296468006582</v>
      </c>
      <c r="BP52" s="83">
        <f t="shared" ca="1" si="138"/>
        <v>1.0459466812528793</v>
      </c>
      <c r="BQ52" s="83">
        <f t="shared" ca="1" si="139"/>
        <v>0.89863024727360052</v>
      </c>
      <c r="BR52" s="83">
        <f t="shared" ca="1" si="140"/>
        <v>4.5953077698476292</v>
      </c>
      <c r="BS52" s="83">
        <f t="shared" ca="1" si="141"/>
        <v>9.9966652212260225</v>
      </c>
      <c r="BT52" s="83">
        <f t="shared" ca="1" si="142"/>
        <v>0.80863221278731823</v>
      </c>
      <c r="BU52" s="83">
        <f t="shared" ca="1" si="143"/>
        <v>1.0459466812528793</v>
      </c>
      <c r="BV52" s="83">
        <f t="shared" ca="1" si="144"/>
        <v>0.89863024727360052</v>
      </c>
      <c r="BW52" s="83">
        <f t="shared" ca="1" si="145"/>
        <v>6.372833412689789</v>
      </c>
      <c r="BX52" s="83">
        <f t="shared" ca="1" si="146"/>
        <v>8.0872052102863616</v>
      </c>
      <c r="BY52" s="83">
        <f t="shared" ca="1" si="147"/>
        <v>0.98907080572333139</v>
      </c>
      <c r="BZ52" s="83">
        <f t="shared" ca="1" si="148"/>
        <v>4.1004284715563459</v>
      </c>
      <c r="CA52" s="83">
        <f t="shared" ca="1" si="149"/>
        <v>3.5327965525801055</v>
      </c>
      <c r="CB52" s="83">
        <f t="shared" ca="1" si="150"/>
        <v>5.7759576165166973</v>
      </c>
      <c r="CC52" s="83">
        <f t="shared" ca="1" si="151"/>
        <v>3.5327965525801055</v>
      </c>
      <c r="CD52" s="83">
        <f t="shared" ca="1" si="152"/>
        <v>4.2173911067977672</v>
      </c>
      <c r="CE52" s="83">
        <f t="shared" ca="1" si="153"/>
        <v>6.148904952940816</v>
      </c>
      <c r="CF52" s="83">
        <f t="shared" ca="1" si="154"/>
        <v>4.2173911067977672</v>
      </c>
      <c r="CG52" s="83">
        <f t="shared" ca="1" si="155"/>
        <v>2.5248943790371587</v>
      </c>
    </row>
    <row r="53" spans="1:85" x14ac:dyDescent="0.25">
      <c r="A53" t="str">
        <f t="shared" ref="A53:E53" si="184">A19</f>
        <v>V. Godoi</v>
      </c>
      <c r="B53">
        <f t="shared" si="184"/>
        <v>26</v>
      </c>
      <c r="C53">
        <f t="shared" ca="1" si="184"/>
        <v>51</v>
      </c>
      <c r="D53">
        <f t="shared" si="184"/>
        <v>0</v>
      </c>
      <c r="E53" s="265">
        <f t="shared" si="184"/>
        <v>43639</v>
      </c>
      <c r="F53" s="195">
        <f t="shared" ca="1" si="77"/>
        <v>0.37970923784073518</v>
      </c>
      <c r="G53" s="196">
        <f t="shared" ref="G53:H53" si="185">J19</f>
        <v>4.5999999999999996</v>
      </c>
      <c r="H53" s="49">
        <f t="shared" si="185"/>
        <v>0</v>
      </c>
      <c r="I53" s="49">
        <f t="shared" si="79"/>
        <v>3</v>
      </c>
      <c r="J53" s="49">
        <f t="shared" si="80"/>
        <v>9.7692307692307701</v>
      </c>
      <c r="K53" s="49">
        <f t="shared" si="81"/>
        <v>9</v>
      </c>
      <c r="L53" s="49">
        <f t="shared" si="82"/>
        <v>5</v>
      </c>
      <c r="M53" s="49">
        <f t="shared" si="83"/>
        <v>5</v>
      </c>
      <c r="N53" s="49">
        <f t="shared" si="84"/>
        <v>1</v>
      </c>
      <c r="O53" s="196">
        <f t="shared" si="85"/>
        <v>2</v>
      </c>
      <c r="P53" s="196">
        <f t="shared" ca="1" si="86"/>
        <v>4.0420838263163965</v>
      </c>
      <c r="Q53" s="196">
        <f t="shared" si="87"/>
        <v>0.27999999999999997</v>
      </c>
      <c r="R53" s="196">
        <f t="shared" si="88"/>
        <v>0.15000000000000002</v>
      </c>
      <c r="S53" s="196">
        <f t="shared" ca="1" si="89"/>
        <v>2.3529724266332184</v>
      </c>
      <c r="T53" s="83">
        <f t="shared" ca="1" si="90"/>
        <v>1.9309362807123143</v>
      </c>
      <c r="U53" s="83">
        <f t="shared" ca="1" si="91"/>
        <v>2.9060317736536057</v>
      </c>
      <c r="V53" s="83">
        <f t="shared" ca="1" si="92"/>
        <v>1.9309362807123143</v>
      </c>
      <c r="W53" s="83">
        <f t="shared" ca="1" si="93"/>
        <v>2.1999073549227424</v>
      </c>
      <c r="X53" s="83">
        <f t="shared" ca="1" si="94"/>
        <v>4.2633863467495008</v>
      </c>
      <c r="Y53" s="83">
        <f t="shared" ca="1" si="95"/>
        <v>1.0999536774613712</v>
      </c>
      <c r="Z53" s="83">
        <f t="shared" ca="1" si="96"/>
        <v>2.6257628736033043</v>
      </c>
      <c r="AA53" s="83">
        <f t="shared" ca="1" si="97"/>
        <v>1.6115600390713114</v>
      </c>
      <c r="AB53" s="83">
        <f t="shared" ca="1" si="98"/>
        <v>3.0824283286998888</v>
      </c>
      <c r="AC53" s="83">
        <f t="shared" ca="1" si="99"/>
        <v>0.8057800195356557</v>
      </c>
      <c r="AD53" s="83">
        <f t="shared" ca="1" si="100"/>
        <v>4.2475575896524047</v>
      </c>
      <c r="AE53" s="326">
        <f t="shared" ca="1" si="101"/>
        <v>3.9223154390095409</v>
      </c>
      <c r="AF53" s="83">
        <f t="shared" ca="1" si="102"/>
        <v>1.7650419475542933</v>
      </c>
      <c r="AG53" s="83">
        <f t="shared" ca="1" si="103"/>
        <v>1.8424470583687054</v>
      </c>
      <c r="AH53" s="326">
        <f t="shared" ca="1" si="104"/>
        <v>6.0348711718887058</v>
      </c>
      <c r="AI53" s="83">
        <f t="shared" ca="1" si="105"/>
        <v>3.2145933054491236</v>
      </c>
      <c r="AJ53" s="83">
        <f t="shared" ca="1" si="106"/>
        <v>3.0184775334986464</v>
      </c>
      <c r="AK53" s="83">
        <f t="shared" ca="1" si="107"/>
        <v>0.37798551990716667</v>
      </c>
      <c r="AL53" s="83">
        <f t="shared" ca="1" si="108"/>
        <v>0.9398552678638562</v>
      </c>
      <c r="AM53" s="83">
        <f t="shared" ca="1" si="109"/>
        <v>1.1511143136223654</v>
      </c>
      <c r="AN53" s="83">
        <f t="shared" ca="1" si="110"/>
        <v>2.5324514899692034</v>
      </c>
      <c r="AO53" s="83">
        <f t="shared" ca="1" si="111"/>
        <v>0.57555715681118269</v>
      </c>
      <c r="AP53" s="83">
        <f t="shared" ca="1" si="112"/>
        <v>10.414790557485375</v>
      </c>
      <c r="AQ53" s="83">
        <f t="shared" ca="1" si="113"/>
        <v>0.8142402250774351</v>
      </c>
      <c r="AR53" s="83">
        <f t="shared" ca="1" si="114"/>
        <v>1.8351721995976038</v>
      </c>
      <c r="AS53" s="83">
        <f t="shared" ca="1" si="115"/>
        <v>0.40712011253871755</v>
      </c>
      <c r="AT53" s="83">
        <f t="shared" ca="1" si="116"/>
        <v>0.8057800195356557</v>
      </c>
      <c r="AU53" s="83">
        <f t="shared" ca="1" si="117"/>
        <v>1.7053545386998004</v>
      </c>
      <c r="AV53" s="83">
        <f t="shared" ca="1" si="118"/>
        <v>0.40289000976782785</v>
      </c>
      <c r="AW53" s="83">
        <f t="shared" ca="1" si="119"/>
        <v>11.032617115980271</v>
      </c>
      <c r="AX53" s="83">
        <f t="shared" ca="1" si="120"/>
        <v>1.5846367457276238</v>
      </c>
      <c r="AY53" s="83">
        <f t="shared" ca="1" si="121"/>
        <v>3.451125877058975</v>
      </c>
      <c r="AZ53" s="83">
        <f t="shared" ca="1" si="122"/>
        <v>0.7923183728638119</v>
      </c>
      <c r="BA53" s="83">
        <f t="shared" ca="1" si="123"/>
        <v>1.2406454269041047</v>
      </c>
      <c r="BB53" s="83">
        <f t="shared" ca="1" si="124"/>
        <v>1.4836584486688262</v>
      </c>
      <c r="BC53" s="83">
        <f t="shared" ca="1" si="125"/>
        <v>9.7197356791786191</v>
      </c>
      <c r="BD53" s="83">
        <f t="shared" ca="1" si="126"/>
        <v>7.864150462260306</v>
      </c>
      <c r="BE53" s="83">
        <f t="shared" ca="1" si="127"/>
        <v>1.5094761095666296</v>
      </c>
      <c r="BF53" s="83">
        <f t="shared" ca="1" si="128"/>
        <v>2.067742378173508</v>
      </c>
      <c r="BG53" s="83">
        <f t="shared" ca="1" si="129"/>
        <v>1.1255339955418682</v>
      </c>
      <c r="BH53" s="83">
        <f t="shared" ca="1" si="130"/>
        <v>4.2034271211884828</v>
      </c>
      <c r="BI53" s="83">
        <f t="shared" ca="1" si="131"/>
        <v>8.1661996670590646</v>
      </c>
      <c r="BJ53" s="83">
        <f t="shared" ca="1" si="132"/>
        <v>0.32569609003097405</v>
      </c>
      <c r="BK53" s="83">
        <f t="shared" ca="1" si="133"/>
        <v>0.76740954241491011</v>
      </c>
      <c r="BL53" s="83">
        <f t="shared" ca="1" si="134"/>
        <v>0.28991027157896609</v>
      </c>
      <c r="BM53" s="83">
        <f t="shared" ca="1" si="135"/>
        <v>3.3649482203739827</v>
      </c>
      <c r="BN53" s="83">
        <f t="shared" ca="1" si="136"/>
        <v>12.054714841919857</v>
      </c>
      <c r="BO53" s="83">
        <f t="shared" ca="1" si="137"/>
        <v>0.84555715681118271</v>
      </c>
      <c r="BP53" s="83">
        <f t="shared" ca="1" si="138"/>
        <v>1.2108017224768581</v>
      </c>
      <c r="BQ53" s="83">
        <f t="shared" ca="1" si="139"/>
        <v>1.0402662686068782</v>
      </c>
      <c r="BR53" s="83">
        <f t="shared" ca="1" si="140"/>
        <v>5.0198407877710238</v>
      </c>
      <c r="BS53" s="83">
        <f t="shared" ca="1" si="141"/>
        <v>10.395832072198447</v>
      </c>
      <c r="BT53" s="83">
        <f t="shared" ca="1" si="142"/>
        <v>0.7578697479566896</v>
      </c>
      <c r="BU53" s="83">
        <f t="shared" ca="1" si="143"/>
        <v>1.2108017224768581</v>
      </c>
      <c r="BV53" s="83">
        <f t="shared" ca="1" si="144"/>
        <v>1.0402662686068782</v>
      </c>
      <c r="BW53" s="83">
        <f t="shared" ca="1" si="145"/>
        <v>6.961581400183551</v>
      </c>
      <c r="BX53" s="83">
        <f t="shared" ca="1" si="146"/>
        <v>8.4137307803408028</v>
      </c>
      <c r="BY53" s="83">
        <f t="shared" ca="1" si="147"/>
        <v>0.9269811793189261</v>
      </c>
      <c r="BZ53" s="83">
        <f t="shared" ca="1" si="148"/>
        <v>4.4792425490879904</v>
      </c>
      <c r="CA53" s="83">
        <f t="shared" ca="1" si="149"/>
        <v>3.8392242866564898</v>
      </c>
      <c r="CB53" s="83">
        <f t="shared" ca="1" si="150"/>
        <v>7.0525730264399371</v>
      </c>
      <c r="CC53" s="83">
        <f t="shared" ca="1" si="151"/>
        <v>3.8392242866564898</v>
      </c>
      <c r="CD53" s="83">
        <f t="shared" ca="1" si="152"/>
        <v>4.9473652921863485</v>
      </c>
      <c r="CE53" s="83">
        <f t="shared" ca="1" si="153"/>
        <v>8.5745759087000657</v>
      </c>
      <c r="CF53" s="83">
        <f t="shared" ca="1" si="154"/>
        <v>4.9473652921863485</v>
      </c>
      <c r="CG53" s="83">
        <f t="shared" ca="1" si="155"/>
        <v>2.7581542789950677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32</v>
      </c>
      <c r="D54" t="str">
        <f t="shared" si="186"/>
        <v>CAB</v>
      </c>
      <c r="E54" s="265">
        <f t="shared" si="186"/>
        <v>43626</v>
      </c>
      <c r="F54" s="195">
        <f t="shared" ca="1" si="77"/>
        <v>0.42114842817984777</v>
      </c>
      <c r="G54" s="196">
        <f t="shared" ref="G54:H54" si="187">J20</f>
        <v>1.2</v>
      </c>
      <c r="H54" s="49">
        <f t="shared" si="187"/>
        <v>0</v>
      </c>
      <c r="I54" s="49">
        <f t="shared" si="79"/>
        <v>6</v>
      </c>
      <c r="J54" s="49">
        <f t="shared" si="80"/>
        <v>8.25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7.9240587646311322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8.6144252393292735</v>
      </c>
      <c r="T54" s="83">
        <f t="shared" ca="1" si="90"/>
        <v>2.1158295482004426</v>
      </c>
      <c r="U54" s="83">
        <f t="shared" ca="1" si="91"/>
        <v>3.2299999389768281</v>
      </c>
      <c r="V54" s="83">
        <f t="shared" ca="1" si="92"/>
        <v>2.1158295482004426</v>
      </c>
      <c r="W54" s="83">
        <f t="shared" ca="1" si="93"/>
        <v>3.3677892862215675</v>
      </c>
      <c r="X54" s="83">
        <f t="shared" ca="1" si="94"/>
        <v>6.5267234229100142</v>
      </c>
      <c r="Y54" s="83">
        <f t="shared" ca="1" si="95"/>
        <v>1.6838946431107837</v>
      </c>
      <c r="Z54" s="83">
        <f t="shared" ca="1" si="96"/>
        <v>2.088860174652583</v>
      </c>
      <c r="AA54" s="83">
        <f t="shared" ca="1" si="97"/>
        <v>2.4671014538599856</v>
      </c>
      <c r="AB54" s="83">
        <f t="shared" ca="1" si="98"/>
        <v>4.7188210347639403</v>
      </c>
      <c r="AC54" s="83">
        <f t="shared" ca="1" si="99"/>
        <v>1.2335507269299928</v>
      </c>
      <c r="AD54" s="83">
        <f t="shared" ca="1" si="100"/>
        <v>3.379038517820355</v>
      </c>
      <c r="AE54" s="326">
        <f t="shared" ca="1" si="101"/>
        <v>6.0045855490772135</v>
      </c>
      <c r="AF54" s="83">
        <f t="shared" ca="1" si="102"/>
        <v>2.7020634970847457</v>
      </c>
      <c r="AG54" s="83">
        <f t="shared" ca="1" si="103"/>
        <v>1.4657128116259723</v>
      </c>
      <c r="AH54" s="326">
        <f t="shared" ca="1" si="104"/>
        <v>1.4857133726710883</v>
      </c>
      <c r="AI54" s="83">
        <f t="shared" ca="1" si="105"/>
        <v>4.9211494608741511</v>
      </c>
      <c r="AJ54" s="83">
        <f t="shared" ca="1" si="106"/>
        <v>4.6209201834202895</v>
      </c>
      <c r="AK54" s="83">
        <f t="shared" ca="1" si="107"/>
        <v>1.4239628116259724</v>
      </c>
      <c r="AL54" s="83">
        <f t="shared" ca="1" si="108"/>
        <v>0.69169634579808403</v>
      </c>
      <c r="AM54" s="83">
        <f t="shared" ca="1" si="109"/>
        <v>1.7622153241857039</v>
      </c>
      <c r="AN54" s="83">
        <f t="shared" ca="1" si="110"/>
        <v>3.8768737132085485</v>
      </c>
      <c r="AO54" s="83">
        <f t="shared" ca="1" si="111"/>
        <v>0.88110766209285196</v>
      </c>
      <c r="AP54" s="83">
        <f t="shared" ca="1" si="112"/>
        <v>8.2852269112270527</v>
      </c>
      <c r="AQ54" s="83">
        <f t="shared" ca="1" si="113"/>
        <v>0.45847404497830185</v>
      </c>
      <c r="AR54" s="83">
        <f t="shared" ca="1" si="114"/>
        <v>1.5523299629126341</v>
      </c>
      <c r="AS54" s="83">
        <f t="shared" ca="1" si="115"/>
        <v>0.22923702248915093</v>
      </c>
      <c r="AT54" s="83">
        <f t="shared" ca="1" si="116"/>
        <v>1.2335507269299928</v>
      </c>
      <c r="AU54" s="83">
        <f t="shared" ca="1" si="117"/>
        <v>2.6106893691640058</v>
      </c>
      <c r="AV54" s="83">
        <f t="shared" ca="1" si="118"/>
        <v>0.6167753634649964</v>
      </c>
      <c r="AW54" s="83">
        <f t="shared" ca="1" si="119"/>
        <v>8.7767234229100133</v>
      </c>
      <c r="AX54" s="83">
        <f t="shared" ca="1" si="120"/>
        <v>0.89226102599623358</v>
      </c>
      <c r="AY54" s="83">
        <f t="shared" ca="1" si="121"/>
        <v>2.5732246060234178</v>
      </c>
      <c r="AZ54" s="83">
        <f t="shared" ca="1" si="122"/>
        <v>0.44613051299811679</v>
      </c>
      <c r="BA54" s="83">
        <f t="shared" ca="1" si="123"/>
        <v>1.8992765160668139</v>
      </c>
      <c r="BB54" s="83">
        <f t="shared" ca="1" si="124"/>
        <v>2.2712997511726849</v>
      </c>
      <c r="BC54" s="83">
        <f t="shared" ca="1" si="125"/>
        <v>7.732293335583722</v>
      </c>
      <c r="BD54" s="83">
        <f t="shared" ca="1" si="126"/>
        <v>2.5612571229670023</v>
      </c>
      <c r="BE54" s="83">
        <f t="shared" ca="1" si="127"/>
        <v>0.84994034492131343</v>
      </c>
      <c r="BF54" s="83">
        <f t="shared" ca="1" si="128"/>
        <v>3.1654608601113567</v>
      </c>
      <c r="BG54" s="83">
        <f t="shared" ca="1" si="129"/>
        <v>1.7230549836482438</v>
      </c>
      <c r="BH54" s="83">
        <f t="shared" ca="1" si="130"/>
        <v>3.3439316241287149</v>
      </c>
      <c r="BI54" s="83">
        <f t="shared" ca="1" si="131"/>
        <v>2.4093562716233525</v>
      </c>
      <c r="BJ54" s="83">
        <f t="shared" ca="1" si="132"/>
        <v>0.18338961799132072</v>
      </c>
      <c r="BK54" s="83">
        <f t="shared" ca="1" si="133"/>
        <v>1.1748102161238025</v>
      </c>
      <c r="BL54" s="83">
        <f t="shared" ca="1" si="134"/>
        <v>0.44381719275788101</v>
      </c>
      <c r="BM54" s="83">
        <f t="shared" ca="1" si="135"/>
        <v>2.6769006439875538</v>
      </c>
      <c r="BN54" s="83">
        <f t="shared" ca="1" si="136"/>
        <v>3.5353663218622779</v>
      </c>
      <c r="BO54" s="83">
        <f t="shared" ca="1" si="137"/>
        <v>0.47610766209285194</v>
      </c>
      <c r="BP54" s="83">
        <f t="shared" ca="1" si="138"/>
        <v>1.8535894521064438</v>
      </c>
      <c r="BQ54" s="83">
        <f t="shared" ca="1" si="139"/>
        <v>1.5925205151900435</v>
      </c>
      <c r="BR54" s="83">
        <f t="shared" ca="1" si="140"/>
        <v>3.9934091574240562</v>
      </c>
      <c r="BS54" s="83">
        <f t="shared" ca="1" si="141"/>
        <v>3.0436095525842957</v>
      </c>
      <c r="BT54" s="83">
        <f t="shared" ca="1" si="142"/>
        <v>0.42673353417211168</v>
      </c>
      <c r="BU54" s="83">
        <f t="shared" ca="1" si="143"/>
        <v>1.8535894521064438</v>
      </c>
      <c r="BV54" s="83">
        <f t="shared" ca="1" si="144"/>
        <v>1.5925205151900435</v>
      </c>
      <c r="BW54" s="83">
        <f t="shared" ca="1" si="145"/>
        <v>5.5381124798562187</v>
      </c>
      <c r="BX54" s="83">
        <f t="shared" ca="1" si="146"/>
        <v>2.4544174635044627</v>
      </c>
      <c r="BY54" s="83">
        <f t="shared" ca="1" si="147"/>
        <v>0.52195506659068203</v>
      </c>
      <c r="BZ54" s="83">
        <f t="shared" ca="1" si="148"/>
        <v>3.5633497097014657</v>
      </c>
      <c r="CA54" s="83">
        <f t="shared" ca="1" si="149"/>
        <v>2.0744229033361172</v>
      </c>
      <c r="CB54" s="83">
        <f t="shared" ca="1" si="150"/>
        <v>5.7200905741966759</v>
      </c>
      <c r="CC54" s="83">
        <f t="shared" ca="1" si="151"/>
        <v>2.0744229033361172</v>
      </c>
      <c r="CD54" s="83">
        <f t="shared" ca="1" si="152"/>
        <v>2.9066501011461785</v>
      </c>
      <c r="CE54" s="83">
        <f t="shared" ca="1" si="153"/>
        <v>7.8280843659638091</v>
      </c>
      <c r="CF54" s="83">
        <f t="shared" ca="1" si="154"/>
        <v>2.9066501011461785</v>
      </c>
      <c r="CG54" s="83">
        <f t="shared" ca="1" si="155"/>
        <v>2.1941808557275033</v>
      </c>
    </row>
    <row r="55" spans="1:85" x14ac:dyDescent="0.25">
      <c r="A55" t="str">
        <f t="shared" ref="A55:E55" si="188">A21</f>
        <v>G. Stoychev</v>
      </c>
      <c r="B55">
        <f t="shared" si="188"/>
        <v>24</v>
      </c>
      <c r="C55">
        <f t="shared" ca="1" si="188"/>
        <v>47</v>
      </c>
      <c r="D55" t="str">
        <f t="shared" si="188"/>
        <v>IMP</v>
      </c>
      <c r="E55" s="265">
        <f t="shared" si="188"/>
        <v>43650</v>
      </c>
      <c r="F55" s="195">
        <f t="shared" ca="1" si="77"/>
        <v>0.34254750934422762</v>
      </c>
      <c r="G55" s="196">
        <f t="shared" ref="G55:H55" si="189">J21</f>
        <v>3.7</v>
      </c>
      <c r="H55" s="49">
        <f t="shared" si="189"/>
        <v>0</v>
      </c>
      <c r="I55" s="49">
        <f t="shared" si="79"/>
        <v>9</v>
      </c>
      <c r="J55" s="49">
        <f t="shared" si="80"/>
        <v>9</v>
      </c>
      <c r="K55" s="49">
        <f t="shared" si="81"/>
        <v>9</v>
      </c>
      <c r="L55" s="49">
        <f t="shared" si="82"/>
        <v>5</v>
      </c>
      <c r="M55" s="49">
        <f t="shared" si="83"/>
        <v>5</v>
      </c>
      <c r="N55" s="49">
        <f t="shared" si="84"/>
        <v>3</v>
      </c>
      <c r="O55" s="196">
        <f t="shared" si="85"/>
        <v>2.75</v>
      </c>
      <c r="P55" s="196">
        <f t="shared" ca="1" si="86"/>
        <v>4.7813310759014893</v>
      </c>
      <c r="Q55" s="196">
        <f t="shared" si="87"/>
        <v>0.33999999999999997</v>
      </c>
      <c r="R55" s="196">
        <f t="shared" si="88"/>
        <v>0.45</v>
      </c>
      <c r="S55" s="196">
        <f t="shared" ca="1" si="89"/>
        <v>4.1906150006482124</v>
      </c>
      <c r="T55" s="83">
        <f t="shared" ca="1" si="90"/>
        <v>3.4444307824714926</v>
      </c>
      <c r="U55" s="83">
        <f t="shared" ca="1" si="91"/>
        <v>5.2452934022573849</v>
      </c>
      <c r="V55" s="83">
        <f t="shared" ca="1" si="92"/>
        <v>3.4444307824714926</v>
      </c>
      <c r="W55" s="83">
        <f t="shared" ca="1" si="93"/>
        <v>5.2116773009797139</v>
      </c>
      <c r="X55" s="83">
        <f t="shared" ca="1" si="94"/>
        <v>10.10014980810022</v>
      </c>
      <c r="Y55" s="83">
        <f t="shared" ca="1" si="95"/>
        <v>2.605838650489857</v>
      </c>
      <c r="Z55" s="83">
        <f t="shared" ca="1" si="96"/>
        <v>2.4038356543278523</v>
      </c>
      <c r="AA55" s="83">
        <f t="shared" ca="1" si="97"/>
        <v>3.8178566274618833</v>
      </c>
      <c r="AB55" s="83">
        <f t="shared" ca="1" si="98"/>
        <v>7.3024083112564586</v>
      </c>
      <c r="AC55" s="83">
        <f t="shared" ca="1" si="99"/>
        <v>1.9089283137309416</v>
      </c>
      <c r="AD55" s="83">
        <f t="shared" ca="1" si="100"/>
        <v>3.8885576761185847</v>
      </c>
      <c r="AE55" s="326">
        <f t="shared" ca="1" si="101"/>
        <v>9.2921378234522027</v>
      </c>
      <c r="AF55" s="83">
        <f t="shared" ca="1" si="102"/>
        <v>4.1814620205534911</v>
      </c>
      <c r="AG55" s="83">
        <f t="shared" ca="1" si="103"/>
        <v>1.6867250179527369</v>
      </c>
      <c r="AH55" s="326">
        <f t="shared" ca="1" si="104"/>
        <v>5.9388880871629288</v>
      </c>
      <c r="AI55" s="83">
        <f t="shared" ca="1" si="105"/>
        <v>7.6155129553075653</v>
      </c>
      <c r="AJ55" s="83">
        <f t="shared" ca="1" si="106"/>
        <v>7.1509060641349551</v>
      </c>
      <c r="AK55" s="83">
        <f t="shared" ca="1" si="107"/>
        <v>0.68472501795273699</v>
      </c>
      <c r="AL55" s="83">
        <f t="shared" ca="1" si="108"/>
        <v>1.1088431447328635</v>
      </c>
      <c r="AM55" s="83">
        <f t="shared" ca="1" si="109"/>
        <v>2.7270404481870596</v>
      </c>
      <c r="AN55" s="83">
        <f t="shared" ca="1" si="110"/>
        <v>5.9994889860115306</v>
      </c>
      <c r="AO55" s="83">
        <f t="shared" ca="1" si="111"/>
        <v>1.3635202240935298</v>
      </c>
      <c r="AP55" s="83">
        <f t="shared" ca="1" si="112"/>
        <v>9.5345414188466062</v>
      </c>
      <c r="AQ55" s="83">
        <f t="shared" ca="1" si="113"/>
        <v>0.79301947505302883</v>
      </c>
      <c r="AR55" s="83">
        <f t="shared" ca="1" si="114"/>
        <v>1.7873438937733648</v>
      </c>
      <c r="AS55" s="83">
        <f t="shared" ca="1" si="115"/>
        <v>0.39650973752651442</v>
      </c>
      <c r="AT55" s="83">
        <f t="shared" ca="1" si="116"/>
        <v>1.9089283137309416</v>
      </c>
      <c r="AU55" s="83">
        <f t="shared" ca="1" si="117"/>
        <v>4.0400599232400882</v>
      </c>
      <c r="AV55" s="83">
        <f t="shared" ca="1" si="118"/>
        <v>0.95446415686547081</v>
      </c>
      <c r="AW55" s="83">
        <f t="shared" ca="1" si="119"/>
        <v>10.10014980810022</v>
      </c>
      <c r="AX55" s="83">
        <f t="shared" ca="1" si="120"/>
        <v>1.543337901449356</v>
      </c>
      <c r="AY55" s="83">
        <f t="shared" ca="1" si="121"/>
        <v>3.3611825442632224</v>
      </c>
      <c r="AZ55" s="83">
        <f t="shared" ca="1" si="122"/>
        <v>0.771668950724678</v>
      </c>
      <c r="BA55" s="83">
        <f t="shared" ca="1" si="123"/>
        <v>2.9391435941571635</v>
      </c>
      <c r="BB55" s="83">
        <f t="shared" ca="1" si="124"/>
        <v>3.5148521332188762</v>
      </c>
      <c r="BC55" s="83">
        <f t="shared" ca="1" si="125"/>
        <v>8.8982319809362931</v>
      </c>
      <c r="BD55" s="83">
        <f t="shared" ca="1" si="126"/>
        <v>7.7190331794010953</v>
      </c>
      <c r="BE55" s="83">
        <f t="shared" ca="1" si="127"/>
        <v>1.4701361037521534</v>
      </c>
      <c r="BF55" s="83">
        <f t="shared" ca="1" si="128"/>
        <v>4.8985726569286063</v>
      </c>
      <c r="BG55" s="83">
        <f t="shared" ca="1" si="129"/>
        <v>2.6664395493384583</v>
      </c>
      <c r="BH55" s="83">
        <f t="shared" ca="1" si="130"/>
        <v>3.8481570768861837</v>
      </c>
      <c r="BI55" s="83">
        <f t="shared" ca="1" si="131"/>
        <v>8.0235309322795931</v>
      </c>
      <c r="BJ55" s="83">
        <f t="shared" ca="1" si="132"/>
        <v>0.31720779002121152</v>
      </c>
      <c r="BK55" s="83">
        <f t="shared" ca="1" si="133"/>
        <v>1.8180269654580394</v>
      </c>
      <c r="BL55" s="83">
        <f t="shared" ca="1" si="134"/>
        <v>0.68681018695081497</v>
      </c>
      <c r="BM55" s="83">
        <f t="shared" ca="1" si="135"/>
        <v>3.0805456914705669</v>
      </c>
      <c r="BN55" s="83">
        <f t="shared" ca="1" si="136"/>
        <v>11.844792653216883</v>
      </c>
      <c r="BO55" s="83">
        <f t="shared" ca="1" si="137"/>
        <v>0.82352022409352998</v>
      </c>
      <c r="BP55" s="83">
        <f t="shared" ca="1" si="138"/>
        <v>2.8684425455004621</v>
      </c>
      <c r="BQ55" s="83">
        <f t="shared" ca="1" si="139"/>
        <v>2.4644365531764536</v>
      </c>
      <c r="BR55" s="83">
        <f t="shared" ca="1" si="140"/>
        <v>4.5955681626856002</v>
      </c>
      <c r="BS55" s="83">
        <f t="shared" ca="1" si="141"/>
        <v>10.214965987375043</v>
      </c>
      <c r="BT55" s="83">
        <f t="shared" ca="1" si="142"/>
        <v>0.73811812678012678</v>
      </c>
      <c r="BU55" s="83">
        <f t="shared" ca="1" si="143"/>
        <v>2.8684425455004621</v>
      </c>
      <c r="BV55" s="83">
        <f t="shared" ca="1" si="144"/>
        <v>2.4644365531764536</v>
      </c>
      <c r="BW55" s="83">
        <f t="shared" ca="1" si="145"/>
        <v>6.3731945289112391</v>
      </c>
      <c r="BX55" s="83">
        <f t="shared" ca="1" si="146"/>
        <v>8.2676340782496958</v>
      </c>
      <c r="BY55" s="83">
        <f t="shared" ca="1" si="147"/>
        <v>0.90282217159883271</v>
      </c>
      <c r="BZ55" s="83">
        <f t="shared" ca="1" si="148"/>
        <v>4.1006608220886891</v>
      </c>
      <c r="CA55" s="83">
        <f t="shared" ca="1" si="149"/>
        <v>3.7541780500202151</v>
      </c>
      <c r="CB55" s="83">
        <f t="shared" ca="1" si="150"/>
        <v>6.868768683920849</v>
      </c>
      <c r="CC55" s="83">
        <f t="shared" ca="1" si="151"/>
        <v>3.7541780500202151</v>
      </c>
      <c r="CD55" s="83">
        <f t="shared" ca="1" si="152"/>
        <v>4.855330978016938</v>
      </c>
      <c r="CE55" s="83">
        <f t="shared" ca="1" si="153"/>
        <v>8.3511050872892021</v>
      </c>
      <c r="CF55" s="83">
        <f t="shared" ca="1" si="154"/>
        <v>4.855330978016938</v>
      </c>
      <c r="CG55" s="83">
        <f t="shared" ca="1" si="155"/>
        <v>2.5250374520250549</v>
      </c>
    </row>
    <row r="56" spans="1:85" x14ac:dyDescent="0.25">
      <c r="A56" t="str">
        <f t="shared" ref="A56:E56" si="190">A22</f>
        <v>K. Helms</v>
      </c>
      <c r="B56">
        <f t="shared" si="190"/>
        <v>35</v>
      </c>
      <c r="C56">
        <f t="shared" ca="1" si="190"/>
        <v>107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13.6</v>
      </c>
      <c r="H56" s="49">
        <f t="shared" si="191"/>
        <v>0</v>
      </c>
      <c r="I56" s="49">
        <f t="shared" si="79"/>
        <v>6.95</v>
      </c>
      <c r="J56" s="49">
        <f t="shared" si="80"/>
        <v>10.600000000000005</v>
      </c>
      <c r="K56" s="49">
        <f t="shared" si="81"/>
        <v>12.95</v>
      </c>
      <c r="L56" s="49">
        <f t="shared" si="82"/>
        <v>9.9499999999999993</v>
      </c>
      <c r="M56" s="49">
        <f t="shared" si="83"/>
        <v>3.95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15.484661316664242</v>
      </c>
      <c r="Q56" s="196">
        <f t="shared" si="87"/>
        <v>0.73599999999999999</v>
      </c>
      <c r="R56" s="196">
        <f t="shared" si="88"/>
        <v>0.81649999999999989</v>
      </c>
      <c r="S56" s="196">
        <f t="shared" ca="1" si="89"/>
        <v>20.461385211160291</v>
      </c>
      <c r="T56" s="83">
        <f t="shared" si="90"/>
        <v>4.5471392893429332</v>
      </c>
      <c r="U56" s="83">
        <f t="shared" si="91"/>
        <v>6.8414483076079335</v>
      </c>
      <c r="V56" s="83">
        <f t="shared" si="92"/>
        <v>4.5471392893429332</v>
      </c>
      <c r="W56" s="83">
        <f t="shared" si="93"/>
        <v>5.1400747689587094</v>
      </c>
      <c r="X56" s="83">
        <f t="shared" si="94"/>
        <v>9.9613852111602892</v>
      </c>
      <c r="Y56" s="83">
        <f t="shared" si="95"/>
        <v>2.5700373844793547</v>
      </c>
      <c r="Z56" s="83">
        <f t="shared" si="96"/>
        <v>3.23950968025615</v>
      </c>
      <c r="AA56" s="83">
        <f t="shared" si="97"/>
        <v>3.7654036098185895</v>
      </c>
      <c r="AB56" s="83">
        <f t="shared" si="98"/>
        <v>7.2020815076688889</v>
      </c>
      <c r="AC56" s="83">
        <f t="shared" si="99"/>
        <v>1.8827018049092947</v>
      </c>
      <c r="AD56" s="83">
        <f t="shared" si="100"/>
        <v>5.2403833062967138</v>
      </c>
      <c r="AE56" s="326">
        <f t="shared" si="101"/>
        <v>9.1644743942674669</v>
      </c>
      <c r="AF56" s="83">
        <f t="shared" si="102"/>
        <v>4.1240134774203598</v>
      </c>
      <c r="AG56" s="83">
        <f t="shared" si="103"/>
        <v>2.2731013302637693</v>
      </c>
      <c r="AH56" s="326">
        <f t="shared" si="104"/>
        <v>9.3852945041622498</v>
      </c>
      <c r="AI56" s="83">
        <f t="shared" si="105"/>
        <v>7.5108844492148581</v>
      </c>
      <c r="AJ56" s="83">
        <f t="shared" si="106"/>
        <v>7.0526607295014845</v>
      </c>
      <c r="AK56" s="83">
        <f t="shared" si="107"/>
        <v>3.500551330263769</v>
      </c>
      <c r="AL56" s="83">
        <f t="shared" si="108"/>
        <v>1.9418789408141632</v>
      </c>
      <c r="AM56" s="83">
        <f t="shared" si="109"/>
        <v>2.6895740070132783</v>
      </c>
      <c r="AN56" s="83">
        <f t="shared" si="110"/>
        <v>5.9170628154292118</v>
      </c>
      <c r="AO56" s="83">
        <f t="shared" si="111"/>
        <v>1.3447870035066392</v>
      </c>
      <c r="AP56" s="83">
        <f t="shared" si="112"/>
        <v>12.849147639335317</v>
      </c>
      <c r="AQ56" s="83">
        <f t="shared" si="113"/>
        <v>1.6849800774508377</v>
      </c>
      <c r="AR56" s="83">
        <f t="shared" si="114"/>
        <v>2.7596858668699644</v>
      </c>
      <c r="AS56" s="83">
        <f t="shared" si="115"/>
        <v>0.84249003872541883</v>
      </c>
      <c r="AT56" s="83">
        <f t="shared" si="116"/>
        <v>1.8827018049092947</v>
      </c>
      <c r="AU56" s="83">
        <f t="shared" si="117"/>
        <v>3.9845540844641159</v>
      </c>
      <c r="AV56" s="83">
        <f t="shared" si="118"/>
        <v>0.94135090245464736</v>
      </c>
      <c r="AW56" s="83">
        <f t="shared" si="119"/>
        <v>13.611385211160295</v>
      </c>
      <c r="AX56" s="83">
        <f t="shared" si="120"/>
        <v>3.279230458423553</v>
      </c>
      <c r="AY56" s="83">
        <f t="shared" si="121"/>
        <v>5.8817232513493201</v>
      </c>
      <c r="AZ56" s="83">
        <f t="shared" si="122"/>
        <v>1.6396152292117765</v>
      </c>
      <c r="BA56" s="83">
        <f t="shared" si="123"/>
        <v>2.8987630964476438</v>
      </c>
      <c r="BB56" s="83">
        <f t="shared" si="124"/>
        <v>3.4665620534837802</v>
      </c>
      <c r="BC56" s="83">
        <f t="shared" si="125"/>
        <v>11.991630371032221</v>
      </c>
      <c r="BD56" s="83">
        <f t="shared" si="126"/>
        <v>13.244671452721498</v>
      </c>
      <c r="BE56" s="83">
        <f t="shared" si="127"/>
        <v>3.1236938358896298</v>
      </c>
      <c r="BF56" s="83">
        <f t="shared" si="128"/>
        <v>4.8312718274127402</v>
      </c>
      <c r="BG56" s="83">
        <f t="shared" si="129"/>
        <v>2.6298056957463163</v>
      </c>
      <c r="BH56" s="83">
        <f t="shared" si="130"/>
        <v>5.1859377654520724</v>
      </c>
      <c r="BI56" s="83">
        <f t="shared" si="131"/>
        <v>13.347250674554093</v>
      </c>
      <c r="BJ56" s="83">
        <f t="shared" si="132"/>
        <v>0.673992030980335</v>
      </c>
      <c r="BK56" s="83">
        <f t="shared" si="133"/>
        <v>1.7930493380088519</v>
      </c>
      <c r="BL56" s="83">
        <f t="shared" si="134"/>
        <v>0.67737419435889967</v>
      </c>
      <c r="BM56" s="83">
        <f t="shared" si="135"/>
        <v>4.1514724894038899</v>
      </c>
      <c r="BN56" s="83">
        <f t="shared" si="136"/>
        <v>19.668341381552132</v>
      </c>
      <c r="BO56" s="83">
        <f t="shared" si="137"/>
        <v>1.7497870035066392</v>
      </c>
      <c r="BP56" s="83">
        <f t="shared" si="138"/>
        <v>2.8290333999695219</v>
      </c>
      <c r="BQ56" s="83">
        <f t="shared" si="139"/>
        <v>2.4305779915231107</v>
      </c>
      <c r="BR56" s="83">
        <f t="shared" si="140"/>
        <v>6.1931802710779342</v>
      </c>
      <c r="BS56" s="83">
        <f t="shared" si="141"/>
        <v>16.953214813965602</v>
      </c>
      <c r="BT56" s="83">
        <f t="shared" si="142"/>
        <v>1.5683276105503949</v>
      </c>
      <c r="BU56" s="83">
        <f t="shared" si="143"/>
        <v>2.8290333999695219</v>
      </c>
      <c r="BV56" s="83">
        <f t="shared" si="144"/>
        <v>2.4305779915231107</v>
      </c>
      <c r="BW56" s="83">
        <f t="shared" si="145"/>
        <v>8.5887840682421466</v>
      </c>
      <c r="BX56" s="83">
        <f t="shared" si="146"/>
        <v>13.706439763988458</v>
      </c>
      <c r="BY56" s="83">
        <f t="shared" si="147"/>
        <v>1.9182850112517227</v>
      </c>
      <c r="BZ56" s="83">
        <f t="shared" si="148"/>
        <v>5.5262223957310797</v>
      </c>
      <c r="CA56" s="83">
        <f t="shared" si="149"/>
        <v>7.4777925119073343</v>
      </c>
      <c r="CB56" s="83">
        <f t="shared" si="150"/>
        <v>11.096519747766486</v>
      </c>
      <c r="CC56" s="83">
        <f t="shared" si="151"/>
        <v>7.4777925119073343</v>
      </c>
      <c r="CD56" s="83">
        <f t="shared" si="152"/>
        <v>7.0479429865528598</v>
      </c>
      <c r="CE56" s="83">
        <f t="shared" si="153"/>
        <v>11.744136354078437</v>
      </c>
      <c r="CF56" s="83">
        <f t="shared" si="154"/>
        <v>7.0479429865528598</v>
      </c>
      <c r="CG56" s="83">
        <f t="shared" si="155"/>
        <v>3.4028463027900737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10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13.3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19.363616168716348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18.498468854622782</v>
      </c>
      <c r="T57" s="83">
        <f t="shared" si="90"/>
        <v>4.9250233100856873</v>
      </c>
      <c r="U57" s="83">
        <f t="shared" si="91"/>
        <v>7.4240232913180089</v>
      </c>
      <c r="V57" s="83">
        <f t="shared" si="92"/>
        <v>4.9250233100856873</v>
      </c>
      <c r="W57" s="83">
        <f t="shared" si="93"/>
        <v>5.8609699289853534</v>
      </c>
      <c r="X57" s="83">
        <f t="shared" si="94"/>
        <v>11.358468854622778</v>
      </c>
      <c r="Y57" s="83">
        <f t="shared" si="95"/>
        <v>2.9304849644926767</v>
      </c>
      <c r="Z57" s="83">
        <f t="shared" si="96"/>
        <v>3.6299478096224438</v>
      </c>
      <c r="AA57" s="83">
        <f t="shared" si="97"/>
        <v>4.2935012270474102</v>
      </c>
      <c r="AB57" s="83">
        <f t="shared" si="98"/>
        <v>8.2121729818922677</v>
      </c>
      <c r="AC57" s="83">
        <f t="shared" si="99"/>
        <v>2.1467506135237051</v>
      </c>
      <c r="AD57" s="83">
        <f t="shared" si="100"/>
        <v>5.8719743979186596</v>
      </c>
      <c r="AE57" s="326">
        <f t="shared" si="101"/>
        <v>10.449791346252956</v>
      </c>
      <c r="AF57" s="83">
        <f t="shared" si="102"/>
        <v>4.7024061058138296</v>
      </c>
      <c r="AG57" s="83">
        <f t="shared" si="103"/>
        <v>2.5470642193569253</v>
      </c>
      <c r="AH57" s="326">
        <f t="shared" si="104"/>
        <v>9.3776996865181932</v>
      </c>
      <c r="AI57" s="83">
        <f t="shared" si="105"/>
        <v>8.5642855163855742</v>
      </c>
      <c r="AJ57" s="83">
        <f t="shared" si="106"/>
        <v>8.0417959490729256</v>
      </c>
      <c r="AK57" s="83">
        <f t="shared" si="107"/>
        <v>3.1727442987220047</v>
      </c>
      <c r="AL57" s="83">
        <f t="shared" si="108"/>
        <v>2.0097990301313606</v>
      </c>
      <c r="AM57" s="83">
        <f t="shared" si="109"/>
        <v>3.0667865907481504</v>
      </c>
      <c r="AN57" s="83">
        <f t="shared" si="110"/>
        <v>6.7469304996459298</v>
      </c>
      <c r="AO57" s="83">
        <f t="shared" si="111"/>
        <v>1.5333932953740752</v>
      </c>
      <c r="AP57" s="83">
        <f t="shared" si="112"/>
        <v>14.397776186065492</v>
      </c>
      <c r="AQ57" s="83">
        <f t="shared" si="113"/>
        <v>1.7210009511009616</v>
      </c>
      <c r="AR57" s="83">
        <f t="shared" si="114"/>
        <v>3.3097013744044741</v>
      </c>
      <c r="AS57" s="83">
        <f t="shared" si="115"/>
        <v>0.86050047555048081</v>
      </c>
      <c r="AT57" s="83">
        <f t="shared" si="116"/>
        <v>2.1467506135237051</v>
      </c>
      <c r="AU57" s="83">
        <f t="shared" si="117"/>
        <v>4.5433875418491114</v>
      </c>
      <c r="AV57" s="83">
        <f t="shared" si="118"/>
        <v>1.0733753067618526</v>
      </c>
      <c r="AW57" s="83">
        <f t="shared" si="119"/>
        <v>15.25188155303548</v>
      </c>
      <c r="AX57" s="83">
        <f t="shared" si="120"/>
        <v>3.3493326202195637</v>
      </c>
      <c r="AY57" s="83">
        <f t="shared" si="121"/>
        <v>6.6034963388971519</v>
      </c>
      <c r="AZ57" s="83">
        <f t="shared" si="122"/>
        <v>1.6746663101097818</v>
      </c>
      <c r="BA57" s="83">
        <f t="shared" si="123"/>
        <v>3.3053144366952281</v>
      </c>
      <c r="BB57" s="83">
        <f t="shared" si="124"/>
        <v>3.9527471614087264</v>
      </c>
      <c r="BC57" s="83">
        <f t="shared" si="125"/>
        <v>13.436907648224258</v>
      </c>
      <c r="BD57" s="83">
        <f t="shared" si="126"/>
        <v>13.32453881175965</v>
      </c>
      <c r="BE57" s="83">
        <f t="shared" si="127"/>
        <v>3.1904709939640901</v>
      </c>
      <c r="BF57" s="83">
        <f t="shared" si="128"/>
        <v>5.5088573944920469</v>
      </c>
      <c r="BG57" s="83">
        <f t="shared" si="129"/>
        <v>2.9986357776204136</v>
      </c>
      <c r="BH57" s="83">
        <f t="shared" si="130"/>
        <v>5.8109668717065182</v>
      </c>
      <c r="BI57" s="83">
        <f t="shared" si="131"/>
        <v>13.39425177894031</v>
      </c>
      <c r="BJ57" s="83">
        <f t="shared" si="132"/>
        <v>0.68840038044038454</v>
      </c>
      <c r="BK57" s="83">
        <f t="shared" si="133"/>
        <v>2.0445243938320998</v>
      </c>
      <c r="BL57" s="83">
        <f t="shared" si="134"/>
        <v>0.77237588211434893</v>
      </c>
      <c r="BM57" s="83">
        <f t="shared" si="135"/>
        <v>4.6518238736758208</v>
      </c>
      <c r="BN57" s="83">
        <f t="shared" si="136"/>
        <v>19.734670947044894</v>
      </c>
      <c r="BO57" s="83">
        <f t="shared" si="137"/>
        <v>1.7871932953740755</v>
      </c>
      <c r="BP57" s="83">
        <f t="shared" si="138"/>
        <v>3.2258051547128685</v>
      </c>
      <c r="BQ57" s="83">
        <f t="shared" si="139"/>
        <v>2.7714664005279577</v>
      </c>
      <c r="BR57" s="83">
        <f t="shared" si="140"/>
        <v>6.9396061066311434</v>
      </c>
      <c r="BS57" s="83">
        <f t="shared" si="141"/>
        <v>17.009663490922041</v>
      </c>
      <c r="BT57" s="83">
        <f t="shared" si="142"/>
        <v>1.6018547314093565</v>
      </c>
      <c r="BU57" s="83">
        <f t="shared" si="143"/>
        <v>3.2258051547128685</v>
      </c>
      <c r="BV57" s="83">
        <f t="shared" si="144"/>
        <v>2.7714664005279577</v>
      </c>
      <c r="BW57" s="83">
        <f t="shared" si="145"/>
        <v>9.6239372599653876</v>
      </c>
      <c r="BX57" s="83">
        <f t="shared" si="146"/>
        <v>13.750849624887387</v>
      </c>
      <c r="BY57" s="83">
        <f t="shared" si="147"/>
        <v>1.9592933904841714</v>
      </c>
      <c r="BZ57" s="83">
        <f t="shared" si="148"/>
        <v>6.1922639105324055</v>
      </c>
      <c r="CA57" s="83">
        <f t="shared" si="149"/>
        <v>6.8696522732584686</v>
      </c>
      <c r="CB57" s="83">
        <f t="shared" si="150"/>
        <v>12.98844593030525</v>
      </c>
      <c r="CC57" s="83">
        <f t="shared" si="151"/>
        <v>6.8696522732584686</v>
      </c>
      <c r="CD57" s="83">
        <f t="shared" si="152"/>
        <v>7.8610760964299926</v>
      </c>
      <c r="CE57" s="83">
        <f t="shared" si="153"/>
        <v>14.833463861978586</v>
      </c>
      <c r="CF57" s="83">
        <f t="shared" si="154"/>
        <v>7.8610760964299926</v>
      </c>
      <c r="CG57" s="83">
        <f t="shared" si="155"/>
        <v>3.8129703882588699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10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12.2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8.9499999999999993</v>
      </c>
      <c r="M58" s="49">
        <f t="shared" si="83"/>
        <v>4.95</v>
      </c>
      <c r="N58" s="49">
        <f t="shared" si="84"/>
        <v>16.95</v>
      </c>
      <c r="O58" s="196">
        <f t="shared" si="85"/>
        <v>3.3562499999999997</v>
      </c>
      <c r="P58" s="196">
        <f t="shared" si="86"/>
        <v>16.455640301054927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19.398479774232996</v>
      </c>
      <c r="T58" s="83">
        <f t="shared" si="90"/>
        <v>4.2162228429054069</v>
      </c>
      <c r="U58" s="83">
        <f t="shared" si="91"/>
        <v>6.3352373885348001</v>
      </c>
      <c r="V58" s="83">
        <f t="shared" si="92"/>
        <v>4.2162228429054069</v>
      </c>
      <c r="W58" s="83">
        <f t="shared" si="93"/>
        <v>4.5916155635042273</v>
      </c>
      <c r="X58" s="83">
        <f t="shared" si="94"/>
        <v>8.8984797742329977</v>
      </c>
      <c r="Y58" s="83">
        <f t="shared" si="95"/>
        <v>2.2958077817521136</v>
      </c>
      <c r="Z58" s="83">
        <f t="shared" si="96"/>
        <v>4.0218381862674528</v>
      </c>
      <c r="AA58" s="83">
        <f t="shared" si="97"/>
        <v>3.3636253546600732</v>
      </c>
      <c r="AB58" s="83">
        <f t="shared" si="98"/>
        <v>6.4336008767704573</v>
      </c>
      <c r="AC58" s="83">
        <f t="shared" si="99"/>
        <v>1.6818126773300366</v>
      </c>
      <c r="AD58" s="83">
        <f t="shared" si="100"/>
        <v>6.5059147130797035</v>
      </c>
      <c r="AE58" s="326">
        <f t="shared" si="101"/>
        <v>8.1866013922943583</v>
      </c>
      <c r="AF58" s="83">
        <f t="shared" si="102"/>
        <v>3.683970626532461</v>
      </c>
      <c r="AG58" s="83">
        <f t="shared" si="103"/>
        <v>2.8220461222969107</v>
      </c>
      <c r="AH58" s="326">
        <f t="shared" si="104"/>
        <v>3.4683061072490027</v>
      </c>
      <c r="AI58" s="83">
        <f t="shared" si="105"/>
        <v>6.7094537497716802</v>
      </c>
      <c r="AJ58" s="83">
        <f t="shared" si="106"/>
        <v>6.300123680156962</v>
      </c>
      <c r="AK58" s="83">
        <f t="shared" si="107"/>
        <v>3.3230461222969105</v>
      </c>
      <c r="AL58" s="83">
        <f t="shared" si="108"/>
        <v>1.8157621749791029</v>
      </c>
      <c r="AM58" s="83">
        <f t="shared" si="109"/>
        <v>2.4025895390429097</v>
      </c>
      <c r="AN58" s="83">
        <f t="shared" si="110"/>
        <v>5.2856969858944005</v>
      </c>
      <c r="AO58" s="83">
        <f t="shared" si="111"/>
        <v>1.2012947695214549</v>
      </c>
      <c r="AP58" s="83">
        <f t="shared" si="112"/>
        <v>15.952164906875947</v>
      </c>
      <c r="AQ58" s="83">
        <f t="shared" si="113"/>
        <v>1.5468023706502896</v>
      </c>
      <c r="AR58" s="83">
        <f t="shared" si="114"/>
        <v>2.7942545738502682</v>
      </c>
      <c r="AS58" s="83">
        <f t="shared" si="115"/>
        <v>0.77340118532514479</v>
      </c>
      <c r="AT58" s="83">
        <f t="shared" si="116"/>
        <v>1.6818126773300366</v>
      </c>
      <c r="AU58" s="83">
        <f t="shared" si="117"/>
        <v>3.5593919096931992</v>
      </c>
      <c r="AV58" s="83">
        <f t="shared" si="118"/>
        <v>0.84090633866501829</v>
      </c>
      <c r="AW58" s="83">
        <f t="shared" si="119"/>
        <v>16.898479774232996</v>
      </c>
      <c r="AX58" s="83">
        <f t="shared" si="120"/>
        <v>3.0103153828809481</v>
      </c>
      <c r="AY58" s="83">
        <f t="shared" si="121"/>
        <v>5.7160623556023813</v>
      </c>
      <c r="AZ58" s="83">
        <f t="shared" si="122"/>
        <v>1.5051576914404741</v>
      </c>
      <c r="BA58" s="83">
        <f t="shared" si="123"/>
        <v>2.5894576143018022</v>
      </c>
      <c r="BB58" s="83">
        <f t="shared" si="124"/>
        <v>3.096670961433083</v>
      </c>
      <c r="BC58" s="83">
        <f t="shared" si="125"/>
        <v>14.88756068109927</v>
      </c>
      <c r="BD58" s="83">
        <f t="shared" si="126"/>
        <v>7.1337485192931336</v>
      </c>
      <c r="BE58" s="83">
        <f t="shared" si="127"/>
        <v>2.867533625590152</v>
      </c>
      <c r="BF58" s="83">
        <f t="shared" si="128"/>
        <v>4.3157626905030035</v>
      </c>
      <c r="BG58" s="83">
        <f t="shared" si="129"/>
        <v>2.3491986603975117</v>
      </c>
      <c r="BH58" s="83">
        <f t="shared" si="130"/>
        <v>6.4383207939827711</v>
      </c>
      <c r="BI58" s="83">
        <f t="shared" si="131"/>
        <v>6.3612713226796398</v>
      </c>
      <c r="BJ58" s="83">
        <f t="shared" si="132"/>
        <v>0.61872094826011581</v>
      </c>
      <c r="BK58" s="83">
        <f t="shared" si="133"/>
        <v>1.6017263593619395</v>
      </c>
      <c r="BL58" s="83">
        <f t="shared" si="134"/>
        <v>0.60509662464784386</v>
      </c>
      <c r="BM58" s="83">
        <f t="shared" si="135"/>
        <v>5.1540363311410635</v>
      </c>
      <c r="BN58" s="83">
        <f t="shared" si="136"/>
        <v>9.3014449896636346</v>
      </c>
      <c r="BO58" s="83">
        <f t="shared" si="137"/>
        <v>1.6062947695214547</v>
      </c>
      <c r="BP58" s="83">
        <f t="shared" si="138"/>
        <v>2.5271682558821711</v>
      </c>
      <c r="BQ58" s="83">
        <f t="shared" si="139"/>
        <v>2.1712290649128514</v>
      </c>
      <c r="BR58" s="83">
        <f t="shared" si="140"/>
        <v>7.6888082972760134</v>
      </c>
      <c r="BS58" s="83">
        <f t="shared" si="141"/>
        <v>7.9995155898501604</v>
      </c>
      <c r="BT58" s="83">
        <f t="shared" si="142"/>
        <v>1.4397160526821924</v>
      </c>
      <c r="BU58" s="83">
        <f t="shared" si="143"/>
        <v>2.5271682558821711</v>
      </c>
      <c r="BV58" s="83">
        <f t="shared" si="144"/>
        <v>2.1712290649128514</v>
      </c>
      <c r="BW58" s="83">
        <f t="shared" si="145"/>
        <v>10.662940737541021</v>
      </c>
      <c r="BX58" s="83">
        <f t="shared" si="146"/>
        <v>6.437139397938533</v>
      </c>
      <c r="BY58" s="83">
        <f t="shared" si="147"/>
        <v>1.7609750065864833</v>
      </c>
      <c r="BZ58" s="83">
        <f t="shared" si="148"/>
        <v>6.8607827883385966</v>
      </c>
      <c r="CA58" s="83">
        <f t="shared" si="149"/>
        <v>4.8271079623753916</v>
      </c>
      <c r="CB58" s="83">
        <f t="shared" si="150"/>
        <v>11.065688225786355</v>
      </c>
      <c r="CC58" s="83">
        <f t="shared" si="151"/>
        <v>4.8271079623753916</v>
      </c>
      <c r="CD58" s="83">
        <f t="shared" si="152"/>
        <v>4.9167528993471574</v>
      </c>
      <c r="CE58" s="83">
        <f t="shared" si="153"/>
        <v>12.289018810924972</v>
      </c>
      <c r="CF58" s="83">
        <f t="shared" si="154"/>
        <v>4.9167528993471574</v>
      </c>
      <c r="CG58" s="83">
        <f t="shared" si="155"/>
        <v>4.224619943558249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47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14.4</v>
      </c>
      <c r="H59" s="49">
        <f t="shared" si="197"/>
        <v>0</v>
      </c>
      <c r="I59" s="49">
        <f t="shared" si="79"/>
        <v>6.8376190476190493</v>
      </c>
      <c r="J59" s="49">
        <f t="shared" si="80"/>
        <v>8.9499999999999993</v>
      </c>
      <c r="K59" s="49">
        <f t="shared" si="81"/>
        <v>7.95</v>
      </c>
      <c r="L59" s="49">
        <f t="shared" si="82"/>
        <v>8.9499999999999993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3.4672023809523811</v>
      </c>
      <c r="P59" s="196">
        <f t="shared" si="86"/>
        <v>21.115308143374001</v>
      </c>
      <c r="Q59" s="196">
        <f t="shared" si="87"/>
        <v>0.91749999999999976</v>
      </c>
      <c r="R59" s="196">
        <f t="shared" si="88"/>
        <v>0.84350476190476176</v>
      </c>
      <c r="S59" s="196">
        <f t="shared" ca="1" si="89"/>
        <v>21.54448332279366</v>
      </c>
      <c r="T59" s="83">
        <f t="shared" si="90"/>
        <v>4.5450167979417291</v>
      </c>
      <c r="U59" s="83">
        <f t="shared" si="91"/>
        <v>6.8364160649647197</v>
      </c>
      <c r="V59" s="83">
        <f t="shared" si="92"/>
        <v>4.5450167979417291</v>
      </c>
      <c r="W59" s="83">
        <f t="shared" si="93"/>
        <v>5.0991648231329618</v>
      </c>
      <c r="X59" s="83">
        <f t="shared" si="94"/>
        <v>9.8821023704127171</v>
      </c>
      <c r="Y59" s="83">
        <f t="shared" si="95"/>
        <v>2.5495824115664809</v>
      </c>
      <c r="Z59" s="83">
        <f t="shared" si="96"/>
        <v>2.8546870308248926</v>
      </c>
      <c r="AA59" s="83">
        <f t="shared" si="97"/>
        <v>3.7354346960160072</v>
      </c>
      <c r="AB59" s="83">
        <f t="shared" si="98"/>
        <v>7.1447600138083942</v>
      </c>
      <c r="AC59" s="83">
        <f t="shared" si="99"/>
        <v>1.8677173480080036</v>
      </c>
      <c r="AD59" s="83">
        <f t="shared" si="100"/>
        <v>4.617876079275562</v>
      </c>
      <c r="AE59" s="326">
        <f t="shared" si="101"/>
        <v>9.0915341807796999</v>
      </c>
      <c r="AF59" s="83">
        <f t="shared" si="102"/>
        <v>4.0911903813508648</v>
      </c>
      <c r="AG59" s="83">
        <f t="shared" si="103"/>
        <v>2.0030787149065423</v>
      </c>
      <c r="AH59" s="326">
        <f t="shared" si="104"/>
        <v>6.4647561938026756</v>
      </c>
      <c r="AI59" s="83">
        <f t="shared" si="105"/>
        <v>7.4511051872911889</v>
      </c>
      <c r="AJ59" s="83">
        <f t="shared" si="106"/>
        <v>6.9965284782522037</v>
      </c>
      <c r="AK59" s="83">
        <f t="shared" si="107"/>
        <v>3.6814287149065414</v>
      </c>
      <c r="AL59" s="83">
        <f t="shared" si="108"/>
        <v>1.8753654826788615</v>
      </c>
      <c r="AM59" s="83">
        <f t="shared" si="109"/>
        <v>2.6681676400114336</v>
      </c>
      <c r="AN59" s="83">
        <f t="shared" si="110"/>
        <v>5.8699688080251535</v>
      </c>
      <c r="AO59" s="83">
        <f t="shared" si="111"/>
        <v>1.3340838200057168</v>
      </c>
      <c r="AP59" s="83">
        <f t="shared" si="112"/>
        <v>11.32279225671722</v>
      </c>
      <c r="AQ59" s="83">
        <f t="shared" si="113"/>
        <v>1.5592828319631766</v>
      </c>
      <c r="AR59" s="83">
        <f t="shared" si="114"/>
        <v>3.1683836135785439</v>
      </c>
      <c r="AS59" s="83">
        <f t="shared" si="115"/>
        <v>0.77964141598158831</v>
      </c>
      <c r="AT59" s="83">
        <f t="shared" si="116"/>
        <v>1.8677173480080036</v>
      </c>
      <c r="AU59" s="83">
        <f t="shared" si="117"/>
        <v>3.952840948165087</v>
      </c>
      <c r="AV59" s="83">
        <f t="shared" si="118"/>
        <v>0.9338586740040018</v>
      </c>
      <c r="AW59" s="83">
        <f t="shared" si="119"/>
        <v>11.994483322793666</v>
      </c>
      <c r="AX59" s="83">
        <f t="shared" si="120"/>
        <v>3.0346042806667977</v>
      </c>
      <c r="AY59" s="83">
        <f t="shared" si="121"/>
        <v>6.1889603108593105</v>
      </c>
      <c r="AZ59" s="83">
        <f t="shared" si="122"/>
        <v>1.5173021403333988</v>
      </c>
      <c r="BA59" s="83">
        <f t="shared" si="123"/>
        <v>2.8756917897901006</v>
      </c>
      <c r="BB59" s="83">
        <f t="shared" si="124"/>
        <v>3.4389716249036253</v>
      </c>
      <c r="BC59" s="83">
        <f t="shared" si="125"/>
        <v>10.567139807381221</v>
      </c>
      <c r="BD59" s="83">
        <f t="shared" si="126"/>
        <v>10.08909567396357</v>
      </c>
      <c r="BE59" s="83">
        <f t="shared" si="127"/>
        <v>2.8906704807932733</v>
      </c>
      <c r="BF59" s="83">
        <f t="shared" si="128"/>
        <v>4.792819649650168</v>
      </c>
      <c r="BG59" s="83">
        <f t="shared" si="129"/>
        <v>2.6088750257889575</v>
      </c>
      <c r="BH59" s="83">
        <f t="shared" si="130"/>
        <v>4.5698981459843866</v>
      </c>
      <c r="BI59" s="83">
        <f t="shared" si="131"/>
        <v>9.8101784241216645</v>
      </c>
      <c r="BJ59" s="83">
        <f t="shared" si="132"/>
        <v>0.62371313278527063</v>
      </c>
      <c r="BK59" s="83">
        <f t="shared" si="133"/>
        <v>1.778778426674289</v>
      </c>
      <c r="BL59" s="83">
        <f t="shared" si="134"/>
        <v>0.67198296118806478</v>
      </c>
      <c r="BM59" s="83">
        <f t="shared" si="135"/>
        <v>3.658317413452068</v>
      </c>
      <c r="BN59" s="83">
        <f t="shared" si="136"/>
        <v>14.424905553112655</v>
      </c>
      <c r="BO59" s="83">
        <f t="shared" si="137"/>
        <v>1.619255248577145</v>
      </c>
      <c r="BP59" s="83">
        <f t="shared" si="138"/>
        <v>2.8065170731972113</v>
      </c>
      <c r="BQ59" s="83">
        <f t="shared" si="139"/>
        <v>2.4112329783807027</v>
      </c>
      <c r="BR59" s="83">
        <f t="shared" si="140"/>
        <v>5.457489911871118</v>
      </c>
      <c r="BS59" s="83">
        <f t="shared" si="141"/>
        <v>12.425887521655381</v>
      </c>
      <c r="BT59" s="83">
        <f t="shared" si="142"/>
        <v>1.4513324820580336</v>
      </c>
      <c r="BU59" s="83">
        <f t="shared" si="143"/>
        <v>2.8065170731972113</v>
      </c>
      <c r="BV59" s="83">
        <f t="shared" si="144"/>
        <v>2.4112329783807027</v>
      </c>
      <c r="BW59" s="83">
        <f t="shared" si="145"/>
        <v>7.5685189766828032</v>
      </c>
      <c r="BX59" s="83">
        <f t="shared" si="146"/>
        <v>10.033062573900331</v>
      </c>
      <c r="BY59" s="83">
        <f t="shared" si="147"/>
        <v>1.7751835317734626</v>
      </c>
      <c r="BZ59" s="83">
        <f t="shared" si="148"/>
        <v>4.8697602290542292</v>
      </c>
      <c r="CA59" s="83">
        <f t="shared" si="149"/>
        <v>5.8511258111754998</v>
      </c>
      <c r="CB59" s="83">
        <f t="shared" si="150"/>
        <v>12.339788221465668</v>
      </c>
      <c r="CC59" s="83">
        <f t="shared" si="151"/>
        <v>5.8511258111754998</v>
      </c>
      <c r="CD59" s="83">
        <f t="shared" si="152"/>
        <v>6.6015631101004546</v>
      </c>
      <c r="CE59" s="83">
        <f t="shared" si="153"/>
        <v>14.420447668904529</v>
      </c>
      <c r="CF59" s="83">
        <f t="shared" si="154"/>
        <v>6.6015631101004546</v>
      </c>
      <c r="CG59" s="83">
        <f t="shared" si="155"/>
        <v>2.9986208306984166</v>
      </c>
    </row>
    <row r="60" spans="1:85" x14ac:dyDescent="0.25">
      <c r="A60" t="str">
        <f t="shared" ref="A60:E60" si="198">A26</f>
        <v>P .Trivadi</v>
      </c>
      <c r="B60">
        <f t="shared" si="198"/>
        <v>32</v>
      </c>
      <c r="C60">
        <f t="shared" ca="1" si="198"/>
        <v>78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695" t="s">
        <v>443</v>
      </c>
      <c r="X1" s="695"/>
      <c r="Y1" s="695"/>
      <c r="Z1" s="695"/>
      <c r="AA1" s="695"/>
    </row>
    <row r="2" spans="1:27" x14ac:dyDescent="0.25">
      <c r="A2" t="str">
        <f>Plantilla!D4</f>
        <v>D. Gehmacher</v>
      </c>
      <c r="B2" s="83">
        <f ca="1">Plantilla!Y4++Plantilla!J4+Plantilla!P4</f>
        <v>14.813920011562717</v>
      </c>
      <c r="C2" s="83">
        <f ca="1">Plantilla!AB4+Plantilla!J4+Plantilla!P4</f>
        <v>3.813920011562717</v>
      </c>
      <c r="D2" s="126">
        <f ca="1">(C2*2+B2)/8</f>
        <v>2.8052200043360189</v>
      </c>
      <c r="E2" s="83">
        <f ca="1">D2*Plantilla!R4</f>
        <v>2.1205470012276106</v>
      </c>
      <c r="F2" s="83">
        <f ca="1">D2*Plantilla!S4</f>
        <v>2.3684715918833033</v>
      </c>
      <c r="M2" t="str">
        <f>Plantilla!D4</f>
        <v>D. Gehmacher</v>
      </c>
      <c r="N2" s="48">
        <f>Plantilla!J4</f>
        <v>1.863920011562717</v>
      </c>
      <c r="O2" s="83">
        <f>Plantilla!AC4</f>
        <v>0</v>
      </c>
      <c r="P2" s="83">
        <f>Plantilla!AD4</f>
        <v>18.2</v>
      </c>
      <c r="Q2" s="48">
        <f ca="1">Plantilla!AI4</f>
        <v>6.6062620390705753</v>
      </c>
      <c r="R2" s="48">
        <f ca="1">Plantilla!AJ4</f>
        <v>11.795454808096871</v>
      </c>
      <c r="S2" s="48">
        <f ca="1">Plantilla!AK4</f>
        <v>0.77511360092501724</v>
      </c>
      <c r="T2" s="48">
        <f ca="1">Plantilla!AL4</f>
        <v>1.2244744008093902</v>
      </c>
      <c r="W2" t="str">
        <f>M4</f>
        <v>E. Toney</v>
      </c>
      <c r="X2" s="141">
        <f t="shared" ref="X2:Z9" si="0">N2</f>
        <v>1.863920011562717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9.7475038047995977</v>
      </c>
      <c r="C3" s="83">
        <f>Plantilla!AB5+Plantilla!J5+Plantilla!P5</f>
        <v>3.7475038047995981</v>
      </c>
      <c r="D3" s="126">
        <f t="shared" ref="D3:D25" si="1">(C3*2+B3)/8</f>
        <v>2.1553139267998493</v>
      </c>
      <c r="E3" s="83">
        <f>D3*Plantilla!R5</f>
        <v>1.1520637535753437</v>
      </c>
      <c r="F3" s="83">
        <f>D3*Plantilla!S5</f>
        <v>1.4086305704448046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3.3434292678518927</v>
      </c>
      <c r="R3" s="48">
        <f>Plantilla!AJ5</f>
        <v>6.7149407368005951</v>
      </c>
      <c r="S3" s="48">
        <f>Plantilla!AK5</f>
        <v>0.64230030438396779</v>
      </c>
      <c r="T3" s="48">
        <f>Plantilla!AL5</f>
        <v>0.89232526633597187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15.164076412010365</v>
      </c>
      <c r="C4" s="83">
        <f>Plantilla!AB6+Plantilla!J6+Plantilla!P6</f>
        <v>11.164076412010365</v>
      </c>
      <c r="D4" s="126">
        <f t="shared" si="1"/>
        <v>4.6865286545038867</v>
      </c>
      <c r="E4" s="83">
        <f>D4*Plantilla!R6</f>
        <v>4.3388824264997092</v>
      </c>
      <c r="F4" s="83">
        <f>D4*Plantilla!S6</f>
        <v>4.6831799376386369</v>
      </c>
      <c r="M4" t="str">
        <f>Plantilla!D6</f>
        <v>E. Toney</v>
      </c>
      <c r="N4" s="48">
        <f>Plantilla!J6</f>
        <v>1.7140764120103651</v>
      </c>
      <c r="O4" s="83">
        <f>Plantilla!AC6</f>
        <v>0.95</v>
      </c>
      <c r="P4" s="83">
        <f>Plantilla!AD6</f>
        <v>17.177777777777774</v>
      </c>
      <c r="Q4" s="48">
        <f>Plantilla!AI6</f>
        <v>9.7469290671423661</v>
      </c>
      <c r="R4" s="48">
        <f>Plantilla!AJ6</f>
        <v>14.371987628144272</v>
      </c>
      <c r="S4" s="48">
        <f>Plantilla!AK6</f>
        <v>0.8199594462941624</v>
      </c>
      <c r="T4" s="48">
        <f>Plantilla!AL6</f>
        <v>1.2183186821740588</v>
      </c>
      <c r="W4" t="str">
        <f>M6</f>
        <v>F. Lasprilla</v>
      </c>
      <c r="X4" s="141">
        <f t="shared" si="0"/>
        <v>1.7140764120103651</v>
      </c>
      <c r="Y4" s="141">
        <f t="shared" si="0"/>
        <v>0.95</v>
      </c>
      <c r="Z4" s="141">
        <f t="shared" si="0"/>
        <v>17.177777777777774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12.263642292974636</v>
      </c>
      <c r="C6" s="83">
        <f>Plantilla!AB7+Plantilla!J7+Plantilla!P7</f>
        <v>11.5223089596413</v>
      </c>
      <c r="D6" s="126">
        <f t="shared" si="1"/>
        <v>4.4135325265321548</v>
      </c>
      <c r="E6" s="83">
        <f>D6*Plantilla!R7</f>
        <v>4.0861371240634003</v>
      </c>
      <c r="F6" s="83">
        <f>D6*Plantilla!S7</f>
        <v>4.4103788765928291</v>
      </c>
      <c r="M6" t="str">
        <f>Plantilla!D7</f>
        <v>F. Lasprilla</v>
      </c>
      <c r="N6" s="48">
        <f>Plantilla!J7</f>
        <v>1.1589756263079682</v>
      </c>
      <c r="O6" s="83">
        <f>Plantilla!AC7</f>
        <v>2.95</v>
      </c>
      <c r="P6" s="83">
        <f>Plantilla!AD7</f>
        <v>13.33611111111111</v>
      </c>
      <c r="Q6" s="48">
        <f>Plantilla!AI7</f>
        <v>9.7287002220285981</v>
      </c>
      <c r="R6" s="48">
        <f>Plantilla!AJ7</f>
        <v>11.923871671566637</v>
      </c>
      <c r="S6" s="48">
        <f>Plantilla!AK7</f>
        <v>0.76030138343797071</v>
      </c>
      <c r="T6" s="48">
        <f>Plantilla!AL7</f>
        <v>0.97039829384155785</v>
      </c>
      <c r="W6" t="str">
        <f>M17</f>
        <v>M. Grupinski</v>
      </c>
      <c r="X6" s="141">
        <f t="shared" si="0"/>
        <v>1.1589756263079682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15.136423764012715</v>
      </c>
      <c r="C7" s="83">
        <f>Plantilla!AB8+Plantilla!J8+Plantilla!P8</f>
        <v>13.136423764012715</v>
      </c>
      <c r="D7" s="126">
        <f t="shared" si="1"/>
        <v>5.1761589115047677</v>
      </c>
      <c r="E7" s="83">
        <f>D7*Plantilla!R8</f>
        <v>4.3746527272091811</v>
      </c>
      <c r="F7" s="83">
        <f>D7*Plantilla!S8</f>
        <v>4.7881968012444016</v>
      </c>
      <c r="M7" t="str">
        <f>Plantilla!D8</f>
        <v>E. Romweber</v>
      </c>
      <c r="N7" s="48">
        <f>Plantilla!J8</f>
        <v>1.6864237640127151</v>
      </c>
      <c r="O7" s="83">
        <f>Plantilla!AC8</f>
        <v>4.95</v>
      </c>
      <c r="P7" s="83">
        <f>Plantilla!AD8</f>
        <v>17.529999999999998</v>
      </c>
      <c r="Q7" s="48">
        <f>Plantilla!AI8</f>
        <v>14.621588241499204</v>
      </c>
      <c r="R7" s="48">
        <f>Plantilla!AJ8</f>
        <v>14.318961529568872</v>
      </c>
      <c r="S7" s="48">
        <f>Plantilla!AK8</f>
        <v>1.0283139011210172</v>
      </c>
      <c r="T7" s="48">
        <f>Plantilla!AL8</f>
        <v>1.2269496634808901</v>
      </c>
      <c r="W7" t="str">
        <f>M12</f>
        <v>I. Stone</v>
      </c>
      <c r="X7" s="141">
        <f t="shared" si="0"/>
        <v>1.6864237640127151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12.409159976874564</v>
      </c>
      <c r="C8" s="83">
        <f>Plantilla!AB9+Plantilla!J9+Plantilla!P9</f>
        <v>13.055493310207899</v>
      </c>
      <c r="D8" s="126">
        <f t="shared" si="1"/>
        <v>4.8150183246612954</v>
      </c>
      <c r="E8" s="83">
        <f>D8*Plantilla!R9</f>
        <v>4.4578407457445843</v>
      </c>
      <c r="F8" s="83">
        <f>D8*Plantilla!S9</f>
        <v>4.811577796658808</v>
      </c>
      <c r="M8" t="str">
        <f>Plantilla!D9</f>
        <v>S. Buschelman</v>
      </c>
      <c r="N8" s="48">
        <f>Plantilla!J9</f>
        <v>1.6054933102078996</v>
      </c>
      <c r="O8" s="83">
        <f>Plantilla!AC9</f>
        <v>3.95</v>
      </c>
      <c r="P8" s="83">
        <f>Plantilla!AD9</f>
        <v>16</v>
      </c>
      <c r="Q8" s="48">
        <f>Plantilla!AI9</f>
        <v>13.535619673057951</v>
      </c>
      <c r="R8" s="48">
        <f>Plantilla!AJ9</f>
        <v>14.341410061982717</v>
      </c>
      <c r="S8" s="48">
        <f>Plantilla!AK9</f>
        <v>0.92593946481663192</v>
      </c>
      <c r="T8" s="48">
        <f>Plantilla!AL9</f>
        <v>1.0695311983812197</v>
      </c>
      <c r="W8" t="str">
        <f>M13</f>
        <v>G. Piscaer</v>
      </c>
      <c r="X8" s="141">
        <f t="shared" si="0"/>
        <v>1.6054933102078996</v>
      </c>
      <c r="Y8" s="141">
        <f t="shared" si="0"/>
        <v>3.95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str">
        <f>Plantilla!D10</f>
        <v>W. Gelifini</v>
      </c>
      <c r="B10" s="83">
        <f>Plantilla!Y10++Plantilla!J10+Plantilla!P10</f>
        <v>8.138705808214544</v>
      </c>
      <c r="C10" s="83">
        <f>Plantilla!AB10+Plantilla!J10+Plantilla!P10</f>
        <v>11.437150252658991</v>
      </c>
      <c r="D10" s="126">
        <f t="shared" si="1"/>
        <v>3.8766257891915661</v>
      </c>
      <c r="E10" s="83">
        <f>D10*Plantilla!R10</f>
        <v>1.4652268234657697</v>
      </c>
      <c r="F10" s="83">
        <f>D10*Plantilla!S10</f>
        <v>2.0669567948956131</v>
      </c>
      <c r="M10" t="str">
        <f>Plantilla!D10</f>
        <v>W. Gelifini</v>
      </c>
      <c r="N10" s="48">
        <f>Plantilla!J10</f>
        <v>0.98715025265899181</v>
      </c>
      <c r="O10" s="83">
        <f>Plantilla!AC10</f>
        <v>2.95</v>
      </c>
      <c r="P10" s="83">
        <f>Plantilla!AD10</f>
        <v>12.847222222222223</v>
      </c>
      <c r="Q10" s="48">
        <f>Plantilla!AI10</f>
        <v>3.7265687970617782</v>
      </c>
      <c r="R10" s="48">
        <f>Plantilla!AJ10</f>
        <v>4.673608496952447</v>
      </c>
      <c r="S10" s="48">
        <f>Plantilla!AK10</f>
        <v>0.73188868687938613</v>
      </c>
      <c r="T10" s="48">
        <f>Plantilla!AL10</f>
        <v>0.78557940657501812</v>
      </c>
      <c r="W10" t="str">
        <f>M10</f>
        <v>W. Gelifini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Plantilla!D11</f>
        <v>I. Vanags</v>
      </c>
      <c r="B11" s="83">
        <f ca="1">Plantilla!Y11++Plantilla!J11+Plantilla!P11</f>
        <v>4.6559367735874222</v>
      </c>
      <c r="C11" s="83">
        <f ca="1">Plantilla!AB11+Plantilla!J11+Plantilla!P11</f>
        <v>4.6559367735874222</v>
      </c>
      <c r="D11" s="126">
        <f t="shared" ca="1" si="1"/>
        <v>1.7459762900952833</v>
      </c>
      <c r="E11" s="83">
        <f ca="1">D11*Plantilla!R11</f>
        <v>1.4756192902291394</v>
      </c>
      <c r="F11" s="83">
        <f ca="1">D11*Plantilla!S11</f>
        <v>1.6151123314049169</v>
      </c>
      <c r="M11" t="str">
        <f>Plantilla!D11</f>
        <v>I. Vanags</v>
      </c>
      <c r="N11" s="48">
        <f>Plantilla!J11</f>
        <v>0.23478834540757498</v>
      </c>
      <c r="O11" s="83">
        <f>Plantilla!AC11</f>
        <v>7</v>
      </c>
      <c r="P11" s="83">
        <f>Plantilla!AD11</f>
        <v>6</v>
      </c>
      <c r="Q11" s="48">
        <f ca="1">Plantilla!AI11</f>
        <v>7.4116818832297175</v>
      </c>
      <c r="R11" s="48">
        <f ca="1">Plantilla!AJ11</f>
        <v>5.8788395598199594</v>
      </c>
      <c r="S11" s="48">
        <f ca="1">Plantilla!AK11</f>
        <v>0.58247494188699378</v>
      </c>
      <c r="T11" s="48">
        <f ca="1">Plantilla!AL11</f>
        <v>0.38591557415111954</v>
      </c>
      <c r="W11" t="str">
        <f>M11</f>
        <v>I. Vanags</v>
      </c>
      <c r="X11" s="141">
        <f t="shared" si="2"/>
        <v>0.98715025265899181</v>
      </c>
      <c r="Y11" s="141">
        <f t="shared" si="2"/>
        <v>2.95</v>
      </c>
      <c r="Z11" s="141">
        <f t="shared" si="2"/>
        <v>12.847222222222223</v>
      </c>
      <c r="AA11" s="141"/>
    </row>
    <row r="12" spans="1:27" x14ac:dyDescent="0.25">
      <c r="A12" t="str">
        <f>Plantilla!D12</f>
        <v>I. Stone</v>
      </c>
      <c r="B12" s="83">
        <f ca="1">Plantilla!Y12++Plantilla!J12+Plantilla!P12</f>
        <v>3.9060839119121393</v>
      </c>
      <c r="C12" s="83">
        <f ca="1">Plantilla!AB12+Plantilla!J12+Plantilla!P12</f>
        <v>6.9060839119121402</v>
      </c>
      <c r="D12" s="126">
        <f t="shared" ca="1" si="1"/>
        <v>2.2147814669670525</v>
      </c>
      <c r="E12" s="83">
        <f ca="1">D12*Plantilla!R12</f>
        <v>2.0504891987218343</v>
      </c>
      <c r="F12" s="83">
        <f ca="1">D12*Plantilla!S12</f>
        <v>2.2131989148057323</v>
      </c>
      <c r="M12" t="str">
        <f>Plantilla!D12</f>
        <v>I. Stone</v>
      </c>
      <c r="N12" s="48">
        <f>Plantilla!J12</f>
        <v>0.50694832228214137</v>
      </c>
      <c r="O12" s="83">
        <f>Plantilla!AC12</f>
        <v>9</v>
      </c>
      <c r="P12" s="83">
        <f>Plantilla!AD12</f>
        <v>2</v>
      </c>
      <c r="Q12" s="48">
        <f ca="1">Plantilla!AI12</f>
        <v>9.6678258840609832</v>
      </c>
      <c r="R12" s="48">
        <f ca="1">Plantilla!AJ12</f>
        <v>4.6347331067962614</v>
      </c>
      <c r="S12" s="48">
        <f ca="1">Plantilla!AK12</f>
        <v>0.58248671295297116</v>
      </c>
      <c r="T12" s="48">
        <f ca="1">Plantilla!AL12</f>
        <v>0.24342587383384978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Plantilla!D13</f>
        <v>G. Piscaer</v>
      </c>
      <c r="B13" s="83">
        <f ca="1">Plantilla!Y13++Plantilla!J13+Plantilla!P13</f>
        <v>5.0448129322709674</v>
      </c>
      <c r="C13" s="83">
        <f ca="1">Plantilla!AB13+Plantilla!J13+Plantilla!P13</f>
        <v>3.0448129322709669</v>
      </c>
      <c r="D13" s="126">
        <f t="shared" ca="1" si="1"/>
        <v>1.3918048496016127</v>
      </c>
      <c r="E13" s="83">
        <f ca="1">D13*Plantilla!R13</f>
        <v>1.0521055730227205</v>
      </c>
      <c r="F13" s="83">
        <f ca="1">D13*Plantilla!S13</f>
        <v>1.1751129118684172</v>
      </c>
      <c r="M13" t="str">
        <f>Plantilla!D13</f>
        <v>G. Piscaer</v>
      </c>
      <c r="N13" s="48">
        <f>Plantilla!J13</f>
        <v>0.63616167295954995</v>
      </c>
      <c r="O13" s="83">
        <f>Plantilla!AC13</f>
        <v>8</v>
      </c>
      <c r="P13" s="83">
        <f>Plantilla!AD13</f>
        <v>0</v>
      </c>
      <c r="Q13" s="48">
        <f ca="1">Plantilla!AI13</f>
        <v>6.0391440018632974</v>
      </c>
      <c r="R13" s="48">
        <f ca="1">Plantilla!AJ13</f>
        <v>2.6040338091223338</v>
      </c>
      <c r="S13" s="48">
        <f ca="1">Plantilla!AK13</f>
        <v>0.4835850345816774</v>
      </c>
      <c r="T13" s="48">
        <f ca="1">Plantilla!AL13</f>
        <v>0.23313690525896771</v>
      </c>
    </row>
    <row r="14" spans="1:27" x14ac:dyDescent="0.25">
      <c r="A14" t="str">
        <f>Plantilla!D14</f>
        <v>M. Bondarewski</v>
      </c>
      <c r="B14" s="83">
        <f ca="1">Plantilla!Y14++Plantilla!J14+Plantilla!P14</f>
        <v>3.0542055542622677</v>
      </c>
      <c r="C14" s="83">
        <f ca="1">Plantilla!AB14+Plantilla!J14+Plantilla!P14</f>
        <v>5.0542055542622677</v>
      </c>
      <c r="D14" s="126">
        <f t="shared" ca="1" si="1"/>
        <v>1.6453270828483504</v>
      </c>
      <c r="E14" s="83">
        <f ca="1">D14*Plantilla!R14</f>
        <v>1.5232768840011408</v>
      </c>
      <c r="F14" s="83">
        <f ca="1">D14*Plantilla!S14</f>
        <v>1.6441514291913752</v>
      </c>
      <c r="M14" t="str">
        <f>Plantilla!D14</f>
        <v>M. Bondarewski</v>
      </c>
      <c r="N14" s="48">
        <f>Plantilla!J14</f>
        <v>0.63616167295954995</v>
      </c>
      <c r="O14" s="83">
        <f>Plantilla!AC14</f>
        <v>8</v>
      </c>
      <c r="P14" s="83">
        <f>Plantilla!AD14</f>
        <v>6</v>
      </c>
      <c r="Q14" s="48">
        <f ca="1">Plantilla!AI14</f>
        <v>10.470834864013106</v>
      </c>
      <c r="R14" s="48">
        <f ca="1">Plantilla!AJ14</f>
        <v>7.0864173499267098</v>
      </c>
      <c r="S14" s="48">
        <f ca="1">Plantilla!AK14</f>
        <v>0.66433644434098138</v>
      </c>
      <c r="T14" s="48">
        <f ca="1">Plantilla!AL14</f>
        <v>0.33379438879835877</v>
      </c>
    </row>
    <row r="15" spans="1:27" x14ac:dyDescent="0.25">
      <c r="A15" t="str">
        <f>Plantilla!D19</f>
        <v>J. Vartiainen</v>
      </c>
      <c r="B15" s="83">
        <f ca="1">Plantilla!Y19++Plantilla!J19+Plantilla!P19</f>
        <v>7.6097636919667808</v>
      </c>
      <c r="C15" s="83">
        <f ca="1">Plantilla!AB19+Plantilla!J19+Plantilla!P19</f>
        <v>1.6097636919667804</v>
      </c>
      <c r="D15" s="126">
        <f t="shared" ca="1" si="1"/>
        <v>1.3536613844875427</v>
      </c>
      <c r="E15" s="83">
        <f ca="1">D15*Plantilla!R19</f>
        <v>1.2532469180445069</v>
      </c>
      <c r="F15" s="83">
        <f ca="1">D15*Plantilla!S19</f>
        <v>1.3526941379299624</v>
      </c>
      <c r="M15" t="str">
        <f>Plantilla!D19</f>
        <v>J. Vartiainen</v>
      </c>
      <c r="N15" s="48">
        <f>Plantilla!J19</f>
        <v>0.19483738090431735</v>
      </c>
      <c r="O15" s="83">
        <f>Plantilla!AC19</f>
        <v>6</v>
      </c>
      <c r="P15" s="83">
        <f>Plantilla!AD19</f>
        <v>1</v>
      </c>
      <c r="Q15" s="48">
        <f ca="1">Plantilla!AI19</f>
        <v>3.9417510658550694</v>
      </c>
      <c r="R15" s="48">
        <f ca="1">Plantilla!AJ19</f>
        <v>2.8790817315657424</v>
      </c>
      <c r="S15" s="48">
        <f ca="1">Plantilla!AK19</f>
        <v>0.37878109535734245</v>
      </c>
      <c r="T15" s="48">
        <f ca="1">Plantilla!AL19</f>
        <v>0.35268345843767468</v>
      </c>
    </row>
    <row r="16" spans="1:27" x14ac:dyDescent="0.25">
      <c r="A16" t="str">
        <f>Plantilla!D16</f>
        <v>R. Forsyth</v>
      </c>
      <c r="B16" s="83">
        <f ca="1">Plantilla!Y16++Plantilla!J16+Plantilla!P16</f>
        <v>8.0762973532922118</v>
      </c>
      <c r="C16" s="83">
        <f ca="1">Plantilla!AB16+Plantilla!J16+Plantilla!P16</f>
        <v>5.0762973532922109</v>
      </c>
      <c r="D16" s="126">
        <f t="shared" ca="1" si="1"/>
        <v>2.2786115074845794</v>
      </c>
      <c r="E16" s="83">
        <f ca="1">D16*Plantilla!R16</f>
        <v>1.4917013874922171</v>
      </c>
      <c r="F16" s="83">
        <f ca="1">D16*Plantilla!S16</f>
        <v>1.7203139623811272</v>
      </c>
      <c r="M16" t="str">
        <f>Plantilla!D16</f>
        <v>R. Forsyth</v>
      </c>
      <c r="N16" s="48">
        <f>Plantilla!J16</f>
        <v>0.65514892511236356</v>
      </c>
      <c r="O16" s="83">
        <f>Plantilla!AC16</f>
        <v>6</v>
      </c>
      <c r="P16" s="83">
        <f>Plantilla!AD16</f>
        <v>2</v>
      </c>
      <c r="Q16" s="48">
        <f ca="1">Plantilla!AI16</f>
        <v>3.8222721496139185</v>
      </c>
      <c r="R16" s="48">
        <f ca="1">Plantilla!AJ16</f>
        <v>2.7994937593715532</v>
      </c>
      <c r="S16" s="48">
        <f ca="1">Plantilla!AK16</f>
        <v>0.44610378826337688</v>
      </c>
      <c r="T16" s="48">
        <f ca="1">Plantilla!AL16</f>
        <v>0.41534081473045481</v>
      </c>
    </row>
    <row r="17" spans="1:20" x14ac:dyDescent="0.25">
      <c r="A17" t="str">
        <f>Plantilla!D17</f>
        <v>M. Grupinski</v>
      </c>
      <c r="B17" s="83">
        <f ca="1">Plantilla!Y17++Plantilla!J17+Plantilla!P17</f>
        <v>3.9387582178005198</v>
      </c>
      <c r="C17" s="83">
        <f ca="1">Plantilla!AB17+Plantilla!J17+Plantilla!P17</f>
        <v>6.9387582178005198</v>
      </c>
      <c r="D17" s="126">
        <f t="shared" ca="1" si="1"/>
        <v>2.227034331675195</v>
      </c>
      <c r="E17" s="83">
        <f ca="1">D17*Plantilla!R17</f>
        <v>1.8821875408417694</v>
      </c>
      <c r="F17" s="83">
        <f ca="1">D17*Plantilla!S17</f>
        <v>2.0601142363476317</v>
      </c>
      <c r="M17" t="str">
        <f>Plantilla!D17</f>
        <v>M. Grupinski</v>
      </c>
      <c r="N17" s="48">
        <f>Plantilla!J17</f>
        <v>0.59621070845629232</v>
      </c>
      <c r="O17" s="83">
        <f>Plantilla!AC17</f>
        <v>3</v>
      </c>
      <c r="P17" s="83">
        <f>Plantilla!AD17</f>
        <v>3</v>
      </c>
      <c r="Q17" s="48">
        <f ca="1">Plantilla!AI17</f>
        <v>0.93360443219072575</v>
      </c>
      <c r="R17" s="48">
        <f ca="1">Plantilla!AJ17</f>
        <v>3.3288582661210184</v>
      </c>
      <c r="S17" s="48">
        <f ca="1">Plantilla!AK17</f>
        <v>0.31510065742404159</v>
      </c>
      <c r="T17" s="48">
        <f ca="1">Plantilla!AL17</f>
        <v>0.27571307524603644</v>
      </c>
    </row>
    <row r="18" spans="1:20" x14ac:dyDescent="0.25">
      <c r="A18" t="str">
        <f>Plantilla!D18</f>
        <v>V. Godoi</v>
      </c>
      <c r="B18" s="83">
        <f ca="1">Plantilla!Y18++Plantilla!J18+Plantilla!P18</f>
        <v>4.377293273849002</v>
      </c>
      <c r="C18" s="83">
        <f ca="1">Plantilla!AB18+Plantilla!J18+Plantilla!P18</f>
        <v>6.377293273849002</v>
      </c>
      <c r="D18" s="126">
        <f t="shared" ca="1" si="1"/>
        <v>2.1414849776933758</v>
      </c>
      <c r="E18" s="83">
        <f ca="1">D18*Plantilla!R18</f>
        <v>1.4019310014129589</v>
      </c>
      <c r="F18" s="83">
        <f ca="1">D18*Plantilla!S18</f>
        <v>1.6167857027204462</v>
      </c>
      <c r="M18" t="str">
        <f>Plantilla!D18</f>
        <v>V. Godoi</v>
      </c>
      <c r="N18" s="48">
        <f>Plantilla!J18</f>
        <v>0.99758403600826717</v>
      </c>
      <c r="O18" s="83">
        <f>Plantilla!AC18</f>
        <v>5</v>
      </c>
      <c r="P18" s="83">
        <f>Plantilla!AD18</f>
        <v>1</v>
      </c>
      <c r="Q18" s="48">
        <f ca="1">Plantilla!AI18</f>
        <v>2.8109638035652815</v>
      </c>
      <c r="R18" s="48">
        <f ca="1">Plantilla!AJ18</f>
        <v>2.341888172924206</v>
      </c>
      <c r="S18" s="48">
        <f ca="1">Plantilla!AK18</f>
        <v>0.39018346190792019</v>
      </c>
      <c r="T18" s="48">
        <f ca="1">Plantilla!AL18</f>
        <v>0.24641052916943015</v>
      </c>
    </row>
    <row r="19" spans="1:20" x14ac:dyDescent="0.25">
      <c r="A19" t="str">
        <f>Plantilla!D15</f>
        <v>P. Tuderek</v>
      </c>
      <c r="B19" s="83">
        <f ca="1">Plantilla!Y15++Plantilla!J15+Plantilla!P15</f>
        <v>6.8777120026094565</v>
      </c>
      <c r="C19" s="83">
        <f ca="1">Plantilla!AB15+Plantilla!J15+Plantilla!P15</f>
        <v>3.877712002609456</v>
      </c>
      <c r="D19" s="126">
        <f t="shared" ca="1" si="1"/>
        <v>1.8291420009785462</v>
      </c>
      <c r="E19" s="83">
        <f ca="1">D19*Plantilla!R15</f>
        <v>1.8291420009785462</v>
      </c>
      <c r="F19" s="83">
        <f ca="1">D19*Plantilla!S15</f>
        <v>1.8291420009785462</v>
      </c>
      <c r="M19" t="str">
        <f>Plantilla!D15</f>
        <v>P. Tuderek</v>
      </c>
      <c r="N19" s="48">
        <f>Plantilla!J15</f>
        <v>0.45656357442960838</v>
      </c>
      <c r="O19" s="83">
        <f>Plantilla!AC15</f>
        <v>6</v>
      </c>
      <c r="P19" s="83">
        <f>Plantilla!AD15</f>
        <v>8</v>
      </c>
      <c r="Q19" s="48">
        <f ca="1">Plantilla!AI15</f>
        <v>8.6997435257669</v>
      </c>
      <c r="R19" s="48">
        <f ca="1">Plantilla!AJ15</f>
        <v>8.2777120026094551</v>
      </c>
      <c r="S19" s="48">
        <f ca="1">Plantilla!AK15</f>
        <v>0.6102169602087566</v>
      </c>
      <c r="T19" s="48">
        <f ca="1">Plantilla!AL15</f>
        <v>0.541439840182662</v>
      </c>
    </row>
    <row r="20" spans="1:20" x14ac:dyDescent="0.25">
      <c r="A20" t="str">
        <f>Plantilla!D20</f>
        <v>G. Stoychev</v>
      </c>
      <c r="B20" s="83">
        <f ca="1">Plantilla!Y20++Plantilla!J20+Plantilla!P20</f>
        <v>10.238677986591851</v>
      </c>
      <c r="C20" s="83">
        <f ca="1">Plantilla!AB20+Plantilla!J20+Plantilla!P20</f>
        <v>6.2386779865918509</v>
      </c>
      <c r="D20" s="126">
        <f t="shared" ca="1" si="1"/>
        <v>2.8395042449719439</v>
      </c>
      <c r="E20" s="83">
        <f ca="1">D20*Plantilla!R20</f>
        <v>2.6288701033845085</v>
      </c>
      <c r="F20" s="83">
        <f ca="1">D20*Plantilla!S20</f>
        <v>2.8374753027729143</v>
      </c>
      <c r="M20" t="str">
        <f>Plantilla!D20</f>
        <v>G. Stoychev</v>
      </c>
      <c r="N20" s="48">
        <f>Plantilla!J20</f>
        <v>0.8961304772476234</v>
      </c>
      <c r="O20" s="83">
        <f>Plantilla!AC20</f>
        <v>5</v>
      </c>
      <c r="P20" s="83">
        <f>Plantilla!AD20</f>
        <v>3</v>
      </c>
      <c r="Q20" s="48">
        <f ca="1">Plantilla!AI20</f>
        <v>4.7100897139283893</v>
      </c>
      <c r="R20" s="48">
        <f ca="1">Plantilla!AJ20</f>
        <v>4.479745336313715</v>
      </c>
      <c r="S20" s="48">
        <f ca="1">Plantilla!AK20</f>
        <v>0.43909423892734811</v>
      </c>
      <c r="T20" s="48">
        <f ca="1">Plantilla!AL20</f>
        <v>0.53670745906142958</v>
      </c>
    </row>
    <row r="21" spans="1:20" x14ac:dyDescent="0.25">
      <c r="A21" t="str">
        <f>Plantilla!D21</f>
        <v>K. Helms</v>
      </c>
      <c r="B21" s="83">
        <f>Plantilla!Y21++Plantilla!J21+Plantilla!P21</f>
        <v>10.002470474379249</v>
      </c>
      <c r="C21" s="83">
        <f>Plantilla!AB21+Plantilla!J21+Plantilla!P21</f>
        <v>13.002470474379249</v>
      </c>
      <c r="D21" s="126">
        <f t="shared" si="1"/>
        <v>4.5009264278922183</v>
      </c>
      <c r="E21" s="83">
        <f>D21*Plantilla!R21</f>
        <v>2.4058463737498528</v>
      </c>
      <c r="F21" s="83">
        <f>D21*Plantilla!S21</f>
        <v>2.9416329949974296</v>
      </c>
      <c r="M21" t="str">
        <f>Plantilla!D21</f>
        <v>K. Helms</v>
      </c>
      <c r="N21" s="48">
        <f>Plantilla!J21</f>
        <v>1.5524704743792495</v>
      </c>
      <c r="O21" s="83">
        <f>Plantilla!AC21</f>
        <v>3.95</v>
      </c>
      <c r="P21" s="83">
        <f>Plantilla!AD21</f>
        <v>17.95</v>
      </c>
      <c r="Q21" s="48">
        <f>Plantilla!AI21</f>
        <v>8.3254334314170375</v>
      </c>
      <c r="R21" s="48">
        <f>Plantilla!AJ21</f>
        <v>8.9812982523588811</v>
      </c>
      <c r="S21" s="48">
        <f>Plantilla!AK21</f>
        <v>0.98019763795033987</v>
      </c>
      <c r="T21" s="48">
        <f>Plantilla!AL21</f>
        <v>1.0301729332065475</v>
      </c>
    </row>
    <row r="22" spans="1:20" x14ac:dyDescent="0.25">
      <c r="A22" t="str">
        <f>Plantilla!D22</f>
        <v>S. Zobbe</v>
      </c>
      <c r="B22" s="83">
        <f>Plantilla!Y22++Plantilla!J22+Plantilla!P22</f>
        <v>11.400448049953413</v>
      </c>
      <c r="C22" s="83">
        <f>Plantilla!AB22+Plantilla!J22+Plantilla!P22</f>
        <v>13.280448049953415</v>
      </c>
      <c r="D22" s="126">
        <f t="shared" si="1"/>
        <v>4.7451680187325307</v>
      </c>
      <c r="E22" s="83">
        <f>D22*Plantilla!R22</f>
        <v>4.0103989404334834</v>
      </c>
      <c r="F22" s="83">
        <f>D22*Plantilla!S22</f>
        <v>4.3895094252539373</v>
      </c>
      <c r="M22" t="str">
        <f>Plantilla!D22</f>
        <v>S. Zobbe</v>
      </c>
      <c r="N22" s="48">
        <f>Plantilla!J22</f>
        <v>1.5404480499534159</v>
      </c>
      <c r="O22" s="83">
        <f>Plantilla!AC22</f>
        <v>6.95</v>
      </c>
      <c r="P22" s="83">
        <f>Plantilla!AD22</f>
        <v>16</v>
      </c>
      <c r="Q22" s="48">
        <f>Plantilla!AI22</f>
        <v>16.44365095107224</v>
      </c>
      <c r="R22" s="48">
        <f>Plantilla!AJ22</f>
        <v>13.797521879767492</v>
      </c>
      <c r="S22" s="48">
        <f>Plantilla!AK22</f>
        <v>1.0707358439962733</v>
      </c>
      <c r="T22" s="48">
        <f>Plantilla!AL22</f>
        <v>1.0272313634967389</v>
      </c>
    </row>
    <row r="23" spans="1:20" x14ac:dyDescent="0.25">
      <c r="A23" t="str">
        <f>Plantilla!D23</f>
        <v>L. Bauman</v>
      </c>
      <c r="B23" s="83">
        <f>Plantilla!Y23++Plantilla!J23+Plantilla!P23</f>
        <v>8.9440985749411333</v>
      </c>
      <c r="C23" s="83">
        <f>Plantilla!AB23+Plantilla!J23+Plantilla!P23</f>
        <v>11.944098574941133</v>
      </c>
      <c r="D23" s="126">
        <f t="shared" si="1"/>
        <v>4.1040369656029245</v>
      </c>
      <c r="E23" s="83">
        <f>D23*Plantilla!R23</f>
        <v>4.1040369656029245</v>
      </c>
      <c r="F23" s="83">
        <f>D23*Plantilla!S23</f>
        <v>4.1040369656029245</v>
      </c>
      <c r="M23" t="str">
        <f>Plantilla!D23</f>
        <v>L. Bauman</v>
      </c>
      <c r="N23" s="48">
        <f>Plantilla!J23</f>
        <v>1.4940985749411331</v>
      </c>
      <c r="O23" s="83">
        <f>Plantilla!AC23</f>
        <v>4.95</v>
      </c>
      <c r="P23" s="83">
        <f>Plantilla!AD23</f>
        <v>16.95</v>
      </c>
      <c r="Q23" s="48">
        <f>Plantilla!AI23</f>
        <v>16.556457850619907</v>
      </c>
      <c r="R23" s="48">
        <f>Plantilla!AJ23</f>
        <v>16.344098574941132</v>
      </c>
      <c r="S23" s="48">
        <f>Plantilla!AK23</f>
        <v>0.99552788599529052</v>
      </c>
      <c r="T23" s="48">
        <f>Plantilla!AL23</f>
        <v>0.95608690024587928</v>
      </c>
    </row>
    <row r="24" spans="1:20" x14ac:dyDescent="0.25">
      <c r="A24" t="str">
        <f>Plantilla!D24</f>
        <v>J. Limon</v>
      </c>
      <c r="B24" s="83">
        <f>Plantilla!Y24++Plantilla!J24+Plantilla!P24</f>
        <v>9.9209800087343325</v>
      </c>
      <c r="C24" s="83">
        <f>Plantilla!AB24+Plantilla!J24+Plantilla!P24</f>
        <v>12.033360961115283</v>
      </c>
      <c r="D24" s="126">
        <f t="shared" si="1"/>
        <v>4.2484627413706129</v>
      </c>
      <c r="E24" s="83">
        <f>D24*Plantilla!R24</f>
        <v>3.5906063619249506</v>
      </c>
      <c r="F24" s="83">
        <f>D24*Plantilla!S24</f>
        <v>3.9300330720570944</v>
      </c>
      <c r="M24" t="str">
        <f>Plantilla!D24</f>
        <v>J. Limon</v>
      </c>
      <c r="N24" s="48">
        <f>Plantilla!J24</f>
        <v>1.5833609611152841</v>
      </c>
      <c r="O24" s="83">
        <f>Plantilla!AC24</f>
        <v>6.95</v>
      </c>
      <c r="P24" s="83">
        <f>Plantilla!AD24</f>
        <v>18.999999999999993</v>
      </c>
      <c r="Q24" s="48">
        <f>Plantilla!AI24</f>
        <v>17.918307816461532</v>
      </c>
      <c r="R24" s="48">
        <f>Plantilla!AJ24</f>
        <v>15.608613844148612</v>
      </c>
      <c r="S24" s="48">
        <f>Plantilla!AK24</f>
        <v>1.1641688768892222</v>
      </c>
      <c r="T24" s="48">
        <f>Plantilla!AL24</f>
        <v>1.0593400291828317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2.7719093225590656</v>
      </c>
      <c r="F25" s="83">
        <f>D25*Plantilla!S25</f>
        <v>3.1967217769163954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12.540496417052335</v>
      </c>
      <c r="R25" s="48">
        <f>Plantilla!AJ25</f>
        <v>9.7125054561506214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695" t="s">
        <v>442</v>
      </c>
      <c r="B27" s="695"/>
      <c r="C27" s="695"/>
      <c r="D27" s="695"/>
      <c r="E27" s="695"/>
      <c r="F27" s="695"/>
      <c r="G27" s="695"/>
      <c r="H27" s="695"/>
      <c r="I27" s="695"/>
      <c r="J27" s="695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5.1761589115047677</v>
      </c>
      <c r="C29" s="48">
        <f>E7</f>
        <v>4.3746527272091811</v>
      </c>
      <c r="D29" s="48">
        <f>F7</f>
        <v>4.7881968012444016</v>
      </c>
      <c r="G29" s="48" t="str">
        <f>A29</f>
        <v>E. Romweber</v>
      </c>
      <c r="H29" s="48">
        <f>B29</f>
        <v>5.1761589115047677</v>
      </c>
      <c r="I29" s="48">
        <f t="shared" ref="I29:J32" si="3">C29</f>
        <v>4.3746527272091811</v>
      </c>
      <c r="J29" s="48">
        <f t="shared" si="3"/>
        <v>4.7881968012444016</v>
      </c>
    </row>
    <row r="30" spans="1:20" x14ac:dyDescent="0.25">
      <c r="A30" s="48" t="str">
        <f>A4</f>
        <v>E. Toney</v>
      </c>
      <c r="B30" s="48">
        <f>D4</f>
        <v>4.6865286545038867</v>
      </c>
      <c r="C30" s="48">
        <f>E4</f>
        <v>4.3388824264997092</v>
      </c>
      <c r="D30" s="48">
        <f>F4</f>
        <v>4.6831799376386369</v>
      </c>
      <c r="G30" s="48" t="str">
        <f>A30</f>
        <v>E. Toney</v>
      </c>
      <c r="H30" s="48">
        <f>B30</f>
        <v>4.6865286545038867</v>
      </c>
      <c r="I30" s="48">
        <f t="shared" si="3"/>
        <v>4.3388824264997092</v>
      </c>
      <c r="J30" s="48">
        <f t="shared" si="3"/>
        <v>4.6831799376386369</v>
      </c>
    </row>
    <row r="31" spans="1:20" x14ac:dyDescent="0.25">
      <c r="A31" t="str">
        <f>A8</f>
        <v>S. Buschelman</v>
      </c>
      <c r="B31" s="48">
        <f t="shared" ref="B31:D32" si="4">D8</f>
        <v>4.8150183246612954</v>
      </c>
      <c r="C31" s="48">
        <f t="shared" si="4"/>
        <v>4.4578407457445843</v>
      </c>
      <c r="D31" s="48">
        <f t="shared" si="4"/>
        <v>4.811577796658808</v>
      </c>
      <c r="G31" s="48" t="str">
        <f>A31</f>
        <v>S. Buschelman</v>
      </c>
      <c r="H31" s="48">
        <f>B31</f>
        <v>4.8150183246612954</v>
      </c>
      <c r="I31" s="48">
        <f t="shared" si="3"/>
        <v>4.4578407457445843</v>
      </c>
      <c r="J31" s="48">
        <f t="shared" si="3"/>
        <v>4.811577796658808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35</v>
      </c>
      <c r="C3" s="50">
        <f>Plantilla!H4</f>
        <v>6</v>
      </c>
      <c r="D3" s="129">
        <f>Plantilla!I4</f>
        <v>24</v>
      </c>
      <c r="E3" s="123">
        <f>D3</f>
        <v>24</v>
      </c>
      <c r="F3" s="123">
        <f>E3+0.1</f>
        <v>24.1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864</v>
      </c>
      <c r="J3" s="127">
        <f t="shared" si="1"/>
        <v>1177.5284100000001</v>
      </c>
      <c r="K3" s="124"/>
      <c r="N3" s="2" t="s">
        <v>235</v>
      </c>
      <c r="O3" t="str">
        <f>A3</f>
        <v>D. Gehmacher</v>
      </c>
      <c r="P3" s="125">
        <f>E3</f>
        <v>24</v>
      </c>
      <c r="Q3" s="125">
        <f t="shared" ref="Q3:S3" si="2">F3</f>
        <v>24.1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</v>
      </c>
      <c r="X3" s="125">
        <f t="shared" ref="X3:Z3" si="3">Q3</f>
        <v>24.1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39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6.4</v>
      </c>
      <c r="Q4" s="125">
        <f t="shared" ref="Q4:S4" si="10">F7</f>
        <v>6.5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6.4</v>
      </c>
      <c r="X4" s="125">
        <f t="shared" ref="X4:X13" si="13">Q4</f>
        <v>6.5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36</v>
      </c>
      <c r="C5" s="50">
        <f>Plantilla!H6</f>
        <v>4</v>
      </c>
      <c r="D5" s="129">
        <f>Plantilla!I6</f>
        <v>18.3</v>
      </c>
      <c r="E5" s="123">
        <f t="shared" si="4"/>
        <v>18.3</v>
      </c>
      <c r="F5" s="123">
        <f t="shared" si="5"/>
        <v>18.400000000000002</v>
      </c>
      <c r="G5" s="123">
        <f t="shared" si="6"/>
        <v>4</v>
      </c>
      <c r="H5" s="123">
        <f t="shared" si="7"/>
        <v>4.99</v>
      </c>
      <c r="I5" s="127">
        <f t="shared" si="8"/>
        <v>292.8</v>
      </c>
      <c r="J5" s="127">
        <f t="shared" si="9"/>
        <v>458.1618400000001</v>
      </c>
      <c r="K5" s="124"/>
      <c r="L5" s="54"/>
      <c r="O5" t="str">
        <f>A14</f>
        <v>G. Piscaer</v>
      </c>
      <c r="P5" s="125">
        <f>E14</f>
        <v>2</v>
      </c>
      <c r="Q5" s="125">
        <f t="shared" ref="Q5:S5" si="16">F14</f>
        <v>2.1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</v>
      </c>
      <c r="X5" s="125">
        <f t="shared" si="13"/>
        <v>2.1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18.3</v>
      </c>
      <c r="Q6" s="125">
        <f t="shared" ref="Q6:S6" si="17">F5</f>
        <v>18.400000000000002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18.3</v>
      </c>
      <c r="X6" s="125">
        <f t="shared" si="13"/>
        <v>18.400000000000002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32</v>
      </c>
      <c r="C7" s="50">
        <f>Plantilla!H7</f>
        <v>4</v>
      </c>
      <c r="D7" s="129">
        <f>Plantilla!I7</f>
        <v>6.4</v>
      </c>
      <c r="E7" s="123">
        <f t="shared" si="4"/>
        <v>6.4</v>
      </c>
      <c r="F7" s="123">
        <f t="shared" si="5"/>
        <v>6.5</v>
      </c>
      <c r="G7" s="123">
        <f t="shared" si="6"/>
        <v>4</v>
      </c>
      <c r="H7" s="123">
        <f t="shared" si="7"/>
        <v>4.99</v>
      </c>
      <c r="I7" s="127">
        <f t="shared" si="8"/>
        <v>102.4</v>
      </c>
      <c r="J7" s="127">
        <f t="shared" si="9"/>
        <v>161.85065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17.399999999999999</v>
      </c>
      <c r="E8" s="123">
        <f t="shared" si="4"/>
        <v>17.399999999999999</v>
      </c>
      <c r="F8" s="123">
        <f t="shared" si="5"/>
        <v>17.5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17.15175</v>
      </c>
      <c r="K8" s="124"/>
      <c r="O8" t="str">
        <f>A12</f>
        <v>I. Vanags</v>
      </c>
      <c r="P8" s="125">
        <f>E12</f>
        <v>0.5</v>
      </c>
      <c r="Q8" s="125">
        <f t="shared" ref="Q8:S8" si="21">F12</f>
        <v>0.6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0.5</v>
      </c>
      <c r="X8" s="125">
        <f t="shared" si="13"/>
        <v>0.6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</v>
      </c>
      <c r="E9" s="123">
        <f t="shared" si="4"/>
        <v>15</v>
      </c>
      <c r="F9" s="123">
        <f t="shared" si="5"/>
        <v>15.1</v>
      </c>
      <c r="G9" s="123">
        <f t="shared" si="6"/>
        <v>3</v>
      </c>
      <c r="H9" s="123">
        <f t="shared" si="7"/>
        <v>3.99</v>
      </c>
      <c r="I9" s="127">
        <f t="shared" si="8"/>
        <v>135</v>
      </c>
      <c r="J9" s="127">
        <f t="shared" si="9"/>
        <v>240.39351000000002</v>
      </c>
      <c r="K9" s="124"/>
      <c r="O9" t="str">
        <f>A15</f>
        <v>M. Bondarewski</v>
      </c>
      <c r="P9" s="125">
        <f>E15</f>
        <v>2</v>
      </c>
      <c r="Q9" s="125">
        <f t="shared" ref="Q9:S9" si="22">F15</f>
        <v>2.1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</v>
      </c>
      <c r="X9" s="125">
        <f t="shared" si="13"/>
        <v>2.1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1.4</v>
      </c>
      <c r="Q10" s="125">
        <f t="shared" ref="Q10:S10" si="23">F13</f>
        <v>1.5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1.4</v>
      </c>
      <c r="X10" s="125">
        <f t="shared" si="13"/>
        <v>1.5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str">
        <f>Plantilla!D10</f>
        <v>W. Gelifini</v>
      </c>
      <c r="B11" s="50">
        <f>Plantilla!E10</f>
        <v>34</v>
      </c>
      <c r="C11" s="50">
        <f>Plantilla!H10</f>
        <v>2</v>
      </c>
      <c r="D11" s="129">
        <f>Plantilla!I10</f>
        <v>4.5</v>
      </c>
      <c r="E11" s="123">
        <f t="shared" si="4"/>
        <v>4.5</v>
      </c>
      <c r="F11" s="123">
        <f t="shared" si="5"/>
        <v>4.5999999999999996</v>
      </c>
      <c r="G11" s="123">
        <f t="shared" si="6"/>
        <v>2</v>
      </c>
      <c r="H11" s="123">
        <f t="shared" si="7"/>
        <v>2.99</v>
      </c>
      <c r="I11" s="127">
        <f t="shared" si="8"/>
        <v>18</v>
      </c>
      <c r="J11" s="127">
        <f t="shared" si="9"/>
        <v>41.124459999999999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Plantilla!D11</f>
        <v>I. Vanags</v>
      </c>
      <c r="B12" s="50">
        <f>Plantilla!E11</f>
        <v>19</v>
      </c>
      <c r="C12" s="50">
        <f>Plantilla!H11</f>
        <v>4</v>
      </c>
      <c r="D12" s="129">
        <f>Plantilla!I11</f>
        <v>0.5</v>
      </c>
      <c r="E12" s="123">
        <f t="shared" si="4"/>
        <v>0.5</v>
      </c>
      <c r="F12" s="123">
        <f t="shared" si="5"/>
        <v>0.6</v>
      </c>
      <c r="G12" s="123">
        <f t="shared" si="6"/>
        <v>4</v>
      </c>
      <c r="H12" s="123">
        <f t="shared" si="7"/>
        <v>4.99</v>
      </c>
      <c r="I12" s="127">
        <f t="shared" si="8"/>
        <v>8</v>
      </c>
      <c r="J12" s="127">
        <f t="shared" si="9"/>
        <v>14.940060000000001</v>
      </c>
      <c r="K12" s="124"/>
      <c r="O12" t="str">
        <f>A20</f>
        <v>P. Tuderek</v>
      </c>
      <c r="P12" s="125">
        <f>E20</f>
        <v>1.2</v>
      </c>
      <c r="Q12" s="125">
        <f t="shared" ref="Q12:S12" si="25">F20</f>
        <v>1.3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1.2</v>
      </c>
      <c r="X12" s="125">
        <f t="shared" si="13"/>
        <v>1.3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Plantilla!D12</f>
        <v>I. Stone</v>
      </c>
      <c r="B13" s="322">
        <f>Plantilla!E12</f>
        <v>18</v>
      </c>
      <c r="C13" s="322">
        <f>Plantilla!H12</f>
        <v>6</v>
      </c>
      <c r="D13" s="323">
        <f>Plantilla!I12</f>
        <v>1.4</v>
      </c>
      <c r="E13" s="324">
        <f t="shared" si="4"/>
        <v>1.4</v>
      </c>
      <c r="F13" s="324">
        <f t="shared" si="5"/>
        <v>1.5</v>
      </c>
      <c r="G13" s="324">
        <f t="shared" si="6"/>
        <v>6</v>
      </c>
      <c r="H13" s="324">
        <f t="shared" si="7"/>
        <v>6.99</v>
      </c>
      <c r="I13" s="325">
        <f t="shared" si="8"/>
        <v>50.4</v>
      </c>
      <c r="J13" s="325">
        <f t="shared" si="9"/>
        <v>73.290150000000011</v>
      </c>
      <c r="K13" s="124"/>
      <c r="O13" t="str">
        <f>A19</f>
        <v>V. Godoi</v>
      </c>
      <c r="P13" s="125">
        <f>E19</f>
        <v>4.5999999999999996</v>
      </c>
      <c r="Q13" s="125">
        <f t="shared" ref="Q13:S13" si="26">F19</f>
        <v>4.6999999999999993</v>
      </c>
      <c r="R13" s="125">
        <f t="shared" si="26"/>
        <v>5</v>
      </c>
      <c r="S13" s="125">
        <f t="shared" si="26"/>
        <v>5.99</v>
      </c>
      <c r="V13" s="55" t="str">
        <f t="shared" si="11"/>
        <v>V. Godoi</v>
      </c>
      <c r="W13" s="125">
        <f t="shared" si="12"/>
        <v>4.5999999999999996</v>
      </c>
      <c r="X13" s="125">
        <f t="shared" si="13"/>
        <v>4.6999999999999993</v>
      </c>
      <c r="Y13" s="125">
        <f t="shared" si="14"/>
        <v>5</v>
      </c>
      <c r="Z13" s="125">
        <f t="shared" si="15"/>
        <v>5.99</v>
      </c>
    </row>
    <row r="14" spans="1:26" x14ac:dyDescent="0.25">
      <c r="A14" s="128" t="str">
        <f>Plantilla!D13</f>
        <v>G. Piscaer</v>
      </c>
      <c r="B14" s="50">
        <f>Plantilla!E13</f>
        <v>19</v>
      </c>
      <c r="C14" s="50">
        <f>Plantilla!H13</f>
        <v>1</v>
      </c>
      <c r="D14" s="129">
        <f>Plantilla!I13</f>
        <v>2</v>
      </c>
      <c r="E14" s="123">
        <f t="shared" si="4"/>
        <v>2</v>
      </c>
      <c r="F14" s="123">
        <f t="shared" si="5"/>
        <v>2.1</v>
      </c>
      <c r="G14" s="123">
        <f t="shared" si="6"/>
        <v>1</v>
      </c>
      <c r="H14" s="123">
        <f t="shared" si="7"/>
        <v>1.99</v>
      </c>
      <c r="I14" s="127">
        <f t="shared" si="8"/>
        <v>2</v>
      </c>
      <c r="J14" s="127">
        <f t="shared" si="9"/>
        <v>8.3162099999999999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Plantilla!D14</f>
        <v>M. Bondarewski</v>
      </c>
      <c r="B15" s="50">
        <f>Plantilla!E14</f>
        <v>19</v>
      </c>
      <c r="C15" s="50">
        <f>Plantilla!H14</f>
        <v>1</v>
      </c>
      <c r="D15" s="129">
        <f>Plantilla!I14</f>
        <v>2</v>
      </c>
      <c r="E15" s="123">
        <f t="shared" si="4"/>
        <v>2</v>
      </c>
      <c r="F15" s="123">
        <f t="shared" si="5"/>
        <v>2.1</v>
      </c>
      <c r="G15" s="123">
        <f t="shared" si="6"/>
        <v>1</v>
      </c>
      <c r="H15" s="123">
        <f t="shared" si="7"/>
        <v>1.99</v>
      </c>
      <c r="I15" s="127">
        <f t="shared" si="8"/>
        <v>2</v>
      </c>
      <c r="J15" s="127">
        <f t="shared" si="9"/>
        <v>8.3162099999999999</v>
      </c>
      <c r="K15" s="124"/>
    </row>
    <row r="16" spans="1:26" x14ac:dyDescent="0.25">
      <c r="A16" s="128" t="str">
        <f>Plantilla!D19</f>
        <v>J. Vartiainen</v>
      </c>
      <c r="B16" s="50">
        <f>Plantilla!E19</f>
        <v>19</v>
      </c>
      <c r="C16" s="50">
        <f>Plantilla!H19</f>
        <v>4</v>
      </c>
      <c r="D16" s="129">
        <f>Plantilla!I19</f>
        <v>0.4</v>
      </c>
      <c r="E16" s="123">
        <f t="shared" si="4"/>
        <v>0.4</v>
      </c>
      <c r="F16" s="123">
        <f t="shared" si="5"/>
        <v>0.5</v>
      </c>
      <c r="G16" s="123">
        <f t="shared" si="6"/>
        <v>4</v>
      </c>
      <c r="H16" s="123">
        <f t="shared" si="7"/>
        <v>4.99</v>
      </c>
      <c r="I16" s="127">
        <f t="shared" si="8"/>
        <v>6.4</v>
      </c>
      <c r="J16" s="127">
        <f t="shared" si="9"/>
        <v>12.450050000000001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Plantilla!D16</f>
        <v>R. Forsyth</v>
      </c>
      <c r="B17" s="50">
        <f>Plantilla!E16</f>
        <v>19</v>
      </c>
      <c r="C17" s="50">
        <f>Plantilla!H16</f>
        <v>4</v>
      </c>
      <c r="D17" s="129">
        <f>Plantilla!I16</f>
        <v>2.1</v>
      </c>
      <c r="E17" s="123">
        <f t="shared" si="4"/>
        <v>2.1</v>
      </c>
      <c r="F17" s="123">
        <f t="shared" si="5"/>
        <v>2.2000000000000002</v>
      </c>
      <c r="G17" s="123">
        <f t="shared" si="6"/>
        <v>4</v>
      </c>
      <c r="H17" s="123">
        <f t="shared" si="7"/>
        <v>4.99</v>
      </c>
      <c r="I17" s="127">
        <f t="shared" si="8"/>
        <v>33.6</v>
      </c>
      <c r="J17" s="127">
        <f t="shared" si="9"/>
        <v>54.780220000000007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Plantilla!D17</f>
        <v>M. Grupinski</v>
      </c>
      <c r="B18" s="50">
        <f>Plantilla!E17</f>
        <v>23</v>
      </c>
      <c r="C18" s="50">
        <f>Plantilla!H17</f>
        <v>5</v>
      </c>
      <c r="D18" s="129">
        <f>Plantilla!I17</f>
        <v>1.8</v>
      </c>
      <c r="E18" s="123">
        <f t="shared" si="4"/>
        <v>1.8</v>
      </c>
      <c r="F18" s="123">
        <f t="shared" si="5"/>
        <v>1.9000000000000001</v>
      </c>
      <c r="G18" s="123">
        <f t="shared" si="6"/>
        <v>5</v>
      </c>
      <c r="H18" s="123">
        <f t="shared" si="7"/>
        <v>5.99</v>
      </c>
      <c r="I18" s="127">
        <f t="shared" si="8"/>
        <v>45</v>
      </c>
      <c r="J18" s="127">
        <f t="shared" si="9"/>
        <v>68.172190000000015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Plantilla!D18</f>
        <v>V. Godoi</v>
      </c>
      <c r="B19" s="50">
        <f>Plantilla!E18</f>
        <v>26</v>
      </c>
      <c r="C19" s="50">
        <f>Plantilla!H18</f>
        <v>5</v>
      </c>
      <c r="D19" s="129">
        <f>Plantilla!I18</f>
        <v>4.5999999999999996</v>
      </c>
      <c r="E19" s="123">
        <f t="shared" si="4"/>
        <v>4.5999999999999996</v>
      </c>
      <c r="F19" s="123">
        <f t="shared" si="5"/>
        <v>4.6999999999999993</v>
      </c>
      <c r="G19" s="123">
        <f t="shared" si="6"/>
        <v>5</v>
      </c>
      <c r="H19" s="123">
        <f t="shared" si="7"/>
        <v>5.99</v>
      </c>
      <c r="I19" s="127">
        <f t="shared" si="8"/>
        <v>114.99999999999999</v>
      </c>
      <c r="J19" s="127">
        <f t="shared" si="9"/>
        <v>168.63647</v>
      </c>
      <c r="K19" s="124"/>
      <c r="L19" s="56" t="s">
        <v>241</v>
      </c>
      <c r="O19" s="69" t="s">
        <v>242</v>
      </c>
      <c r="P19" s="83">
        <f>P18*P3</f>
        <v>864</v>
      </c>
      <c r="Q19" s="83">
        <f>Q18*Q3</f>
        <v>1177.5284100000001</v>
      </c>
      <c r="R19" s="83"/>
      <c r="V19" s="55" t="s">
        <v>242</v>
      </c>
      <c r="W19" s="83">
        <f>W18*W3</f>
        <v>864</v>
      </c>
      <c r="X19" s="83">
        <f>X18*X3</f>
        <v>1177.5284100000001</v>
      </c>
      <c r="Y19" s="83"/>
    </row>
    <row r="20" spans="1:25" x14ac:dyDescent="0.25">
      <c r="A20" s="128" t="str">
        <f>Plantilla!D15</f>
        <v>P. Tuderek</v>
      </c>
      <c r="B20" s="50">
        <f>Plantilla!E15</f>
        <v>19</v>
      </c>
      <c r="C20" s="50">
        <f>Plantilla!H15</f>
        <v>4</v>
      </c>
      <c r="D20" s="129">
        <f>Plantilla!I15</f>
        <v>1.2</v>
      </c>
      <c r="E20" s="123">
        <f t="shared" si="4"/>
        <v>1.2</v>
      </c>
      <c r="F20" s="123">
        <f t="shared" si="5"/>
        <v>1.3</v>
      </c>
      <c r="G20" s="123">
        <f t="shared" si="6"/>
        <v>4</v>
      </c>
      <c r="H20" s="123">
        <f t="shared" si="7"/>
        <v>4.99</v>
      </c>
      <c r="I20" s="127">
        <f t="shared" si="8"/>
        <v>19.2</v>
      </c>
      <c r="J20" s="127">
        <f t="shared" si="9"/>
        <v>32.370130000000003</v>
      </c>
      <c r="K20" s="124"/>
      <c r="L20" s="56" t="s">
        <v>243</v>
      </c>
      <c r="O20" s="110" t="s">
        <v>394</v>
      </c>
      <c r="P20" s="48">
        <f>(P19^(2/3))/27</f>
        <v>3.3597894663863279</v>
      </c>
      <c r="Q20" s="48">
        <f>(Q19^(2/3))/27</f>
        <v>4.1300042498331475</v>
      </c>
      <c r="R20" s="48"/>
      <c r="V20" s="55" t="s">
        <v>244</v>
      </c>
      <c r="W20" s="48">
        <f>(W19^(2/3))/30</f>
        <v>3.0238105197476952</v>
      </c>
      <c r="X20" s="48">
        <f>(X19^(2/3))/30</f>
        <v>3.7170038248498329</v>
      </c>
      <c r="Y20" s="48"/>
    </row>
    <row r="21" spans="1:25" x14ac:dyDescent="0.25">
      <c r="A21" s="128" t="str">
        <f>Plantilla!D20</f>
        <v>G. Stoychev</v>
      </c>
      <c r="B21" s="50">
        <f>Plantilla!E20</f>
        <v>24</v>
      </c>
      <c r="C21" s="50">
        <f>Plantilla!H20</f>
        <v>3</v>
      </c>
      <c r="D21" s="129">
        <f>Plantilla!I20</f>
        <v>3.7</v>
      </c>
      <c r="E21" s="123">
        <f t="shared" si="4"/>
        <v>3.7</v>
      </c>
      <c r="F21" s="123">
        <f t="shared" si="5"/>
        <v>3.8000000000000003</v>
      </c>
      <c r="G21" s="123">
        <f t="shared" si="6"/>
        <v>3</v>
      </c>
      <c r="H21" s="123">
        <f t="shared" si="7"/>
        <v>3.99</v>
      </c>
      <c r="I21" s="127">
        <f t="shared" si="8"/>
        <v>33.300000000000004</v>
      </c>
      <c r="J21" s="127">
        <f t="shared" si="9"/>
        <v>60.496380000000009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35</v>
      </c>
      <c r="C22" s="50">
        <f>Plantilla!H21</f>
        <v>2</v>
      </c>
      <c r="D22" s="129">
        <f>Plantilla!I21</f>
        <v>13.6</v>
      </c>
      <c r="E22" s="123">
        <f t="shared" si="4"/>
        <v>13.6</v>
      </c>
      <c r="F22" s="123">
        <f t="shared" si="5"/>
        <v>13.7</v>
      </c>
      <c r="G22" s="123">
        <f t="shared" si="6"/>
        <v>2</v>
      </c>
      <c r="H22" s="123">
        <f t="shared" si="7"/>
        <v>2.99</v>
      </c>
      <c r="I22" s="127">
        <f t="shared" si="8"/>
        <v>54.4</v>
      </c>
      <c r="J22" s="127">
        <f t="shared" si="9"/>
        <v>122.47937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13.3</v>
      </c>
      <c r="E23" s="123">
        <f t="shared" si="4"/>
        <v>13.3</v>
      </c>
      <c r="F23" s="123">
        <f t="shared" si="5"/>
        <v>13.4</v>
      </c>
      <c r="G23" s="123">
        <f t="shared" si="6"/>
        <v>2</v>
      </c>
      <c r="H23" s="123">
        <f t="shared" si="7"/>
        <v>2.99</v>
      </c>
      <c r="I23" s="127">
        <f t="shared" si="8"/>
        <v>53.2</v>
      </c>
      <c r="J23" s="127">
        <f t="shared" si="9"/>
        <v>119.79734000000002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12.2</v>
      </c>
      <c r="E24" s="123">
        <f t="shared" si="4"/>
        <v>12.2</v>
      </c>
      <c r="F24" s="123">
        <f t="shared" si="5"/>
        <v>12.299999999999999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12.055229999999998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14.4</v>
      </c>
      <c r="E25" s="123">
        <f t="shared" si="4"/>
        <v>14.4</v>
      </c>
      <c r="F25" s="123">
        <f t="shared" si="5"/>
        <v>14.5</v>
      </c>
      <c r="G25" s="123">
        <f t="shared" si="6"/>
        <v>3</v>
      </c>
      <c r="H25" s="123">
        <f t="shared" si="7"/>
        <v>3.99</v>
      </c>
      <c r="I25" s="127">
        <f t="shared" si="8"/>
        <v>129.6</v>
      </c>
      <c r="J25" s="127">
        <f t="shared" si="9"/>
        <v>230.84145000000001</v>
      </c>
      <c r="V25"/>
    </row>
    <row r="26" spans="1:25" x14ac:dyDescent="0.25">
      <c r="A26" s="128" t="str">
        <f>Plantilla!D25</f>
        <v>P .Trivadi</v>
      </c>
      <c r="B26" s="50">
        <f>Plantilla!E25</f>
        <v>32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2019-09-05T15:29:27Z</dcterms:modified>
</cp:coreProperties>
</file>