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AC23" i="1" l="1"/>
  <c r="AC22" i="1"/>
  <c r="AC21" i="1"/>
  <c r="AC17" i="1"/>
  <c r="AC16" i="1"/>
  <c r="AC15" i="1"/>
  <c r="AC14" i="1"/>
  <c r="AC20" i="1"/>
  <c r="AC19" i="1"/>
  <c r="AC18" i="1"/>
  <c r="AC5" i="1"/>
  <c r="AC6" i="1"/>
  <c r="AC10" i="1"/>
  <c r="AC9" i="1"/>
  <c r="AC11" i="1"/>
  <c r="AC13" i="1"/>
  <c r="AC8" i="1"/>
  <c r="AC7" i="1"/>
  <c r="AC12" i="1"/>
  <c r="AC4" i="1"/>
  <c r="AB23" i="1" l="1"/>
  <c r="AB21" i="1"/>
  <c r="AB17" i="1"/>
  <c r="AB14" i="1"/>
  <c r="AB20" i="1"/>
  <c r="AB19" i="1"/>
  <c r="AB5" i="1"/>
  <c r="AB9" i="1"/>
  <c r="AB11" i="1"/>
  <c r="AB13" i="1"/>
  <c r="AB8" i="1"/>
  <c r="AB7" i="1"/>
  <c r="AB4" i="1"/>
  <c r="N11" i="1" l="1"/>
  <c r="AI11" i="1" s="1"/>
  <c r="AR11" i="1"/>
  <c r="U11" i="1"/>
  <c r="W11" i="1"/>
  <c r="R11" i="1"/>
  <c r="S11" i="1"/>
  <c r="P11" i="1"/>
  <c r="J11" i="1"/>
  <c r="K11" i="1"/>
  <c r="L11" i="1"/>
  <c r="AM11" i="1" l="1"/>
  <c r="AL11" i="1"/>
  <c r="AK11" i="1"/>
  <c r="AN11" i="1"/>
  <c r="AH11" i="1"/>
  <c r="AG11" i="1"/>
  <c r="AJ11" i="1"/>
  <c r="A11" i="10" l="1"/>
  <c r="B11" i="10"/>
  <c r="D11" i="10"/>
  <c r="E11" i="10"/>
  <c r="G11" i="10"/>
  <c r="H11" i="10"/>
  <c r="I11" i="10"/>
  <c r="L11" i="10" s="1"/>
  <c r="J11" i="10"/>
  <c r="M11" i="10"/>
  <c r="N11" i="10"/>
  <c r="O11" i="10"/>
  <c r="P11" i="10"/>
  <c r="Q11" i="10"/>
  <c r="AH11" i="10" s="1"/>
  <c r="R11" i="10"/>
  <c r="S11" i="10"/>
  <c r="Y11" i="10"/>
  <c r="AD11" i="10"/>
  <c r="AE11" i="10"/>
  <c r="AF11" i="10"/>
  <c r="AG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K20" i="10" l="1"/>
  <c r="L21" i="10"/>
  <c r="K21" i="10"/>
  <c r="AC21" i="10"/>
  <c r="AC20" i="10"/>
  <c r="AR23" i="1" l="1"/>
  <c r="Q21" i="10"/>
  <c r="AH21" i="10" s="1"/>
  <c r="W23" i="1"/>
  <c r="U23" i="1"/>
  <c r="S23" i="1"/>
  <c r="R23" i="1"/>
  <c r="P23" i="1"/>
  <c r="N23" i="1"/>
  <c r="AK23" i="1" s="1"/>
  <c r="L23" i="1"/>
  <c r="K23" i="1"/>
  <c r="J23" i="1"/>
  <c r="AR22" i="1"/>
  <c r="Q20" i="10"/>
  <c r="AH20" i="10" s="1"/>
  <c r="W22" i="1"/>
  <c r="U22" i="1"/>
  <c r="S22" i="1"/>
  <c r="R22" i="1"/>
  <c r="P22" i="1"/>
  <c r="N22" i="1"/>
  <c r="AI22" i="1" s="1"/>
  <c r="L22" i="1"/>
  <c r="K22" i="1"/>
  <c r="J22" i="1"/>
  <c r="AR21" i="1"/>
  <c r="W21" i="1"/>
  <c r="U21" i="1"/>
  <c r="S21" i="1"/>
  <c r="R21" i="1"/>
  <c r="P21" i="1"/>
  <c r="N21" i="1"/>
  <c r="L21" i="1"/>
  <c r="K21" i="1"/>
  <c r="J21" i="1"/>
  <c r="AR20" i="1"/>
  <c r="W20" i="1"/>
  <c r="U20" i="1"/>
  <c r="S20" i="1"/>
  <c r="R20" i="1"/>
  <c r="P20" i="1"/>
  <c r="N20" i="1"/>
  <c r="AI20" i="1" s="1"/>
  <c r="L20" i="1"/>
  <c r="K20" i="1"/>
  <c r="J20" i="1"/>
  <c r="AR19" i="1"/>
  <c r="W19" i="1"/>
  <c r="U19" i="1"/>
  <c r="S19" i="1"/>
  <c r="R19" i="1"/>
  <c r="P19" i="1"/>
  <c r="N19" i="1"/>
  <c r="AK19" i="1" s="1"/>
  <c r="L19" i="1"/>
  <c r="K19" i="1"/>
  <c r="J19" i="1"/>
  <c r="AR18" i="1"/>
  <c r="AN18" i="1"/>
  <c r="AM18" i="1"/>
  <c r="AL18" i="1"/>
  <c r="AJ18" i="1"/>
  <c r="AI18" i="1"/>
  <c r="AH18" i="1"/>
  <c r="AG18" i="1"/>
  <c r="AK18" i="1"/>
  <c r="W18" i="1"/>
  <c r="U18" i="1"/>
  <c r="S18" i="1"/>
  <c r="R18" i="1"/>
  <c r="P18" i="1"/>
  <c r="L18" i="1"/>
  <c r="K18" i="1"/>
  <c r="J18" i="1"/>
  <c r="AR16" i="1"/>
  <c r="AB16" i="1"/>
  <c r="W16" i="1"/>
  <c r="U16" i="1"/>
  <c r="S16" i="1"/>
  <c r="R16" i="1"/>
  <c r="P16" i="1"/>
  <c r="N16" i="1"/>
  <c r="AI16" i="1" s="1"/>
  <c r="L16" i="1"/>
  <c r="K16" i="1"/>
  <c r="J16" i="1"/>
  <c r="AR15" i="1"/>
  <c r="W15" i="1"/>
  <c r="U15" i="1"/>
  <c r="S15" i="1"/>
  <c r="R15" i="1"/>
  <c r="P15" i="1"/>
  <c r="N15" i="1"/>
  <c r="AK15" i="1" s="1"/>
  <c r="L15" i="1"/>
  <c r="K15" i="1"/>
  <c r="J15" i="1"/>
  <c r="AR14" i="1"/>
  <c r="W14" i="1"/>
  <c r="U14" i="1"/>
  <c r="S14" i="1"/>
  <c r="R14" i="1"/>
  <c r="P14" i="1"/>
  <c r="N14" i="1"/>
  <c r="AI14" i="1" s="1"/>
  <c r="L14" i="1"/>
  <c r="K14" i="1"/>
  <c r="J14" i="1"/>
  <c r="AR13" i="1"/>
  <c r="W13" i="1"/>
  <c r="U13" i="1"/>
  <c r="S13" i="1"/>
  <c r="R13" i="1"/>
  <c r="P13" i="1"/>
  <c r="N13" i="1"/>
  <c r="AK13" i="1" s="1"/>
  <c r="L13" i="1"/>
  <c r="K13" i="1"/>
  <c r="J13" i="1"/>
  <c r="AR10" i="1"/>
  <c r="W10" i="1"/>
  <c r="U10" i="1"/>
  <c r="S10" i="1"/>
  <c r="R10" i="1"/>
  <c r="P10" i="1"/>
  <c r="N10" i="1"/>
  <c r="AL10" i="1" s="1"/>
  <c r="L10" i="1"/>
  <c r="K10" i="1"/>
  <c r="J10" i="1"/>
  <c r="AR9" i="1"/>
  <c r="W9" i="1"/>
  <c r="U9" i="1"/>
  <c r="S9" i="1"/>
  <c r="R9" i="1"/>
  <c r="P9" i="1"/>
  <c r="N9" i="1"/>
  <c r="AI9" i="1" s="1"/>
  <c r="L9" i="1"/>
  <c r="K9" i="1"/>
  <c r="J9" i="1"/>
  <c r="AR8" i="1"/>
  <c r="W8" i="1"/>
  <c r="U8" i="1"/>
  <c r="S8" i="1"/>
  <c r="R8" i="1"/>
  <c r="P8" i="1"/>
  <c r="N8" i="1"/>
  <c r="L8" i="1"/>
  <c r="K8" i="1"/>
  <c r="J8" i="1"/>
  <c r="AR7" i="1"/>
  <c r="W7" i="1"/>
  <c r="U7" i="1"/>
  <c r="S7" i="1"/>
  <c r="R7" i="1"/>
  <c r="P7" i="1"/>
  <c r="N7" i="1"/>
  <c r="L7" i="1"/>
  <c r="K7" i="1"/>
  <c r="J7" i="1"/>
  <c r="AR6" i="1"/>
  <c r="AN6" i="1"/>
  <c r="AM6" i="1"/>
  <c r="AL6" i="1"/>
  <c r="AK6" i="1"/>
  <c r="AJ6" i="1"/>
  <c r="AI6" i="1"/>
  <c r="AH6" i="1"/>
  <c r="AG6" i="1"/>
  <c r="W6" i="1"/>
  <c r="U6" i="1"/>
  <c r="S6" i="1"/>
  <c r="R6" i="1"/>
  <c r="P6" i="1"/>
  <c r="L6" i="1"/>
  <c r="K6" i="1"/>
  <c r="J6" i="1"/>
  <c r="AR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20" i="1" s="1"/>
  <c r="F7" i="1" l="1"/>
  <c r="C7" i="1" s="1"/>
  <c r="F11" i="1"/>
  <c r="C11" i="1" s="1"/>
  <c r="F8" i="1"/>
  <c r="C8" i="1" s="1"/>
  <c r="F12" i="1"/>
  <c r="F15" i="1"/>
  <c r="C15" i="1" s="1"/>
  <c r="F17" i="1"/>
  <c r="C17" i="1" s="1"/>
  <c r="F22" i="1"/>
  <c r="F9" i="1"/>
  <c r="C9" i="1" s="1"/>
  <c r="F14" i="1"/>
  <c r="C14" i="1" s="1"/>
  <c r="F23" i="1"/>
  <c r="F21" i="1"/>
  <c r="C21" i="1" s="1"/>
  <c r="C19" i="10" s="1"/>
  <c r="F19" i="1"/>
  <c r="C19" i="1" s="1"/>
  <c r="F18" i="1"/>
  <c r="C18" i="1" s="1"/>
  <c r="F10" i="1"/>
  <c r="C10" i="1" s="1"/>
  <c r="F6" i="1"/>
  <c r="C6" i="1" s="1"/>
  <c r="C20" i="1"/>
  <c r="F16" i="1"/>
  <c r="C16" i="1" s="1"/>
  <c r="F13" i="1"/>
  <c r="C13" i="1" s="1"/>
  <c r="F5" i="1"/>
  <c r="C5" i="1" s="1"/>
  <c r="F4" i="1"/>
  <c r="C4" i="1" s="1"/>
  <c r="C12" i="1" l="1"/>
  <c r="C11" i="10" s="1"/>
  <c r="F11" i="10"/>
  <c r="C22" i="1"/>
  <c r="C20" i="10" s="1"/>
  <c r="F20"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<sst xmlns="http://schemas.openxmlformats.org/spreadsheetml/2006/main" count="1465" uniqueCount="577">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</sst>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46" fillId="0" borderId="1" xfId="0" applyFont="1" applyFill="1" applyBorder="1" applyAlignment="1">
      <alignment horizontal="left" vertic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Coma" xfId="1" builtinId="3"/>
    <cellStyle name="Excel Built-in Normal" xfId="3"/>
    <cellStyle name="Moneda" xfId="4" builtinId="4"/>
    <cellStyle name="Normal" xfId="0" builtinId="0"/>
    <cellStyle name="Percentatg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8" t="s">
        <v>106</v>
      </c>
      <c r="C59" s="96" t="s">
        <v>105</v>
      </c>
      <c r="D59" s="232" t="s">
        <v>137</v>
      </c>
      <c r="E59" s="232" t="s">
        <v>137</v>
      </c>
      <c r="F59" s="97" t="s">
        <v>103</v>
      </c>
      <c r="H59" s="98" t="s">
        <v>138</v>
      </c>
      <c r="X59" s="89"/>
    </row>
    <row r="60" spans="1:24" ht="15.75" x14ac:dyDescent="0.25">
      <c r="A60" s="99">
        <v>18</v>
      </c>
      <c r="B60" s="228"/>
      <c r="C60" s="96" t="s">
        <v>139</v>
      </c>
      <c r="D60" s="232"/>
      <c r="E60" s="232"/>
      <c r="F60" s="97" t="s">
        <v>140</v>
      </c>
      <c r="H60" s="92" t="s">
        <v>141</v>
      </c>
      <c r="X60" s="89"/>
    </row>
    <row r="61" spans="1:24" ht="15.75" x14ac:dyDescent="0.25">
      <c r="A61" s="95">
        <v>19</v>
      </c>
      <c r="B61" s="228"/>
      <c r="C61" s="100"/>
      <c r="D61" s="232"/>
      <c r="E61" s="232"/>
      <c r="F61" s="101"/>
      <c r="H61" s="92" t="s">
        <v>142</v>
      </c>
      <c r="I61" s="91"/>
      <c r="X61" s="89"/>
    </row>
    <row r="62" spans="1:24" ht="15.75" x14ac:dyDescent="0.25">
      <c r="A62" s="99">
        <v>20</v>
      </c>
      <c r="B62" s="228"/>
      <c r="C62" s="97" t="s">
        <v>137</v>
      </c>
      <c r="D62" s="233" t="s">
        <v>103</v>
      </c>
      <c r="E62" s="97" t="s">
        <v>103</v>
      </c>
      <c r="F62" s="101"/>
      <c r="H62" s="92" t="s">
        <v>143</v>
      </c>
      <c r="X62" s="89"/>
    </row>
    <row r="63" spans="1:24" ht="15.75" x14ac:dyDescent="0.25">
      <c r="A63" s="95">
        <v>21</v>
      </c>
      <c r="B63" s="230" t="s">
        <v>105</v>
      </c>
      <c r="C63" s="97" t="s">
        <v>144</v>
      </c>
      <c r="D63" s="233"/>
      <c r="E63" s="97" t="s">
        <v>140</v>
      </c>
      <c r="F63" s="101"/>
      <c r="H63" s="92" t="s">
        <v>145</v>
      </c>
      <c r="X63" s="89"/>
    </row>
    <row r="64" spans="1:24" ht="15.75" x14ac:dyDescent="0.25">
      <c r="A64" s="99">
        <v>22</v>
      </c>
      <c r="B64" s="230"/>
      <c r="C64" s="101"/>
      <c r="D64" s="233"/>
      <c r="E64" s="101"/>
      <c r="F64" s="101"/>
      <c r="H64" s="92" t="s">
        <v>146</v>
      </c>
      <c r="X64" s="89"/>
    </row>
    <row r="65" spans="1:24" ht="15.75" x14ac:dyDescent="0.25">
      <c r="A65" s="95">
        <v>23</v>
      </c>
      <c r="B65" s="230"/>
      <c r="C65" s="101"/>
      <c r="D65" s="233"/>
      <c r="E65" s="101"/>
      <c r="F65" s="101"/>
      <c r="H65" s="92"/>
      <c r="X65" s="89"/>
    </row>
    <row r="66" spans="1:24" ht="15.75" x14ac:dyDescent="0.25">
      <c r="A66" s="99">
        <v>24</v>
      </c>
      <c r="B66" s="230"/>
      <c r="C66" s="101"/>
      <c r="D66" s="233"/>
      <c r="E66" s="101"/>
      <c r="F66" s="101"/>
      <c r="H66" s="92" t="s">
        <v>147</v>
      </c>
      <c r="X66" s="89"/>
    </row>
    <row r="67" spans="1:24" ht="15.75" x14ac:dyDescent="0.25">
      <c r="A67" s="95">
        <v>25</v>
      </c>
      <c r="B67" s="230"/>
      <c r="C67" s="101"/>
      <c r="D67" s="232" t="s">
        <v>137</v>
      </c>
      <c r="E67" s="101"/>
      <c r="F67" s="101"/>
      <c r="H67" s="92" t="s">
        <v>148</v>
      </c>
      <c r="X67" s="89"/>
    </row>
    <row r="68" spans="1:24" ht="15.75" x14ac:dyDescent="0.25">
      <c r="A68" s="99">
        <v>26</v>
      </c>
      <c r="B68" s="230"/>
      <c r="C68" s="232" t="s">
        <v>137</v>
      </c>
      <c r="D68" s="232"/>
      <c r="E68" s="101"/>
      <c r="F68" s="101"/>
      <c r="H68" s="92"/>
      <c r="X68" s="89"/>
    </row>
    <row r="69" spans="1:24" ht="15.75" x14ac:dyDescent="0.25">
      <c r="A69" s="95">
        <v>27</v>
      </c>
      <c r="B69" s="228" t="s">
        <v>106</v>
      </c>
      <c r="C69" s="232"/>
      <c r="D69" s="232"/>
      <c r="E69" s="101"/>
      <c r="F69" s="101"/>
      <c r="H69" s="92"/>
      <c r="X69" s="89"/>
    </row>
    <row r="70" spans="1:24" ht="15.75" x14ac:dyDescent="0.25">
      <c r="A70" s="99">
        <v>28</v>
      </c>
      <c r="B70" s="228"/>
      <c r="C70" s="230" t="s">
        <v>105</v>
      </c>
      <c r="D70" s="232"/>
      <c r="E70" s="101"/>
      <c r="F70" s="101"/>
      <c r="H70" s="92" t="s">
        <v>149</v>
      </c>
      <c r="X70" s="89"/>
    </row>
    <row r="71" spans="1:24" ht="15.75" x14ac:dyDescent="0.25">
      <c r="A71" s="95">
        <v>29</v>
      </c>
      <c r="B71" s="228"/>
      <c r="C71" s="230"/>
      <c r="D71" s="232"/>
      <c r="E71" s="101"/>
      <c r="F71" s="101"/>
      <c r="H71" s="92"/>
      <c r="X71" s="89"/>
    </row>
    <row r="72" spans="1:24" ht="15.75" x14ac:dyDescent="0.25">
      <c r="A72" s="99">
        <v>30</v>
      </c>
      <c r="B72" s="228"/>
      <c r="C72" s="230"/>
      <c r="D72" s="230" t="s">
        <v>105</v>
      </c>
      <c r="E72" s="101"/>
      <c r="F72" s="101"/>
      <c r="H72" s="92" t="s">
        <v>150</v>
      </c>
      <c r="X72" s="89"/>
    </row>
    <row r="73" spans="1:24" ht="15.75" x14ac:dyDescent="0.25">
      <c r="A73" s="95">
        <v>31</v>
      </c>
      <c r="B73" s="228"/>
      <c r="C73" s="230"/>
      <c r="D73" s="230"/>
      <c r="E73" s="97" t="s">
        <v>137</v>
      </c>
      <c r="F73" s="101"/>
      <c r="H73" s="92"/>
      <c r="X73" s="89"/>
    </row>
    <row r="74" spans="1:24" ht="15.75" x14ac:dyDescent="0.25">
      <c r="A74" s="99">
        <v>32</v>
      </c>
      <c r="B74" s="228"/>
      <c r="C74" s="230"/>
      <c r="D74" s="230"/>
      <c r="E74" s="97" t="s">
        <v>144</v>
      </c>
      <c r="F74" s="101"/>
      <c r="H74" s="92" t="s">
        <v>151</v>
      </c>
      <c r="X74" s="89"/>
    </row>
    <row r="75" spans="1:24" ht="15.75" x14ac:dyDescent="0.25">
      <c r="A75" s="95">
        <v>33</v>
      </c>
      <c r="B75" s="228"/>
      <c r="C75" s="228" t="s">
        <v>106</v>
      </c>
      <c r="D75" s="230"/>
      <c r="E75" s="96" t="s">
        <v>105</v>
      </c>
      <c r="F75" s="96" t="s">
        <v>105</v>
      </c>
      <c r="H75" s="92"/>
      <c r="X75" s="89"/>
    </row>
    <row r="76" spans="1:24" ht="15.75" x14ac:dyDescent="0.25">
      <c r="A76" s="99">
        <v>34</v>
      </c>
      <c r="B76" s="231" t="s">
        <v>152</v>
      </c>
      <c r="C76" s="228"/>
      <c r="D76" s="230"/>
      <c r="E76" s="96" t="s">
        <v>139</v>
      </c>
      <c r="F76" s="96" t="s">
        <v>139</v>
      </c>
      <c r="H76" s="92" t="s">
        <v>153</v>
      </c>
      <c r="X76" s="89"/>
    </row>
    <row r="77" spans="1:24" ht="15.75" x14ac:dyDescent="0.25">
      <c r="A77" s="95">
        <v>35</v>
      </c>
      <c r="B77" s="231"/>
      <c r="C77" s="231" t="s">
        <v>152</v>
      </c>
      <c r="D77" s="228" t="s">
        <v>106</v>
      </c>
      <c r="E77" s="228" t="s">
        <v>106</v>
      </c>
      <c r="F77" s="100"/>
      <c r="H77" s="92"/>
      <c r="X77" s="89"/>
    </row>
    <row r="78" spans="1:24" ht="15.75" x14ac:dyDescent="0.25">
      <c r="A78" s="99">
        <v>36</v>
      </c>
      <c r="B78" s="231"/>
      <c r="C78" s="231"/>
      <c r="D78" s="228"/>
      <c r="E78" s="228"/>
      <c r="F78" s="102" t="s">
        <v>106</v>
      </c>
      <c r="H78" s="92" t="s">
        <v>154</v>
      </c>
      <c r="X78" s="89"/>
    </row>
    <row r="79" spans="1:24" ht="15.75" x14ac:dyDescent="0.25">
      <c r="A79" s="229" t="s">
        <v>155</v>
      </c>
      <c r="B79" s="229"/>
      <c r="C79" s="229"/>
      <c r="D79" s="229"/>
      <c r="E79" s="229"/>
      <c r="F79" s="229"/>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11</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11</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11</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11</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11</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11</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567</v>
      </c>
    </row>
    <row r="4" spans="1:5" x14ac:dyDescent="0.25">
      <c r="A4" s="105" t="s">
        <v>399</v>
      </c>
      <c r="B4" s="105" t="s">
        <v>400</v>
      </c>
      <c r="C4" s="105">
        <v>6</v>
      </c>
      <c r="D4" s="105">
        <v>3</v>
      </c>
      <c r="E4" s="105" t="s">
        <v>568</v>
      </c>
    </row>
    <row r="5" spans="1:5" x14ac:dyDescent="0.25">
      <c r="A5" s="223" t="s">
        <v>402</v>
      </c>
      <c r="B5" s="223" t="s">
        <v>569</v>
      </c>
      <c r="C5" s="223">
        <v>10</v>
      </c>
      <c r="D5" s="223">
        <v>4</v>
      </c>
      <c r="E5" s="223" t="s">
        <v>570</v>
      </c>
    </row>
    <row r="6" spans="1:5" x14ac:dyDescent="0.25">
      <c r="A6" s="153" t="s">
        <v>405</v>
      </c>
      <c r="B6" s="153" t="s">
        <v>406</v>
      </c>
      <c r="C6" s="153">
        <v>14</v>
      </c>
      <c r="D6" s="153">
        <v>4</v>
      </c>
      <c r="E6" s="153" t="s">
        <v>571</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572</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573</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574</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575</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AA11" sqref="AA11"/>
    </sheetView>
  </sheetViews>
  <sheetFormatPr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43148</v>
      </c>
      <c r="I2" s="32">
        <f>AVERAGE(I4:I23)</f>
        <v>1.1350000000000002</v>
      </c>
      <c r="J2" s="32"/>
      <c r="N2" s="37">
        <f ca="1">AVERAGE(N4:N23)</f>
        <v>0.56634421488624287</v>
      </c>
      <c r="O2" s="32">
        <f>AVERAGE(O4:O23)</f>
        <v>4.5200000000000005</v>
      </c>
      <c r="Q2" s="32">
        <f>AVERAGE(Q4:Q23)</f>
        <v>5.7</v>
      </c>
      <c r="R2" s="116">
        <f>AVERAGE(R4:R23)</f>
        <v>0.89946721092942084</v>
      </c>
      <c r="S2" s="116">
        <f>AVERAGE(S4:S23)</f>
        <v>0.96165952973465196</v>
      </c>
      <c r="T2" s="38">
        <f>SUM(T4:T23)</f>
        <v>51860</v>
      </c>
      <c r="U2" s="38">
        <f>SUM(U4:U23)</f>
        <v>2760</v>
      </c>
      <c r="V2" s="38">
        <f>SUM(V4:V23)</f>
        <v>7360</v>
      </c>
      <c r="W2" s="39">
        <f>T2/V2</f>
        <v>7.0461956521739131</v>
      </c>
      <c r="AD2" s="37">
        <f>AVERAGE(AD22:AD23)</f>
        <v>2.75</v>
      </c>
      <c r="AE2" s="33">
        <f>AVERAGE(AE22:AE23)</f>
        <v>407</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10.508928571428571</v>
      </c>
      <c r="D4" s="216" t="s">
        <v>450</v>
      </c>
      <c r="E4" s="1">
        <v>22</v>
      </c>
      <c r="F4" s="2">
        <f ca="1">8-659+D2-D1-112-62</f>
        <v>55</v>
      </c>
      <c r="G4" s="3" t="s">
        <v>296</v>
      </c>
      <c r="H4" s="4">
        <v>4</v>
      </c>
      <c r="I4" s="5">
        <v>2.4</v>
      </c>
      <c r="J4" s="22">
        <f>LOG(I4)*4/3</f>
        <v>0.50694832228214137</v>
      </c>
      <c r="K4" s="6">
        <f t="shared" ref="K4:K5" si="0">(H4)*(H4)*(I4)</f>
        <v>38.4</v>
      </c>
      <c r="L4" s="6">
        <f t="shared" ref="L4:L5" si="1">(H4+1)*(H4+1)*I4</f>
        <v>60</v>
      </c>
      <c r="M4" s="130">
        <v>43097</v>
      </c>
      <c r="N4" s="131">
        <f ca="1">IF((TODAY()-M4)&gt;335,1,((TODAY()-M4)^0.64)/(336^0.64))</f>
        <v>0.2992180409422085</v>
      </c>
      <c r="O4" s="25">
        <v>6</v>
      </c>
      <c r="P4" s="20">
        <f t="shared" ref="P4:P6" si="2">O4*10+19</f>
        <v>79</v>
      </c>
      <c r="Q4" s="26">
        <v>6</v>
      </c>
      <c r="R4" s="115">
        <f t="shared" ref="R4:R5" si="3">(Q4/7)^0.5</f>
        <v>0.92582009977255142</v>
      </c>
      <c r="S4" s="115">
        <f t="shared" ref="S4:S5" si="4">IF(Q4=7,1,((Q4+0.99)/7)^0.5)</f>
        <v>0.99928545900129484</v>
      </c>
      <c r="T4" s="29">
        <v>8780</v>
      </c>
      <c r="U4" s="29">
        <f>T4-AS4</f>
        <v>260</v>
      </c>
      <c r="V4" s="7">
        <v>710</v>
      </c>
      <c r="W4" s="8">
        <f t="shared" ref="W4:W5" si="5">T4/V4</f>
        <v>12.366197183098592</v>
      </c>
      <c r="X4" s="21">
        <v>0</v>
      </c>
      <c r="Y4" s="22">
        <v>7</v>
      </c>
      <c r="Z4" s="21">
        <v>2</v>
      </c>
      <c r="AA4" s="22">
        <v>5</v>
      </c>
      <c r="AB4" s="21">
        <f>7+0.25*11/90</f>
        <v>7.0305555555555559</v>
      </c>
      <c r="AC4" s="22">
        <f>5+1/21+1/21+1/21+1/21+1/21+1/21</f>
        <v>5.2857142857142847</v>
      </c>
      <c r="AD4" s="21">
        <v>4</v>
      </c>
      <c r="AE4" s="9">
        <v>645</v>
      </c>
      <c r="AF4" s="9">
        <v>1496</v>
      </c>
      <c r="AG4" s="23">
        <f ca="1">(AD4+1+(LOG(I4)*4/3)+N4)*(Q4/7)^0.5</f>
        <v>5.3754655216964</v>
      </c>
      <c r="AH4" s="23">
        <f ca="1">(AD4+1+N4+(LOG(I4)*4/3))*(IF(Q4=7, (Q4/7)^0.5, ((Q4+1)/7)^0.5))</f>
        <v>5.8061663632243494</v>
      </c>
      <c r="AI4" s="120">
        <f ca="1">(Z4+N4+(LOG(I4)*4/3))*(Q4/7)^0.5</f>
        <v>2.5980052223787453</v>
      </c>
      <c r="AJ4" s="120">
        <f ca="1">(Z4+N4+(LOG(I4)*4/3))*(IF(Q4=7, (Q4/7)^0.5, ((Q4+1)/7)^0.5))</f>
        <v>2.8061663632243499</v>
      </c>
      <c r="AK4" s="8">
        <f ca="1">(((Y4+LOG(I4)*4/3+N4)+(AB4+LOG(I4)*4/3+N4)*2)/8)*(Q4/7)^0.5</f>
        <v>2.7172368823388262</v>
      </c>
      <c r="AL4" s="8">
        <f ca="1">(AD4+LOG(I4)*4/3+N4)*0.7+(AC4+LOG(I4)*4/3+N4)*0.3</f>
        <v>5.1918806489386355</v>
      </c>
      <c r="AM4" s="8">
        <f ca="1">(0.5*(AC4+LOG(I4)*4/3+N4)+ 0.3*(AD4+LOG(I4)*4/3+N4))/10</f>
        <v>0.44877902334366226</v>
      </c>
      <c r="AN4" s="8">
        <f ca="1">(0.4*(Y4+LOG(I4)*4/3+N4)+0.3*(AD4+LOG(I4)*4/3+N4))/10</f>
        <v>0.45643164542570452</v>
      </c>
      <c r="AO4" s="20">
        <v>4</v>
      </c>
      <c r="AP4" s="20">
        <v>1</v>
      </c>
      <c r="AQ4" s="20">
        <v>2</v>
      </c>
      <c r="AR4" s="129">
        <f t="shared" ref="AR4:AR5" si="6">IF(AP4=4,IF(AQ4=0,0.137+0.0697,0.137+0.02),IF(AP4=3,IF(AQ4=0,0.0958+0.0697,0.0958+0.02),IF(AP4=2,IF(AQ4=0,0.0415+0.0697,0.0415+0.02),IF(AP4=1,IF(AQ4=0,0.0294+0.0697,0.0294+0.02),IF(AP4=0,IF(AQ4=0,0.0063+0.0697,0.0063+0.02))))))</f>
        <v>4.9399999999999999E-2</v>
      </c>
      <c r="AS4">
        <v>8520</v>
      </c>
    </row>
    <row r="5" spans="1:45" x14ac:dyDescent="0.25">
      <c r="A5" s="15" t="s">
        <v>369</v>
      </c>
      <c r="B5" s="15" t="s">
        <v>370</v>
      </c>
      <c r="C5" s="121">
        <f t="shared" ref="C5" ca="1" si="7">((33*112)-(E5*112)-(F5))/112</f>
        <v>15.026785714285714</v>
      </c>
      <c r="D5" s="215" t="s">
        <v>306</v>
      </c>
      <c r="E5" s="16">
        <v>17</v>
      </c>
      <c r="F5" s="2">
        <f ca="1">8-159+16-570-5+D2-D1-2-12-49+9-11+44-40</f>
        <v>109</v>
      </c>
      <c r="G5" s="18" t="s">
        <v>177</v>
      </c>
      <c r="H5" s="4">
        <v>3</v>
      </c>
      <c r="I5" s="27">
        <v>1</v>
      </c>
      <c r="J5" s="22">
        <f t="shared" ref="J5" si="8">LOG(I5)*4/3</f>
        <v>0</v>
      </c>
      <c r="K5" s="6">
        <f t="shared" si="0"/>
        <v>9</v>
      </c>
      <c r="L5" s="6">
        <f t="shared" si="1"/>
        <v>16</v>
      </c>
      <c r="M5" s="130">
        <v>43046</v>
      </c>
      <c r="N5" s="131">
        <f t="shared" ref="N5" ca="1" si="9">IF((TODAY()-M5)&gt;335,1,((TODAY()-M5)^0.64)/(336^0.64))</f>
        <v>0.46628019819514815</v>
      </c>
      <c r="O5" s="19">
        <v>4</v>
      </c>
      <c r="P5" s="20">
        <f t="shared" si="2"/>
        <v>59</v>
      </c>
      <c r="Q5" s="26">
        <v>4</v>
      </c>
      <c r="R5" s="115">
        <f t="shared" si="3"/>
        <v>0.7559289460184544</v>
      </c>
      <c r="S5" s="115">
        <f t="shared" si="4"/>
        <v>0.84430867747355465</v>
      </c>
      <c r="T5" s="29">
        <v>470</v>
      </c>
      <c r="U5" s="29">
        <f t="shared" ref="U5" si="10">T5-AS5</f>
        <v>-10</v>
      </c>
      <c r="V5" s="29">
        <v>250</v>
      </c>
      <c r="W5" s="8">
        <f t="shared" si="5"/>
        <v>1.88</v>
      </c>
      <c r="X5" s="21">
        <v>0</v>
      </c>
      <c r="Y5" s="22">
        <v>4</v>
      </c>
      <c r="Z5" s="21">
        <v>4</v>
      </c>
      <c r="AA5" s="22">
        <v>3</v>
      </c>
      <c r="AB5" s="21">
        <f>4+0.25+(0.25*0.16*3/90)+0.25*3/90*0.16+0.25*0.16</f>
        <v>4.2926666666666664</v>
      </c>
      <c r="AC5" s="22">
        <f>3+1/15+1/15+1/15+1/15</f>
        <v>3.2666666666666675</v>
      </c>
      <c r="AD5" s="21">
        <v>0.4</v>
      </c>
      <c r="AE5" s="9">
        <v>360</v>
      </c>
      <c r="AF5" s="9">
        <v>1991</v>
      </c>
      <c r="AG5" s="23">
        <f t="shared" ref="AG5" ca="1" si="11">(AD5+1+(LOG(I5)*4/3)+N5)*(Q5/7)^0.5</f>
        <v>1.4107752231967705</v>
      </c>
      <c r="AH5" s="23">
        <f t="shared" ref="AH5" ca="1" si="12">(AD5+1+N5+(LOG(I5)*4/3))*(IF(Q5=7, (Q5/7)^0.5, ((Q5+1)/7)^0.5))</f>
        <v>1.5772946500202085</v>
      </c>
      <c r="AI5" s="120">
        <f t="shared" ref="AI5" ca="1" si="13">(Z5+N5+(LOG(I5)*4/3))*(Q5/7)^0.5</f>
        <v>3.3761904828447524</v>
      </c>
      <c r="AJ5" s="120">
        <f t="shared" ref="AJ5" ca="1" si="14">(Z5+N5+(LOG(I5)*4/3))*(IF(Q5=7, (Q5/7)^0.5, ((Q5+1)/7)^0.5))</f>
        <v>3.7746957123143519</v>
      </c>
      <c r="AK5" s="8">
        <f t="shared" ref="AK5" ca="1" si="15">(((Y5+LOG(I5)*4/3+N5)+(AB5+LOG(I5)*4/3+N5)*2)/8)*(Q5/7)^0.5</f>
        <v>1.3213802322837989</v>
      </c>
      <c r="AL5" s="8">
        <f t="shared" ref="AL5" ca="1" si="16">(AD5+LOG(I5)*4/3+N5)*0.7+(AC5+LOG(I5)*4/3+N5)*0.3</f>
        <v>1.7262801981951483</v>
      </c>
      <c r="AM5" s="8">
        <f t="shared" ref="AM5" ca="1" si="17">(0.5*(AC5+LOG(I5)*4/3+N5)+ 0.3*(AD5+LOG(I5)*4/3+N5))/10</f>
        <v>0.21263574918894523</v>
      </c>
      <c r="AN5" s="8">
        <f t="shared" ref="AN5" ca="1" si="18">(0.4*(Y5+LOG(I5)*4/3+N5)+0.3*(AD5+LOG(I5)*4/3+N5))/10</f>
        <v>0.20463961387366042</v>
      </c>
      <c r="AO5" s="20">
        <v>1</v>
      </c>
      <c r="AP5" s="20">
        <v>1</v>
      </c>
      <c r="AQ5" s="20">
        <v>3</v>
      </c>
      <c r="AR5" s="129">
        <f t="shared" si="6"/>
        <v>4.9399999999999999E-2</v>
      </c>
      <c r="AS5">
        <v>480</v>
      </c>
    </row>
    <row r="6" spans="1:45" x14ac:dyDescent="0.25">
      <c r="A6" s="15" t="s">
        <v>39</v>
      </c>
      <c r="B6" s="15" t="s">
        <v>370</v>
      </c>
      <c r="C6" s="121">
        <f ca="1">((33*112)-(E6*112)-(F6))/112</f>
        <v>15.5</v>
      </c>
      <c r="D6" s="215" t="s">
        <v>451</v>
      </c>
      <c r="E6" s="16">
        <v>17</v>
      </c>
      <c r="F6" s="17">
        <f ca="1">72+D2-D1-112-112-112-112-112+17-112-112+10-112-27</f>
        <v>56</v>
      </c>
      <c r="G6" s="18"/>
      <c r="H6" s="4">
        <v>1</v>
      </c>
      <c r="I6" s="27">
        <v>1.3</v>
      </c>
      <c r="J6" s="22">
        <f>LOG(I6)*4/3</f>
        <v>0.15192446974244905</v>
      </c>
      <c r="K6" s="6">
        <f>(H6)*(H6)*(I6)</f>
        <v>1.3</v>
      </c>
      <c r="L6" s="6">
        <f>(H6+1)*(H6+1)*I6</f>
        <v>5.2</v>
      </c>
      <c r="M6" s="130">
        <v>43097</v>
      </c>
      <c r="N6" s="131">
        <v>1.5</v>
      </c>
      <c r="O6" s="19">
        <v>3.8</v>
      </c>
      <c r="P6" s="20">
        <f t="shared" si="2"/>
        <v>57</v>
      </c>
      <c r="Q6" s="20">
        <v>5</v>
      </c>
      <c r="R6" s="115">
        <f>(Q6/7)^0.5</f>
        <v>0.84515425472851657</v>
      </c>
      <c r="S6" s="115">
        <f>IF(Q6=7,1,((Q6+0.99)/7)^0.5)</f>
        <v>0.92504826128926143</v>
      </c>
      <c r="T6" s="29">
        <v>1440</v>
      </c>
      <c r="U6" s="29">
        <f>T6-AS6</f>
        <v>10</v>
      </c>
      <c r="V6" s="29">
        <v>470</v>
      </c>
      <c r="W6" s="8">
        <f>T6/V6</f>
        <v>3.0638297872340425</v>
      </c>
      <c r="X6" s="21">
        <v>0</v>
      </c>
      <c r="Y6" s="22">
        <v>5</v>
      </c>
      <c r="Z6" s="21">
        <v>6.7</v>
      </c>
      <c r="AA6" s="22">
        <v>3</v>
      </c>
      <c r="AB6" s="21">
        <v>3</v>
      </c>
      <c r="AC6" s="22">
        <f>3+1/15+1/15+1/15+1/15+1/15*80/90+1/15</f>
        <v>3.3925925925925937</v>
      </c>
      <c r="AD6" s="21">
        <v>2</v>
      </c>
      <c r="AE6" s="9">
        <v>442</v>
      </c>
      <c r="AF6" s="9">
        <v>2015</v>
      </c>
      <c r="AG6" s="23">
        <f>(AD6+1+(LOG(I6)*4/3)+N6)*(Q6/7)^0.5</f>
        <v>3.9315937582785287</v>
      </c>
      <c r="AH6" s="23">
        <f>(AD6+1+N6+(LOG(I6)*4/3))*(IF(Q6=7, (Q6/7)^0.5, ((Q6+1)/7)^0.5))</f>
        <v>4.3068451767113274</v>
      </c>
      <c r="AI6" s="120">
        <f>(Z6+N6+(LOG(I6)*4/3))*(Q6/7)^0.5</f>
        <v>7.0586645007740394</v>
      </c>
      <c r="AJ6" s="120">
        <f>(Z6+N6+(LOG(I6)*4/3))*(IF(Q6=7, (Q6/7)^0.5, ((Q6+1)/7)^0.5))</f>
        <v>7.7323795458697671</v>
      </c>
      <c r="AK6" s="8">
        <f>(((Y6+LOG(I6)*4/3+N6)+(AB6+LOG(I6)*4/3+N6)*2)/8)*(Q6/7)^0.5</f>
        <v>1.6856362230365776</v>
      </c>
      <c r="AL6" s="8">
        <f>(AD6+LOG(I6)*4/3+N6)*0.7+(AC6+LOG(I6)*4/3+N6)*0.3</f>
        <v>4.0697022475202269</v>
      </c>
      <c r="AM6" s="8">
        <f>(0.5*(AC6+LOG(I6)*4/3+N6)+ 0.3*(AD6+LOG(I6)*4/3+N6))/10</f>
        <v>0.36178358720902565</v>
      </c>
      <c r="AN6" s="8">
        <f>(0.4*(Y6+LOG(I6)*4/3+N6)+0.3*(AD6+LOG(I6)*4/3+N6))/10</f>
        <v>0.37563471288197148</v>
      </c>
      <c r="AO6" s="20">
        <v>2</v>
      </c>
      <c r="AP6" s="20">
        <v>2</v>
      </c>
      <c r="AQ6" s="20">
        <v>1</v>
      </c>
      <c r="AR6" s="129">
        <f>IF(AP6=4,IF(AQ6=0,0.137+0.0697,0.137+0.02),IF(AP6=3,IF(AQ6=0,0.0958+0.0697,0.0958+0.02),IF(AP6=2,IF(AQ6=0,0.0415+0.0697,0.0415+0.02),IF(AP6=1,IF(AQ6=0,0.0294+0.0697,0.0294+0.02),IF(AP6=0,IF(AQ6=0,0.0063+0.0697,0.0063+0.02))))))</f>
        <v>6.1499999999999999E-2</v>
      </c>
      <c r="AS6">
        <v>1430</v>
      </c>
    </row>
    <row r="7" spans="1:45" x14ac:dyDescent="0.25">
      <c r="A7" s="15" t="s">
        <v>41</v>
      </c>
      <c r="B7" s="15" t="s">
        <v>194</v>
      </c>
      <c r="C7" s="121">
        <f ca="1">((33*112)-(E7*112)-(F7))/112</f>
        <v>15</v>
      </c>
      <c r="D7" s="226" t="s">
        <v>308</v>
      </c>
      <c r="E7" s="16">
        <v>18</v>
      </c>
      <c r="F7" s="2">
        <f ca="1">8-159+16-570-5+D2-D1-2-31-25-112</f>
        <v>0</v>
      </c>
      <c r="G7" s="18" t="s">
        <v>296</v>
      </c>
      <c r="H7" s="40">
        <v>6</v>
      </c>
      <c r="I7" s="27">
        <v>1.5</v>
      </c>
      <c r="J7" s="22">
        <f>LOG(I7)*4/3</f>
        <v>0.23478834540757498</v>
      </c>
      <c r="K7" s="6">
        <f>(H7)*(H7)*(I7)</f>
        <v>54</v>
      </c>
      <c r="L7" s="6">
        <f>(H7+1)*(H7+1)*I7</f>
        <v>73.5</v>
      </c>
      <c r="M7" s="130">
        <v>43051</v>
      </c>
      <c r="N7" s="131">
        <f ca="1">IF((TODAY()-M7)&gt;335,1,((TODAY()-M7)^0.64)/(336^0.64))</f>
        <v>0.45151977161374751</v>
      </c>
      <c r="O7" s="19">
        <v>5</v>
      </c>
      <c r="P7" s="20">
        <f>O7*10+19</f>
        <v>69</v>
      </c>
      <c r="Q7" s="26">
        <v>5</v>
      </c>
      <c r="R7" s="115">
        <f>(Q7/7)^0.5</f>
        <v>0.84515425472851657</v>
      </c>
      <c r="S7" s="115">
        <f>IF(Q7=7,1,((Q7+0.99)/7)^0.5)</f>
        <v>0.92504826128926143</v>
      </c>
      <c r="T7" s="29">
        <v>2900</v>
      </c>
      <c r="U7" s="29">
        <f>T7-AS7</f>
        <v>40</v>
      </c>
      <c r="V7" s="29">
        <v>330</v>
      </c>
      <c r="W7" s="8">
        <f>T7/V7</f>
        <v>8.7878787878787872</v>
      </c>
      <c r="X7" s="21">
        <v>0</v>
      </c>
      <c r="Y7" s="22">
        <v>6</v>
      </c>
      <c r="Z7" s="21">
        <v>3</v>
      </c>
      <c r="AA7" s="22">
        <v>3</v>
      </c>
      <c r="AB7" s="21">
        <f>5.4+0.2+0.2+0.2</f>
        <v>6.0000000000000009</v>
      </c>
      <c r="AC7" s="22">
        <f>3.34+0.34+0.33+0.33+0.33+0.33+0.33+0.33</f>
        <v>5.66</v>
      </c>
      <c r="AD7" s="21">
        <v>3</v>
      </c>
      <c r="AE7" s="9">
        <v>540</v>
      </c>
      <c r="AF7" s="9">
        <v>2033</v>
      </c>
      <c r="AG7" s="23">
        <f t="shared" ref="AG7:AG20" ca="1" si="19">(AD7+1+(LOG(I7)*4/3)+N7)*(Q7/7)^0.5</f>
        <v>3.9606532440693529</v>
      </c>
      <c r="AH7" s="23">
        <f t="shared" ref="AH7:AH20" ca="1" si="20">(AD7+1+N7+(LOG(I7)*4/3))*(IF(Q7=7, (Q7/7)^0.5, ((Q7+1)/7)^0.5))</f>
        <v>4.338678248465599</v>
      </c>
      <c r="AI7" s="120">
        <f t="shared" ref="AI7:AI20" ca="1" si="21">(Z7+N7+(LOG(I7)*4/3))*(Q7/7)^0.5</f>
        <v>3.1154989893408369</v>
      </c>
      <c r="AJ7" s="120">
        <f t="shared" ref="AJ7:AJ20" ca="1" si="22">(Z7+N7+(LOG(I7)*4/3))*(IF(Q7=7, (Q7/7)^0.5, ((Q7+1)/7)^0.5))</f>
        <v>3.4128581486930467</v>
      </c>
      <c r="AK7" s="8">
        <f t="shared" ref="AK7:AK20" ca="1" si="23">(((Y7+LOG(I7)*4/3+N7)+(AB7+LOG(I7)*4/3+N7)*2)/8)*(Q7/7)^0.5</f>
        <v>2.1191106575723953</v>
      </c>
      <c r="AL7" s="8">
        <f t="shared" ref="AL7:AL20" ca="1" si="24">(AD7+LOG(I7)*4/3+N7)*0.7+(AC7+LOG(I7)*4/3+N7)*0.3</f>
        <v>4.4843081170213219</v>
      </c>
      <c r="AM7" s="8">
        <f t="shared" ref="AM7:AM20" ca="1" si="25">(0.5*(AC7+LOG(I7)*4/3+N7)+ 0.3*(AD7+LOG(I7)*4/3+N7))/10</f>
        <v>0.42790464936170575</v>
      </c>
      <c r="AN7" s="8">
        <f t="shared" ref="AN7:AN20" ca="1" si="26">(0.4*(Y7+LOG(I7)*4/3+N7)+0.3*(AD7+LOG(I7)*4/3+N7))/10</f>
        <v>0.37804156819149254</v>
      </c>
      <c r="AO7" s="20">
        <v>2</v>
      </c>
      <c r="AP7" s="20">
        <v>2</v>
      </c>
      <c r="AQ7" s="20">
        <v>1</v>
      </c>
      <c r="AR7" s="129">
        <f>IF(AP7=4,IF(AQ7=0,0.137+0.0697,0.137+0.02),IF(AP7=3,IF(AQ7=0,0.0958+0.0697,0.0958+0.02),IF(AP7=2,IF(AQ7=0,0.0415+0.0697,0.0415+0.02),IF(AP7=1,IF(AQ7=0,0.0294+0.0697,0.0294+0.02),IF(AP7=0,IF(AQ7=0,0.0063+0.0697,0.0063+0.02))))))</f>
        <v>6.1499999999999999E-2</v>
      </c>
      <c r="AS7">
        <v>2860</v>
      </c>
    </row>
    <row r="8" spans="1:45" x14ac:dyDescent="0.25">
      <c r="A8" s="15" t="s">
        <v>38</v>
      </c>
      <c r="B8" s="15" t="s">
        <v>194</v>
      </c>
      <c r="C8" s="121">
        <f ca="1">((33*112)-(E8*112)-(F8))/112</f>
        <v>14.910714285714286</v>
      </c>
      <c r="D8" s="226" t="s">
        <v>382</v>
      </c>
      <c r="E8" s="16">
        <v>18</v>
      </c>
      <c r="F8" s="2">
        <f ca="1">8-159+16-570-5+D2-D1-2-31-15-112</f>
        <v>10</v>
      </c>
      <c r="G8" s="18" t="s">
        <v>70</v>
      </c>
      <c r="H8" s="4">
        <v>0</v>
      </c>
      <c r="I8" s="27">
        <v>1.7</v>
      </c>
      <c r="J8" s="22">
        <f>LOG(I8)*4/3</f>
        <v>0.30726522850436522</v>
      </c>
      <c r="K8" s="6">
        <f>(H8)*(H8)*(I8)</f>
        <v>0</v>
      </c>
      <c r="L8" s="6">
        <f>(H8+1)*(H8+1)*I8</f>
        <v>1.7</v>
      </c>
      <c r="M8" s="130">
        <v>43081</v>
      </c>
      <c r="N8" s="131">
        <f ca="1">IF((TODAY()-M8)&gt;335,1,((TODAY()-M8)^0.64)/(336^0.64))</f>
        <v>0.35631223569607401</v>
      </c>
      <c r="O8" s="19">
        <v>3.5</v>
      </c>
      <c r="P8" s="20">
        <f>O8*10+19</f>
        <v>54</v>
      </c>
      <c r="Q8" s="26">
        <v>7</v>
      </c>
      <c r="R8" s="115">
        <f>(Q8/7)^0.5</f>
        <v>1</v>
      </c>
      <c r="S8" s="115">
        <f>IF(Q8=7,1,((Q8+0.99)/7)^0.5)</f>
        <v>1</v>
      </c>
      <c r="T8" s="29">
        <v>7230</v>
      </c>
      <c r="U8" s="29">
        <f>T8-AS8</f>
        <v>400</v>
      </c>
      <c r="V8" s="29">
        <v>550</v>
      </c>
      <c r="W8" s="8">
        <f>T8/V8</f>
        <v>13.145454545454545</v>
      </c>
      <c r="X8" s="21">
        <v>0</v>
      </c>
      <c r="Y8" s="22">
        <v>6</v>
      </c>
      <c r="Z8" s="21">
        <v>5</v>
      </c>
      <c r="AA8" s="22">
        <v>6</v>
      </c>
      <c r="AB8" s="21">
        <f>5.8+0.2+0.2</f>
        <v>6.2</v>
      </c>
      <c r="AC8" s="22">
        <f>5+0.34+0.33+0.33+0.25+0.25+0.25</f>
        <v>6.75</v>
      </c>
      <c r="AD8" s="21">
        <v>0</v>
      </c>
      <c r="AE8" s="9">
        <v>690</v>
      </c>
      <c r="AF8" s="9">
        <v>2197</v>
      </c>
      <c r="AG8" s="23">
        <f t="shared" ca="1" si="19"/>
        <v>1.6635774642004393</v>
      </c>
      <c r="AH8" s="23">
        <f t="shared" ca="1" si="20"/>
        <v>1.6635774642004391</v>
      </c>
      <c r="AI8" s="120">
        <f t="shared" ca="1" si="21"/>
        <v>5.6635774642004391</v>
      </c>
      <c r="AJ8" s="120">
        <f t="shared" ca="1" si="22"/>
        <v>5.6635774642004391</v>
      </c>
      <c r="AK8" s="8">
        <f t="shared" ca="1" si="23"/>
        <v>2.5488415490751648</v>
      </c>
      <c r="AL8" s="8">
        <f t="shared" ca="1" si="24"/>
        <v>2.688577464200439</v>
      </c>
      <c r="AM8" s="8">
        <f t="shared" ca="1" si="25"/>
        <v>0.39058619713603515</v>
      </c>
      <c r="AN8" s="8">
        <f t="shared" ca="1" si="26"/>
        <v>0.2864504224940308</v>
      </c>
      <c r="AO8" s="20">
        <v>1</v>
      </c>
      <c r="AP8" s="20">
        <v>2</v>
      </c>
      <c r="AQ8" s="20">
        <v>2</v>
      </c>
      <c r="AR8" s="129">
        <f>IF(AP8=4,IF(AQ8=0,0.137+0.0697,0.137+0.02),IF(AP8=3,IF(AQ8=0,0.0958+0.0697,0.0958+0.02),IF(AP8=2,IF(AQ8=0,0.0415+0.0697,0.0415+0.02),IF(AP8=1,IF(AQ8=0,0.0294+0.0697,0.0294+0.02),IF(AP8=0,IF(AQ8=0,0.0063+0.0697,0.0063+0.02))))))</f>
        <v>6.1499999999999999E-2</v>
      </c>
      <c r="AS8" s="214">
        <v>6830</v>
      </c>
    </row>
    <row r="9" spans="1:45" x14ac:dyDescent="0.25">
      <c r="A9" s="15" t="s">
        <v>364</v>
      </c>
      <c r="B9" s="24" t="s">
        <v>194</v>
      </c>
      <c r="C9" s="121">
        <f ca="1">((33*112)-(E9*112)-(F9))/112</f>
        <v>14.607142857142858</v>
      </c>
      <c r="D9" s="216" t="s">
        <v>301</v>
      </c>
      <c r="E9" s="1">
        <v>18</v>
      </c>
      <c r="F9" s="2">
        <f ca="1">8-159+16-570-5+D2-D1-2-12-112</f>
        <v>44</v>
      </c>
      <c r="G9" s="3" t="s">
        <v>70</v>
      </c>
      <c r="H9" s="4">
        <v>2</v>
      </c>
      <c r="I9" s="5">
        <v>0.5</v>
      </c>
      <c r="J9" s="22">
        <f>LOG(I9)*4/3</f>
        <v>-0.40137332755197491</v>
      </c>
      <c r="K9" s="6">
        <f>(H9)*(H9)*(I9)</f>
        <v>2</v>
      </c>
      <c r="L9" s="6">
        <f>(H9+1)*(H9+1)*I9</f>
        <v>4.5</v>
      </c>
      <c r="M9" s="130">
        <v>43046</v>
      </c>
      <c r="N9" s="131">
        <f ca="1">IF((TODAY()-M9)&gt;335,1,((TODAY()-M9)^0.64)/(336^0.64))</f>
        <v>0.46628019819514815</v>
      </c>
      <c r="O9" s="25">
        <v>5.2</v>
      </c>
      <c r="P9" s="20">
        <f>O9*10+19</f>
        <v>71</v>
      </c>
      <c r="Q9" s="26">
        <v>6</v>
      </c>
      <c r="R9" s="115">
        <f>(Q9/7)^0.5</f>
        <v>0.92582009977255142</v>
      </c>
      <c r="S9" s="115">
        <f>IF(Q9=7,1,((Q9+0.99)/7)^0.5)</f>
        <v>0.99928545900129484</v>
      </c>
      <c r="T9" s="29">
        <v>2490</v>
      </c>
      <c r="U9" s="29">
        <f>T9-AS9</f>
        <v>-20</v>
      </c>
      <c r="V9" s="7">
        <v>450</v>
      </c>
      <c r="W9" s="8">
        <f>T9/V9</f>
        <v>5.5333333333333332</v>
      </c>
      <c r="X9" s="21">
        <v>0</v>
      </c>
      <c r="Y9" s="22">
        <v>6</v>
      </c>
      <c r="Z9" s="21">
        <v>4</v>
      </c>
      <c r="AA9" s="22">
        <v>4</v>
      </c>
      <c r="AB9" s="21">
        <f>2.67+0.33+0.33*0.16+0.25+0.25</f>
        <v>3.5528</v>
      </c>
      <c r="AC9" s="22">
        <f>3.27+0.33+1/15+1/15+1/15+1/15+1/15+1/15+1/15</f>
        <v>4.0666666666666673</v>
      </c>
      <c r="AD9" s="21">
        <v>6</v>
      </c>
      <c r="AE9" s="9">
        <v>488</v>
      </c>
      <c r="AF9" s="9">
        <v>1928</v>
      </c>
      <c r="AG9" s="23">
        <f t="shared" ca="1" si="19"/>
        <v>6.5408327838626468</v>
      </c>
      <c r="AH9" s="23">
        <f t="shared" ca="1" si="20"/>
        <v>7.0649068706431732</v>
      </c>
      <c r="AI9" s="120">
        <f t="shared" ca="1" si="21"/>
        <v>3.7633724845449925</v>
      </c>
      <c r="AJ9" s="120">
        <f t="shared" ca="1" si="22"/>
        <v>4.0649068706431732</v>
      </c>
      <c r="AK9" s="8">
        <f t="shared" ca="1" si="23"/>
        <v>1.5392130194929388</v>
      </c>
      <c r="AL9" s="8">
        <f t="shared" ca="1" si="24"/>
        <v>5.4849068706431732</v>
      </c>
      <c r="AM9" s="8">
        <f t="shared" ca="1" si="25"/>
        <v>0.38852588298478719</v>
      </c>
      <c r="AN9" s="8">
        <f t="shared" ca="1" si="26"/>
        <v>0.4245434809450222</v>
      </c>
      <c r="AO9" s="20">
        <v>2</v>
      </c>
      <c r="AP9" s="20">
        <v>0</v>
      </c>
      <c r="AQ9" s="20">
        <v>3</v>
      </c>
      <c r="AR9" s="129">
        <f>IF(AP9=4,IF(AQ9=0,0.137+0.0697,0.137+0.02),IF(AP9=3,IF(AQ9=0,0.0958+0.0697,0.0958+0.02),IF(AP9=2,IF(AQ9=0,0.0415+0.0697,0.0415+0.02),IF(AP9=1,IF(AQ9=0,0.0294+0.0697,0.0294+0.02),IF(AP9=0,IF(AQ9=0,0.0063+0.0697,0.0063+0.02))))))</f>
        <v>2.63E-2</v>
      </c>
      <c r="AS9">
        <v>2510</v>
      </c>
    </row>
    <row r="10" spans="1:45" x14ac:dyDescent="0.25">
      <c r="A10" s="15" t="s">
        <v>309</v>
      </c>
      <c r="B10" s="15" t="s">
        <v>194</v>
      </c>
      <c r="C10" s="121">
        <f t="shared" ref="C10:C12" ca="1" si="27">((33*112)-(E10*112)-(F10))/112</f>
        <v>15.035714285714286</v>
      </c>
      <c r="D10" s="216" t="s">
        <v>299</v>
      </c>
      <c r="E10" s="1">
        <v>17</v>
      </c>
      <c r="F10" s="2">
        <f ca="1">8-159+16-570-5+D2-D1-2-60</f>
        <v>108</v>
      </c>
      <c r="G10" s="3" t="s">
        <v>296</v>
      </c>
      <c r="H10" s="4">
        <v>3</v>
      </c>
      <c r="I10" s="5">
        <v>1.3</v>
      </c>
      <c r="J10" s="22">
        <f t="shared" ref="J10:J12" si="28">LOG(I10)*4/3</f>
        <v>0.15192446974244905</v>
      </c>
      <c r="K10" s="6">
        <f t="shared" ref="K10:K13" si="29">(H10)*(H10)*(I10)</f>
        <v>11.700000000000001</v>
      </c>
      <c r="L10" s="6">
        <f t="shared" ref="L10:L13" si="30">(H10+1)*(H10+1)*I10</f>
        <v>20.8</v>
      </c>
      <c r="M10" s="130">
        <v>43045</v>
      </c>
      <c r="N10" s="131">
        <f t="shared" ref="N10:N12" ca="1" si="31">IF((TODAY()-M10)&gt;335,1,((TODAY()-M10)^0.64)/(336^0.64))</f>
        <v>0.46920073772061183</v>
      </c>
      <c r="O10" s="25">
        <v>5</v>
      </c>
      <c r="P10" s="20">
        <f t="shared" ref="P10:P13" si="32">O10*10+19</f>
        <v>69</v>
      </c>
      <c r="Q10" s="26">
        <v>4</v>
      </c>
      <c r="R10" s="115">
        <f t="shared" ref="R10:R12" si="33">(Q10/7)^0.5</f>
        <v>0.7559289460184544</v>
      </c>
      <c r="S10" s="115">
        <f t="shared" ref="S10:S12" si="34">IF(Q10=7,1,((Q10+0.99)/7)^0.5)</f>
        <v>0.84430867747355465</v>
      </c>
      <c r="T10" s="29">
        <v>1020</v>
      </c>
      <c r="U10" s="29">
        <f t="shared" ref="U10:U12" si="35">T10-AS10</f>
        <v>-40</v>
      </c>
      <c r="V10" s="7">
        <v>330</v>
      </c>
      <c r="W10" s="8">
        <f t="shared" ref="W10:W13" si="36">T10/V10</f>
        <v>3.0909090909090908</v>
      </c>
      <c r="X10" s="21">
        <v>0</v>
      </c>
      <c r="Y10" s="22">
        <v>5</v>
      </c>
      <c r="Z10" s="21">
        <v>3</v>
      </c>
      <c r="AA10" s="22">
        <v>4</v>
      </c>
      <c r="AB10" s="21">
        <v>3</v>
      </c>
      <c r="AC10" s="22">
        <f>3.73+1/15+1/15+1/15+1/15+1/15+1/15+1/15+1/15</f>
        <v>4.2633333333333336</v>
      </c>
      <c r="AD10" s="21">
        <v>3</v>
      </c>
      <c r="AE10" s="9">
        <v>401</v>
      </c>
      <c r="AF10" s="9">
        <v>1900</v>
      </c>
      <c r="AG10" s="23">
        <f t="shared" ca="1" si="19"/>
        <v>3.4932423074968626</v>
      </c>
      <c r="AH10" s="23">
        <f t="shared" ca="1" si="20"/>
        <v>3.9055636307206041</v>
      </c>
      <c r="AI10" s="120">
        <f t="shared" ca="1" si="21"/>
        <v>2.7373133614784089</v>
      </c>
      <c r="AJ10" s="120">
        <f t="shared" ca="1" si="22"/>
        <v>3.0604093759920885</v>
      </c>
      <c r="AK10" s="8">
        <f t="shared" ca="1" si="23"/>
        <v>1.2154747470590168</v>
      </c>
      <c r="AL10" s="8">
        <f t="shared" ca="1" si="24"/>
        <v>4.0001252074630607</v>
      </c>
      <c r="AM10" s="8">
        <f t="shared" ca="1" si="25"/>
        <v>0.35285668326371156</v>
      </c>
      <c r="AN10" s="8">
        <f t="shared" ca="1" si="26"/>
        <v>0.33347876452241421</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1060</v>
      </c>
    </row>
    <row r="11" spans="1:45" x14ac:dyDescent="0.25">
      <c r="A11" s="15" t="s">
        <v>43</v>
      </c>
      <c r="B11" s="15" t="s">
        <v>194</v>
      </c>
      <c r="C11" s="121">
        <f t="shared" ca="1" si="27"/>
        <v>15</v>
      </c>
      <c r="D11" s="226" t="s">
        <v>576</v>
      </c>
      <c r="E11" s="1">
        <v>18</v>
      </c>
      <c r="F11" s="2">
        <f ca="1">8-159+16-570-5+D2-D1-2-56-112</f>
        <v>0</v>
      </c>
      <c r="G11" s="3" t="s">
        <v>296</v>
      </c>
      <c r="H11" s="227">
        <v>5</v>
      </c>
      <c r="I11" s="5">
        <v>1.2</v>
      </c>
      <c r="J11" s="22">
        <f t="shared" si="28"/>
        <v>0.10557499473016642</v>
      </c>
      <c r="K11" s="6">
        <f t="shared" si="29"/>
        <v>30</v>
      </c>
      <c r="L11" s="6">
        <f t="shared" si="30"/>
        <v>43.199999999999996</v>
      </c>
      <c r="M11" s="130">
        <v>43137</v>
      </c>
      <c r="N11" s="131">
        <f t="shared" ca="1" si="31"/>
        <v>0.11210737430592951</v>
      </c>
      <c r="O11" s="25">
        <v>3.5</v>
      </c>
      <c r="P11" s="20">
        <f t="shared" si="32"/>
        <v>54</v>
      </c>
      <c r="Q11" s="26">
        <v>5</v>
      </c>
      <c r="R11" s="115">
        <f t="shared" si="33"/>
        <v>0.84515425472851657</v>
      </c>
      <c r="S11" s="115">
        <f t="shared" si="34"/>
        <v>0.92504826128926143</v>
      </c>
      <c r="T11" s="29">
        <v>4250</v>
      </c>
      <c r="U11" s="29">
        <f t="shared" si="35"/>
        <v>690</v>
      </c>
      <c r="V11" s="7">
        <v>310</v>
      </c>
      <c r="W11" s="8">
        <f t="shared" si="36"/>
        <v>13.709677419354838</v>
      </c>
      <c r="X11" s="21">
        <v>0</v>
      </c>
      <c r="Y11" s="22">
        <v>8</v>
      </c>
      <c r="Z11" s="21">
        <v>4</v>
      </c>
      <c r="AA11" s="22">
        <v>5</v>
      </c>
      <c r="AB11" s="21">
        <f>4+0.25</f>
        <v>4.25</v>
      </c>
      <c r="AC11" s="22">
        <f>5+0.25</f>
        <v>5.25</v>
      </c>
      <c r="AD11" s="21">
        <v>3</v>
      </c>
      <c r="AE11" s="9">
        <v>641</v>
      </c>
      <c r="AF11" s="9">
        <v>2138</v>
      </c>
      <c r="AG11" s="23">
        <f t="shared" ca="1" si="19"/>
        <v>3.5645921992843057</v>
      </c>
      <c r="AH11" s="23">
        <f t="shared" ca="1" si="20"/>
        <v>3.9048151117099295</v>
      </c>
      <c r="AI11" s="120">
        <f t="shared" ca="1" si="21"/>
        <v>3.5645921992843057</v>
      </c>
      <c r="AJ11" s="120">
        <f t="shared" ca="1" si="22"/>
        <v>3.9048151117099295</v>
      </c>
      <c r="AK11" s="8">
        <f t="shared" ref="AK11" ca="1" si="38">(((Y11+LOG(I11)*4/3+N11)+(AB11+LOG(I11)*4/3+N11)*2)/8)*(Q11/7)^0.5</f>
        <v>1.8121213430164052</v>
      </c>
      <c r="AL11" s="8">
        <f t="shared" ref="AL11" ca="1" si="39">(AD11+LOG(I11)*4/3+N11)*0.7+(AC11+LOG(I11)*4/3+N11)*0.3</f>
        <v>3.8926823690360957</v>
      </c>
      <c r="AM11" s="8">
        <f t="shared" ref="AM11" ca="1" si="40">(0.5*(AC11+LOG(I11)*4/3+N11)+ 0.3*(AD11+LOG(I11)*4/3+N11))/10</f>
        <v>0.36991458952288764</v>
      </c>
      <c r="AN11" s="8">
        <f t="shared" ca="1" si="26"/>
        <v>0.4252377658325267</v>
      </c>
      <c r="AO11" s="20">
        <v>1</v>
      </c>
      <c r="AP11" s="20">
        <v>2</v>
      </c>
      <c r="AQ11" s="20">
        <v>3</v>
      </c>
      <c r="AR11" s="129">
        <f t="shared" si="37"/>
        <v>6.1499999999999999E-2</v>
      </c>
      <c r="AS11">
        <v>3560</v>
      </c>
    </row>
    <row r="12" spans="1:45" x14ac:dyDescent="0.25">
      <c r="A12" s="15" t="s">
        <v>33</v>
      </c>
      <c r="B12" s="15" t="s">
        <v>194</v>
      </c>
      <c r="C12" s="121">
        <f t="shared" ca="1" si="27"/>
        <v>15.348214285714286</v>
      </c>
      <c r="D12" s="226" t="s">
        <v>566</v>
      </c>
      <c r="E12" s="1">
        <v>17</v>
      </c>
      <c r="F12" s="2">
        <f ca="1">58++D2-D1-112-112-112-112-112-112-112-81</f>
        <v>73</v>
      </c>
      <c r="G12" s="3" t="s">
        <v>45</v>
      </c>
      <c r="H12" s="4">
        <v>3</v>
      </c>
      <c r="I12" s="5">
        <v>1.3</v>
      </c>
      <c r="J12" s="22">
        <f t="shared" si="28"/>
        <v>0.15192446974244905</v>
      </c>
      <c r="K12" s="6">
        <f t="shared" si="29"/>
        <v>11.700000000000001</v>
      </c>
      <c r="L12" s="6">
        <f t="shared" si="30"/>
        <v>20.8</v>
      </c>
      <c r="M12" s="130">
        <v>43122</v>
      </c>
      <c r="N12" s="131">
        <f t="shared" ca="1" si="31"/>
        <v>0.19441322527055119</v>
      </c>
      <c r="O12" s="25">
        <v>3.7</v>
      </c>
      <c r="P12" s="20">
        <f t="shared" si="32"/>
        <v>56</v>
      </c>
      <c r="Q12" s="26">
        <v>7</v>
      </c>
      <c r="R12" s="115">
        <f t="shared" si="33"/>
        <v>1</v>
      </c>
      <c r="S12" s="115">
        <f t="shared" si="34"/>
        <v>1</v>
      </c>
      <c r="T12" s="29">
        <v>4440</v>
      </c>
      <c r="U12" s="29">
        <f t="shared" si="35"/>
        <v>230</v>
      </c>
      <c r="V12" s="7">
        <v>410</v>
      </c>
      <c r="W12" s="8">
        <f t="shared" si="36"/>
        <v>10.829268292682928</v>
      </c>
      <c r="X12" s="21">
        <v>0</v>
      </c>
      <c r="Y12" s="22">
        <v>6</v>
      </c>
      <c r="Z12" s="21">
        <v>3</v>
      </c>
      <c r="AA12" s="22">
        <v>3</v>
      </c>
      <c r="AB12" s="21">
        <v>7</v>
      </c>
      <c r="AC12" s="22">
        <f>4.25+0.25+0.25+0.25</f>
        <v>5</v>
      </c>
      <c r="AD12" s="21">
        <v>3</v>
      </c>
      <c r="AE12" s="9">
        <v>476</v>
      </c>
      <c r="AF12" s="9">
        <v>2113</v>
      </c>
      <c r="AG12" s="23">
        <f t="shared" ca="1" si="19"/>
        <v>4.3463376950130002</v>
      </c>
      <c r="AH12" s="23">
        <f t="shared" ca="1" si="20"/>
        <v>4.3463376950130002</v>
      </c>
      <c r="AI12" s="120">
        <f t="shared" ca="1" si="21"/>
        <v>3.3463376950130002</v>
      </c>
      <c r="AJ12" s="120">
        <f t="shared" ca="1" si="22"/>
        <v>3.3463376950130002</v>
      </c>
      <c r="AK12" s="8">
        <f t="shared" ref="AK12" ca="1" si="41">(((Y12+LOG(I12)*4/3+N12)+(AB12+LOG(I12)*4/3+N12)*2)/8)*(Q12/7)^0.5</f>
        <v>2.6298766356298753</v>
      </c>
      <c r="AL12" s="8">
        <f t="shared" ref="AL12" ca="1" si="42">(AD12+LOG(I12)*4/3+N12)*0.7+(AC12+LOG(I12)*4/3+N12)*0.3</f>
        <v>3.9463376950129998</v>
      </c>
      <c r="AM12" s="8">
        <f t="shared" ref="AM12" ca="1" si="43">(0.5*(AC12+LOG(I12)*4/3+N12)+ 0.3*(AD12+LOG(I12)*4/3+N12))/10</f>
        <v>0.36770701560103997</v>
      </c>
      <c r="AN12" s="8">
        <f t="shared" ca="1" si="26"/>
        <v>0.35424363865090996</v>
      </c>
      <c r="AO12" s="20">
        <v>2</v>
      </c>
      <c r="AP12" s="20">
        <v>0</v>
      </c>
      <c r="AQ12" s="20">
        <v>2</v>
      </c>
      <c r="AR12" s="129">
        <f t="shared" si="37"/>
        <v>2.63E-2</v>
      </c>
      <c r="AS12" s="193">
        <v>4210</v>
      </c>
    </row>
    <row r="13" spans="1:45" x14ac:dyDescent="0.25">
      <c r="A13" s="15" t="s">
        <v>35</v>
      </c>
      <c r="B13" s="15" t="s">
        <v>194</v>
      </c>
      <c r="C13" s="121">
        <f ca="1">((33*112)-(E13*112)-(F13))/112</f>
        <v>15.223214285714286</v>
      </c>
      <c r="D13" s="226" t="s">
        <v>452</v>
      </c>
      <c r="E13" s="16">
        <v>17</v>
      </c>
      <c r="F13" s="2">
        <f ca="1">-35+D2-D1-67-112-112-112+87-112-112-112-112+6</f>
        <v>87</v>
      </c>
      <c r="G13" s="18" t="s">
        <v>45</v>
      </c>
      <c r="H13" s="40">
        <v>6</v>
      </c>
      <c r="I13" s="27">
        <v>1.3</v>
      </c>
      <c r="J13" s="22">
        <f>LOG(I13)*4/3</f>
        <v>0.15192446974244905</v>
      </c>
      <c r="K13" s="6">
        <f t="shared" si="29"/>
        <v>46.800000000000004</v>
      </c>
      <c r="L13" s="6">
        <f t="shared" si="30"/>
        <v>63.7</v>
      </c>
      <c r="M13" s="130">
        <v>43097</v>
      </c>
      <c r="N13" s="131">
        <f ca="1">IF((TODAY()-M13)&gt;335,1,((TODAY()-M13)^0.64)/(336^0.64))</f>
        <v>0.2992180409422085</v>
      </c>
      <c r="O13" s="25">
        <v>3.5</v>
      </c>
      <c r="P13" s="20">
        <f t="shared" si="32"/>
        <v>54</v>
      </c>
      <c r="Q13" s="20">
        <v>5</v>
      </c>
      <c r="R13" s="115">
        <f>(Q13/7)^0.5</f>
        <v>0.84515425472851657</v>
      </c>
      <c r="S13" s="115">
        <f>IF(Q13=7,1,((Q13+0.99)/7)^0.5)</f>
        <v>0.92504826128926143</v>
      </c>
      <c r="T13" s="29">
        <v>1640</v>
      </c>
      <c r="U13" s="29">
        <f>T13-AS13</f>
        <v>140</v>
      </c>
      <c r="V13" s="29">
        <v>350</v>
      </c>
      <c r="W13" s="8">
        <f t="shared" si="36"/>
        <v>4.6857142857142859</v>
      </c>
      <c r="X13" s="21">
        <v>0</v>
      </c>
      <c r="Y13" s="22">
        <v>6</v>
      </c>
      <c r="Z13" s="21">
        <v>3</v>
      </c>
      <c r="AA13" s="22">
        <v>3</v>
      </c>
      <c r="AB13" s="21">
        <f>3+0.33</f>
        <v>3.33</v>
      </c>
      <c r="AC13" s="22">
        <f>5.19+0.25+0.25+1/17+0.25+1/21</f>
        <v>6.0464425770308123</v>
      </c>
      <c r="AD13" s="21">
        <v>4</v>
      </c>
      <c r="AE13" s="9">
        <v>497</v>
      </c>
      <c r="AF13" s="9">
        <v>2036</v>
      </c>
      <c r="AG13" s="23">
        <f ca="1">(AD13+1+(LOG(I13)*4/3)+N13)*(Q13/7)^0.5</f>
        <v>4.6070562860366264</v>
      </c>
      <c r="AH13" s="23">
        <f ca="1">(AD13+1+N13+(LOG(I13)*4/3))*(IF(Q13=7, (Q13/7)^0.5, ((Q13+1)/7)^0.5))</f>
        <v>5.0467773031164658</v>
      </c>
      <c r="AI13" s="120">
        <f t="shared" ca="1" si="21"/>
        <v>2.9167477765795935</v>
      </c>
      <c r="AJ13" s="120">
        <f t="shared" ca="1" si="22"/>
        <v>3.1951371035713634</v>
      </c>
      <c r="AK13" s="8">
        <f t="shared" ca="1" si="23"/>
        <v>1.4804384877556438</v>
      </c>
      <c r="AL13" s="8">
        <f ca="1">(AD13+LOG(I13)*4/3+N13)*0.7+(AC13+LOG(I13)*4/3+N13)*0.3</f>
        <v>5.0650752837939006</v>
      </c>
      <c r="AM13" s="8">
        <f ca="1">(0.5*(AC13+LOG(I13)*4/3+N13)+ 0.3*(AD13+LOG(I13)*4/3+N13))/10</f>
        <v>0.45841352970631322</v>
      </c>
      <c r="AN13" s="8">
        <f ca="1">(0.4*(Y13+LOG(I13)*4/3+N13)+0.3*(AD13+LOG(I13)*4/3+N13))/10</f>
        <v>0.39157997574792602</v>
      </c>
      <c r="AO13" s="20">
        <v>2</v>
      </c>
      <c r="AP13" s="20">
        <v>3</v>
      </c>
      <c r="AQ13" s="20">
        <v>1</v>
      </c>
      <c r="AR13" s="129">
        <f>IF(AP13=4,IF(AQ13=0,0.137+0.0697,0.137+0.02),IF(AP13=3,IF(AQ13=0,0.0958+0.0697,0.0958+0.02),IF(AP13=2,IF(AQ13=0,0.0415+0.0697,0.0415+0.02),IF(AP13=1,IF(AQ13=0,0.0294+0.0697,0.0294+0.02),IF(AP13=0,IF(AQ13=0,0.0063+0.0697,0.0063+0.02))))))</f>
        <v>0.1158</v>
      </c>
      <c r="AS13">
        <v>1500</v>
      </c>
    </row>
    <row r="14" spans="1:45" x14ac:dyDescent="0.25">
      <c r="A14" s="15" t="s">
        <v>293</v>
      </c>
      <c r="B14" s="15" t="s">
        <v>95</v>
      </c>
      <c r="C14" s="121">
        <f ca="1">((33*112)-(E14*112)-(F14))/112</f>
        <v>14.669642857142858</v>
      </c>
      <c r="D14" s="215" t="s">
        <v>295</v>
      </c>
      <c r="E14" s="16">
        <v>18</v>
      </c>
      <c r="F14" s="17">
        <f ca="1">8-159+16-570-5+D2-D1-2-19-112</f>
        <v>37</v>
      </c>
      <c r="G14" s="18" t="s">
        <v>296</v>
      </c>
      <c r="H14" s="4">
        <v>3</v>
      </c>
      <c r="I14" s="27">
        <v>1.1000000000000001</v>
      </c>
      <c r="J14" s="22">
        <f>LOG(I14)*4/3</f>
        <v>5.5190246877633437E-2</v>
      </c>
      <c r="K14" s="6">
        <f>(H14)*(H14)*(I14)</f>
        <v>9.9</v>
      </c>
      <c r="L14" s="6">
        <f>(H14+1)*(H14+1)*I14</f>
        <v>17.600000000000001</v>
      </c>
      <c r="M14" s="130">
        <v>43045</v>
      </c>
      <c r="N14" s="131">
        <f ca="1">IF((TODAY()-M14)&gt;335,1,((TODAY()-M14)^0.64)/(336^0.64))</f>
        <v>0.46920073772061183</v>
      </c>
      <c r="O14" s="19">
        <v>5</v>
      </c>
      <c r="P14" s="20">
        <f>O14*10+19</f>
        <v>69</v>
      </c>
      <c r="Q14" s="20">
        <v>6</v>
      </c>
      <c r="R14" s="115">
        <f>(Q14/7)^0.5</f>
        <v>0.92582009977255142</v>
      </c>
      <c r="S14" s="115">
        <f>IF(Q14=7,1,((Q14+0.99)/7)^0.5)</f>
        <v>0.99928545900129484</v>
      </c>
      <c r="T14" s="29">
        <v>1920</v>
      </c>
      <c r="U14" s="29">
        <f>T14-AS14</f>
        <v>50</v>
      </c>
      <c r="V14" s="29">
        <v>370</v>
      </c>
      <c r="W14" s="8">
        <f>T14/V14</f>
        <v>5.1891891891891895</v>
      </c>
      <c r="X14" s="21">
        <v>0</v>
      </c>
      <c r="Y14" s="22">
        <v>3</v>
      </c>
      <c r="Z14" s="21">
        <v>6</v>
      </c>
      <c r="AA14" s="22">
        <v>3</v>
      </c>
      <c r="AB14" s="21">
        <f>3.25+0.25+0.25+0.25+0.25</f>
        <v>4.25</v>
      </c>
      <c r="AC14" s="22">
        <f>4.22+0.33+0.33+1/17+1/17+1/17*79/90+0.33*11/90+1/17+1/17+1/17</f>
        <v>5.2660849673202605</v>
      </c>
      <c r="AD14" s="21">
        <v>3</v>
      </c>
      <c r="AE14" s="9">
        <v>461</v>
      </c>
      <c r="AF14" s="9">
        <v>1941</v>
      </c>
      <c r="AG14" s="23">
        <f t="shared" ca="1" si="19"/>
        <v>4.1887721127707795</v>
      </c>
      <c r="AH14" s="23">
        <f t="shared" ca="1" si="20"/>
        <v>4.5243909845982451</v>
      </c>
      <c r="AI14" s="120">
        <f t="shared" ca="1" si="21"/>
        <v>6.0404123123158824</v>
      </c>
      <c r="AJ14" s="120">
        <f t="shared" ca="1" si="22"/>
        <v>6.5243909845982451</v>
      </c>
      <c r="AK14" s="8">
        <f t="shared" ca="1" si="23"/>
        <v>1.5129257860532579</v>
      </c>
      <c r="AL14" s="8">
        <f t="shared" ca="1" si="24"/>
        <v>4.2042164747943236</v>
      </c>
      <c r="AM14" s="8">
        <f t="shared" ca="1" si="25"/>
        <v>0.39525552713387263</v>
      </c>
      <c r="AN14" s="8">
        <f t="shared" ca="1" si="26"/>
        <v>0.2467073689218772</v>
      </c>
      <c r="AO14" s="20">
        <v>2</v>
      </c>
      <c r="AP14" s="20">
        <v>3</v>
      </c>
      <c r="AQ14" s="20">
        <v>2</v>
      </c>
      <c r="AR14" s="129">
        <f>IF(AP14=4,IF(AQ14=0,0.137+0.0697,0.137+0.02),IF(AP14=3,IF(AQ14=0,0.0958+0.0697,0.0958+0.02),IF(AP14=2,IF(AQ14=0,0.0415+0.0697,0.0415+0.02),IF(AP14=1,IF(AQ14=0,0.0294+0.0697,0.0294+0.02),IF(AP14=0,IF(AQ14=0,0.0063+0.0697,0.0063+0.02))))))</f>
        <v>0.1158</v>
      </c>
      <c r="AS14">
        <v>1870</v>
      </c>
    </row>
    <row r="15" spans="1:45" x14ac:dyDescent="0.25">
      <c r="A15" s="15" t="s">
        <v>367</v>
      </c>
      <c r="B15" s="24" t="s">
        <v>95</v>
      </c>
      <c r="C15" s="121">
        <f ca="1">((33*112)-(E15*112)-(F15))/112</f>
        <v>14.776785714285714</v>
      </c>
      <c r="D15" s="216" t="s">
        <v>300</v>
      </c>
      <c r="E15" s="1">
        <v>18</v>
      </c>
      <c r="F15" s="2">
        <f ca="1">8-159+16-570-5+D2-D1-2-31-112</f>
        <v>25</v>
      </c>
      <c r="G15" s="3" t="s">
        <v>0</v>
      </c>
      <c r="H15" s="4">
        <v>4</v>
      </c>
      <c r="I15" s="5">
        <v>0.5</v>
      </c>
      <c r="J15" s="22">
        <f>LOG(I15)*4/3</f>
        <v>-0.40137332755197491</v>
      </c>
      <c r="K15" s="6">
        <f>(H15)*(H15)*(I15)</f>
        <v>8</v>
      </c>
      <c r="L15" s="6">
        <f>(H15+1)*(H15+1)*I15</f>
        <v>12.5</v>
      </c>
      <c r="M15" s="130">
        <v>43046</v>
      </c>
      <c r="N15" s="131">
        <f ca="1">IF((TODAY()-M15)&gt;335,1,((TODAY()-M15)^0.64)/(336^0.64))</f>
        <v>0.46628019819514815</v>
      </c>
      <c r="O15" s="25">
        <v>5</v>
      </c>
      <c r="P15" s="20">
        <f>O15*10+19</f>
        <v>69</v>
      </c>
      <c r="Q15" s="26">
        <v>7</v>
      </c>
      <c r="R15" s="115">
        <f>(Q15/7)^0.5</f>
        <v>1</v>
      </c>
      <c r="S15" s="115">
        <f>IF(Q15=7,1,((Q15+0.99)/7)^0.5)</f>
        <v>1</v>
      </c>
      <c r="T15" s="29">
        <v>1360</v>
      </c>
      <c r="U15" s="29">
        <f>T15-AS15</f>
        <v>10</v>
      </c>
      <c r="V15" s="7">
        <v>350</v>
      </c>
      <c r="W15" s="8">
        <f>T15/V15</f>
        <v>3.8857142857142857</v>
      </c>
      <c r="X15" s="21">
        <v>0</v>
      </c>
      <c r="Y15" s="22">
        <v>2</v>
      </c>
      <c r="Z15" s="21">
        <v>5</v>
      </c>
      <c r="AA15" s="22">
        <v>3</v>
      </c>
      <c r="AB15" s="21">
        <v>3</v>
      </c>
      <c r="AC15" s="22">
        <f>5+1/20+1/20+1/20+1/20+1/20+1/20+1/20+1/20</f>
        <v>5.3999999999999986</v>
      </c>
      <c r="AD15" s="21">
        <v>5</v>
      </c>
      <c r="AE15" s="9">
        <v>387</v>
      </c>
      <c r="AF15" s="9">
        <v>1844</v>
      </c>
      <c r="AG15" s="23">
        <f t="shared" ca="1" si="19"/>
        <v>6.0649068706431732</v>
      </c>
      <c r="AH15" s="23">
        <f t="shared" ca="1" si="20"/>
        <v>6.0649068706431732</v>
      </c>
      <c r="AI15" s="120">
        <f t="shared" ca="1" si="21"/>
        <v>5.0649068706431732</v>
      </c>
      <c r="AJ15" s="120">
        <f t="shared" ca="1" si="22"/>
        <v>5.0649068706431732</v>
      </c>
      <c r="AK15" s="8">
        <f t="shared" ca="1" si="23"/>
        <v>1.0243400764911899</v>
      </c>
      <c r="AL15" s="8">
        <f t="shared" ca="1" si="24"/>
        <v>5.1849068706431725</v>
      </c>
      <c r="AM15" s="8">
        <f t="shared" ca="1" si="25"/>
        <v>0.42519254965145381</v>
      </c>
      <c r="AN15" s="8">
        <f t="shared" ca="1" si="26"/>
        <v>0.23454348094502214</v>
      </c>
      <c r="AO15" s="20">
        <v>4</v>
      </c>
      <c r="AP15" s="20">
        <v>2</v>
      </c>
      <c r="AQ15" s="20">
        <v>2</v>
      </c>
      <c r="AR15" s="129">
        <f>IF(AP15=4,IF(AQ15=0,0.137+0.0697,0.137+0.02),IF(AP15=3,IF(AQ15=0,0.0958+0.0697,0.0958+0.02),IF(AP15=2,IF(AQ15=0,0.0415+0.0697,0.0415+0.02),IF(AP15=1,IF(AQ15=0,0.0294+0.0697,0.0294+0.02),IF(AP15=0,IF(AQ15=0,0.0063+0.0697,0.0063+0.02))))))</f>
        <v>6.1499999999999999E-2</v>
      </c>
      <c r="AS15">
        <v>1350</v>
      </c>
    </row>
    <row r="16" spans="1:45" x14ac:dyDescent="0.25">
      <c r="A16" s="15" t="s">
        <v>371</v>
      </c>
      <c r="B16" s="15" t="s">
        <v>95</v>
      </c>
      <c r="C16" s="121">
        <f t="shared" ref="C16:C17" ca="1" si="44">((33*112)-(E16*112)-(F16))/112</f>
        <v>15.044642857142858</v>
      </c>
      <c r="D16" s="215" t="s">
        <v>302</v>
      </c>
      <c r="E16" s="16">
        <v>17</v>
      </c>
      <c r="F16" s="2">
        <f ca="1">8-159+16-570-5+D2-D1-2-12-49</f>
        <v>107</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0.46628019819514815</v>
      </c>
      <c r="O16" s="19">
        <v>4</v>
      </c>
      <c r="P16" s="20">
        <f t="shared" ref="P16:P17" si="49">O16*10+19</f>
        <v>59</v>
      </c>
      <c r="Q16" s="26">
        <v>6</v>
      </c>
      <c r="R16" s="115">
        <f t="shared" ref="R16:R17" si="50">(Q16/7)^0.5</f>
        <v>0.92582009977255142</v>
      </c>
      <c r="S16" s="115">
        <f t="shared" ref="S16:S17" si="51">IF(Q16=7,1,((Q16+0.99)/7)^0.5)</f>
        <v>0.99928545900129484</v>
      </c>
      <c r="T16" s="29">
        <v>670</v>
      </c>
      <c r="U16" s="29">
        <f t="shared" ref="U16:U18" si="52">T16-AS16</f>
        <v>0</v>
      </c>
      <c r="V16" s="29">
        <v>270</v>
      </c>
      <c r="W16" s="8">
        <f t="shared" ref="W16:W17" si="53">T16/V16</f>
        <v>2.4814814814814814</v>
      </c>
      <c r="X16" s="21">
        <v>0</v>
      </c>
      <c r="Y16" s="22">
        <v>3</v>
      </c>
      <c r="Z16" s="21">
        <v>4</v>
      </c>
      <c r="AA16" s="22">
        <v>4</v>
      </c>
      <c r="AB16" s="21">
        <f>3+(0.25*0.16*31/90)+(0.25*0.16*3/90)</f>
        <v>3.0151111111111111</v>
      </c>
      <c r="AC16" s="22">
        <f>4+1/17+1/17+1/17+1/17</f>
        <v>4.235294117647058</v>
      </c>
      <c r="AD16" s="21">
        <v>1.3</v>
      </c>
      <c r="AE16" s="9">
        <v>352</v>
      </c>
      <c r="AF16" s="9">
        <v>1986</v>
      </c>
      <c r="AG16" s="23">
        <f t="shared" ca="1" si="19"/>
        <v>2.1894783149316548</v>
      </c>
      <c r="AH16" s="23">
        <f t="shared" ca="1" si="20"/>
        <v>2.3649068706431731</v>
      </c>
      <c r="AI16" s="120">
        <f t="shared" ca="1" si="21"/>
        <v>3.7633724845449925</v>
      </c>
      <c r="AJ16" s="120">
        <f t="shared" ca="1" si="22"/>
        <v>4.0649068706431732</v>
      </c>
      <c r="AK16" s="8">
        <f t="shared" ca="1" si="23"/>
        <v>1.0675796868888061</v>
      </c>
      <c r="AL16" s="8">
        <f t="shared" ca="1" si="24"/>
        <v>2.2454951059372905</v>
      </c>
      <c r="AM16" s="8">
        <f t="shared" ca="1" si="25"/>
        <v>0.25595725553380677</v>
      </c>
      <c r="AN16" s="8">
        <f t="shared" ca="1" si="26"/>
        <v>0.16354348094502216</v>
      </c>
      <c r="AO16" s="20">
        <v>1</v>
      </c>
      <c r="AP16" s="20">
        <v>3</v>
      </c>
      <c r="AQ16" s="20">
        <v>1</v>
      </c>
      <c r="AR16" s="129">
        <f t="shared" ref="AR16:AR17" si="54">IF(AP16=4,IF(AQ16=0,0.137+0.0697,0.137+0.02),IF(AP16=3,IF(AQ16=0,0.0958+0.0697,0.0958+0.02),IF(AP16=2,IF(AQ16=0,0.0415+0.0697,0.0415+0.02),IF(AP16=1,IF(AQ16=0,0.0294+0.0697,0.0294+0.02),IF(AP16=0,IF(AQ16=0,0.0063+0.0697,0.0063+0.02))))))</f>
        <v>0.1158</v>
      </c>
      <c r="AS16">
        <v>670</v>
      </c>
    </row>
    <row r="17" spans="1:45" x14ac:dyDescent="0.25">
      <c r="A17" s="15" t="s">
        <v>564</v>
      </c>
      <c r="B17" s="15" t="s">
        <v>95</v>
      </c>
      <c r="C17" s="121">
        <f t="shared" ca="1" si="44"/>
        <v>13.625</v>
      </c>
      <c r="D17" s="215" t="s">
        <v>565</v>
      </c>
      <c r="E17" s="16">
        <v>19</v>
      </c>
      <c r="F17" s="2">
        <f ca="1">8-159+16-570-5+D2-D1-2-12-49-65</f>
        <v>42</v>
      </c>
      <c r="G17" s="18"/>
      <c r="H17" s="227">
        <v>5</v>
      </c>
      <c r="I17" s="27">
        <v>1</v>
      </c>
      <c r="J17" s="22">
        <f t="shared" si="45"/>
        <v>0</v>
      </c>
      <c r="K17" s="6">
        <f t="shared" si="46"/>
        <v>25</v>
      </c>
      <c r="L17" s="6">
        <f t="shared" si="47"/>
        <v>36</v>
      </c>
      <c r="M17" s="130">
        <v>43108</v>
      </c>
      <c r="N17" s="131">
        <v>1.5</v>
      </c>
      <c r="O17" s="19">
        <v>3.5</v>
      </c>
      <c r="P17" s="20">
        <f t="shared" si="49"/>
        <v>54</v>
      </c>
      <c r="Q17" s="26">
        <v>6</v>
      </c>
      <c r="R17" s="115">
        <f t="shared" si="50"/>
        <v>0.92582009977255142</v>
      </c>
      <c r="S17" s="115">
        <f t="shared" si="51"/>
        <v>0.99928545900129484</v>
      </c>
      <c r="T17" s="29">
        <v>1130</v>
      </c>
      <c r="U17" s="29">
        <f t="shared" si="52"/>
        <v>40</v>
      </c>
      <c r="V17" s="29">
        <v>330</v>
      </c>
      <c r="W17" s="8">
        <f t="shared" si="53"/>
        <v>3.4242424242424243</v>
      </c>
      <c r="X17" s="21">
        <v>0</v>
      </c>
      <c r="Y17" s="22">
        <v>4</v>
      </c>
      <c r="Z17" s="21">
        <v>5</v>
      </c>
      <c r="AA17" s="22">
        <v>2</v>
      </c>
      <c r="AB17" s="21">
        <f>3+0.25</f>
        <v>3.25</v>
      </c>
      <c r="AC17" s="22">
        <f>5+1/20+1/20+1/20+1/20</f>
        <v>5.1999999999999993</v>
      </c>
      <c r="AD17" s="21">
        <v>2</v>
      </c>
      <c r="AE17" s="9">
        <v>414</v>
      </c>
      <c r="AF17" s="9">
        <v>1728</v>
      </c>
      <c r="AG17" s="23">
        <f t="shared" si="19"/>
        <v>4.1661904489764812</v>
      </c>
      <c r="AH17" s="23">
        <f t="shared" si="20"/>
        <v>4.5</v>
      </c>
      <c r="AI17" s="120">
        <f t="shared" si="21"/>
        <v>6.017830648521584</v>
      </c>
      <c r="AJ17" s="120">
        <f t="shared" si="22"/>
        <v>6.5</v>
      </c>
      <c r="AK17" s="8">
        <f t="shared" ref="AK17" si="55">(((Y17+LOG(I17)*4/3+N17)+(AB17+LOG(I17)*4/3+N17)*2)/8)*(Q17/7)^0.5</f>
        <v>1.735912687073534</v>
      </c>
      <c r="AL17" s="8">
        <f t="shared" ref="AL17" si="56">(AD17+LOG(I17)*4/3+N17)*0.7+(AC17+LOG(I17)*4/3+N17)*0.3</f>
        <v>4.4599999999999991</v>
      </c>
      <c r="AM17" s="8">
        <f t="shared" ref="AM17" si="57">(0.5*(AC17+LOG(I17)*4/3+N17)+ 0.3*(AD17+LOG(I17)*4/3+N17))/10</f>
        <v>0.43999999999999995</v>
      </c>
      <c r="AN17" s="8">
        <f t="shared" si="26"/>
        <v>0.32500000000000001</v>
      </c>
      <c r="AO17" s="20">
        <v>2</v>
      </c>
      <c r="AP17" s="20">
        <v>2</v>
      </c>
      <c r="AQ17" s="20">
        <v>2</v>
      </c>
      <c r="AR17" s="129">
        <f t="shared" si="54"/>
        <v>6.1499999999999999E-2</v>
      </c>
      <c r="AS17" s="193">
        <v>1090</v>
      </c>
    </row>
    <row r="18" spans="1:45" x14ac:dyDescent="0.25">
      <c r="A18" s="15" t="s">
        <v>31</v>
      </c>
      <c r="B18" s="15" t="s">
        <v>71</v>
      </c>
      <c r="C18" s="121">
        <f ca="1">((33*112)-(E18*112)-(F18))/112</f>
        <v>15.035714285714286</v>
      </c>
      <c r="D18" s="226" t="s">
        <v>294</v>
      </c>
      <c r="E18" s="16">
        <v>17</v>
      </c>
      <c r="F18" s="17">
        <f ca="1">8-159+16-570-5+D2-D1-62</f>
        <v>108</v>
      </c>
      <c r="G18" s="18" t="s">
        <v>45</v>
      </c>
      <c r="H18" s="4">
        <v>1</v>
      </c>
      <c r="I18" s="27">
        <v>1.5</v>
      </c>
      <c r="J18" s="22">
        <f>LOG(I18)*4/3</f>
        <v>0.23478834540757498</v>
      </c>
      <c r="K18" s="6">
        <f>(H18)*(H18)*(I18)</f>
        <v>1.5</v>
      </c>
      <c r="L18" s="6">
        <f>(H18+1)*(H18+1)*I18</f>
        <v>6</v>
      </c>
      <c r="M18" s="130">
        <v>43046</v>
      </c>
      <c r="N18" s="131">
        <v>1.5</v>
      </c>
      <c r="O18" s="19">
        <v>5</v>
      </c>
      <c r="P18" s="20">
        <f>O18*10+19</f>
        <v>69</v>
      </c>
      <c r="Q18" s="20">
        <v>6</v>
      </c>
      <c r="R18" s="115">
        <f>(Q18/7)^0.5</f>
        <v>0.92582009977255142</v>
      </c>
      <c r="S18" s="115">
        <f>IF(Q18=7,1,((Q18+0.99)/7)^0.5)</f>
        <v>0.99928545900129484</v>
      </c>
      <c r="T18" s="29">
        <v>4280</v>
      </c>
      <c r="U18" s="29">
        <f t="shared" si="52"/>
        <v>670</v>
      </c>
      <c r="V18" s="29">
        <v>350</v>
      </c>
      <c r="W18" s="8">
        <f>T18/V18</f>
        <v>12.228571428571428</v>
      </c>
      <c r="X18" s="21">
        <v>0</v>
      </c>
      <c r="Y18" s="22">
        <v>2</v>
      </c>
      <c r="Z18" s="21">
        <v>5.7</v>
      </c>
      <c r="AA18" s="22">
        <v>5.5</v>
      </c>
      <c r="AB18" s="21">
        <v>6</v>
      </c>
      <c r="AC18" s="22">
        <f>4.25+0.34+0.33+0.33+0.25+0.25+0.25</f>
        <v>6</v>
      </c>
      <c r="AD18" s="21">
        <v>5</v>
      </c>
      <c r="AE18" s="9">
        <v>550</v>
      </c>
      <c r="AF18" s="9">
        <v>2037</v>
      </c>
      <c r="AG18" s="23">
        <f t="shared" si="19"/>
        <v>7.1610225176648088</v>
      </c>
      <c r="AH18" s="23">
        <f t="shared" si="20"/>
        <v>7.7347883454075745</v>
      </c>
      <c r="AI18" s="120">
        <f t="shared" si="21"/>
        <v>6.8832764877330446</v>
      </c>
      <c r="AJ18" s="120">
        <f t="shared" si="22"/>
        <v>7.4347883454075756</v>
      </c>
      <c r="AK18" s="8">
        <f t="shared" si="23"/>
        <v>2.2224733942380279</v>
      </c>
      <c r="AL18" s="8">
        <f t="shared" si="24"/>
        <v>7.0347883454075735</v>
      </c>
      <c r="AM18" s="8">
        <f t="shared" si="25"/>
        <v>0.58878306763260591</v>
      </c>
      <c r="AN18" s="8">
        <f t="shared" si="26"/>
        <v>0.35143518417853026</v>
      </c>
      <c r="AO18" s="20">
        <v>4</v>
      </c>
      <c r="AP18" s="20">
        <v>3</v>
      </c>
      <c r="AQ18" s="20">
        <v>2</v>
      </c>
      <c r="AR18" s="129">
        <f>IF(AP18=4,IF(AQ18=0,0.137+0.0697,0.137+0.02),IF(AP18=3,IF(AQ18=0,0.0958+0.0697,0.0958+0.02),IF(AP18=2,IF(AQ18=0,0.0415+0.0697,0.0415+0.02),IF(AP18=1,IF(AQ18=0,0.0294+0.0697,0.0294+0.02),IF(AP18=0,IF(AQ18=0,0.0063+0.0697,0.0063+0.02))))))</f>
        <v>0.1158</v>
      </c>
      <c r="AS18">
        <v>3610</v>
      </c>
    </row>
    <row r="19" spans="1:45" x14ac:dyDescent="0.25">
      <c r="A19" s="15" t="s">
        <v>36</v>
      </c>
      <c r="B19" s="15" t="s">
        <v>71</v>
      </c>
      <c r="C19" s="121">
        <f ca="1">((33*112)-(E19*112)-(F19))/112</f>
        <v>15.035714285714286</v>
      </c>
      <c r="D19" s="226" t="s">
        <v>384</v>
      </c>
      <c r="E19" s="16">
        <v>17</v>
      </c>
      <c r="F19" s="2">
        <f ca="1">8-159+16-570-5+D2-D1-2-31-25-4</f>
        <v>108</v>
      </c>
      <c r="G19" s="18" t="s">
        <v>296</v>
      </c>
      <c r="H19" s="40">
        <v>6</v>
      </c>
      <c r="I19" s="27">
        <v>1.4</v>
      </c>
      <c r="J19" s="22">
        <f>LOG(I19)*4/3</f>
        <v>0.19483738090431735</v>
      </c>
      <c r="K19" s="6">
        <f>(H19)*(H19)*(I19)</f>
        <v>50.4</v>
      </c>
      <c r="L19" s="6">
        <f>(H19+1)*(H19+1)*I19</f>
        <v>68.599999999999994</v>
      </c>
      <c r="M19" s="130">
        <v>43054</v>
      </c>
      <c r="N19" s="131">
        <f ca="1">IF((TODAY()-M19)&gt;335,1,((TODAY()-M19)^0.64)/(336^0.64))</f>
        <v>0.44253200842626411</v>
      </c>
      <c r="O19" s="19">
        <v>4.7</v>
      </c>
      <c r="P19" s="20">
        <f>O19*10+19</f>
        <v>66</v>
      </c>
      <c r="Q19" s="26">
        <v>6</v>
      </c>
      <c r="R19" s="115">
        <f>(Q19/7)^0.5</f>
        <v>0.92582009977255142</v>
      </c>
      <c r="S19" s="115">
        <f>IF(Q19=7,1,((Q19+0.99)/7)^0.5)</f>
        <v>0.99928545900129484</v>
      </c>
      <c r="T19" s="29">
        <v>2660</v>
      </c>
      <c r="U19" s="29">
        <f>T19-AS19</f>
        <v>250</v>
      </c>
      <c r="V19" s="29">
        <v>290</v>
      </c>
      <c r="W19" s="8">
        <f>T19/V19</f>
        <v>9.1724137931034484</v>
      </c>
      <c r="X19" s="21">
        <v>0</v>
      </c>
      <c r="Y19" s="22">
        <v>3</v>
      </c>
      <c r="Z19" s="21">
        <v>5</v>
      </c>
      <c r="AA19" s="22">
        <v>4</v>
      </c>
      <c r="AB19" s="21">
        <f>4.5+0.25+0.25</f>
        <v>5</v>
      </c>
      <c r="AC19" s="22">
        <f>4.03+0.34+0.33+0.33+0.33*85/90+0.33+0.33+0.25</f>
        <v>6.2516666666666669</v>
      </c>
      <c r="AD19" s="21">
        <v>3</v>
      </c>
      <c r="AE19" s="9">
        <v>510</v>
      </c>
      <c r="AF19" s="9">
        <v>2009</v>
      </c>
      <c r="AG19" s="23">
        <f t="shared" ca="1" si="19"/>
        <v>4.293369790712215</v>
      </c>
      <c r="AH19" s="23">
        <f t="shared" ca="1" si="20"/>
        <v>4.6373693893305816</v>
      </c>
      <c r="AI19" s="120">
        <f t="shared" ca="1" si="21"/>
        <v>5.219189890484766</v>
      </c>
      <c r="AJ19" s="120">
        <f t="shared" ca="1" si="22"/>
        <v>5.6373693893305816</v>
      </c>
      <c r="AK19" s="8">
        <f t="shared" ca="1" si="23"/>
        <v>1.7257411839886496</v>
      </c>
      <c r="AL19" s="8">
        <f t="shared" ca="1" si="24"/>
        <v>4.6128693893305819</v>
      </c>
      <c r="AM19" s="8">
        <f t="shared" ca="1" si="25"/>
        <v>0.45357288447977984</v>
      </c>
      <c r="AN19" s="8">
        <f t="shared" ca="1" si="26"/>
        <v>0.25461585725314073</v>
      </c>
      <c r="AO19" s="20">
        <v>2</v>
      </c>
      <c r="AP19" s="20">
        <v>2</v>
      </c>
      <c r="AQ19" s="20">
        <v>1</v>
      </c>
      <c r="AR19" s="129">
        <f>IF(AP19=4,IF(AQ19=0,0.137+0.0697,0.137+0.02),IF(AP19=3,IF(AQ19=0,0.0958+0.0697,0.0958+0.02),IF(AP19=2,IF(AQ19=0,0.0415+0.0697,0.0415+0.02),IF(AP19=1,IF(AQ19=0,0.0294+0.0697,0.0294+0.02),IF(AP19=0,IF(AQ19=0,0.0063+0.0697,0.0063+0.02))))))</f>
        <v>6.1499999999999999E-2</v>
      </c>
      <c r="AS19" s="193">
        <v>2410</v>
      </c>
    </row>
    <row r="20" spans="1:45" x14ac:dyDescent="0.25">
      <c r="A20" s="15" t="s">
        <v>365</v>
      </c>
      <c r="B20" s="15" t="s">
        <v>71</v>
      </c>
      <c r="C20" s="121">
        <f t="shared" ref="C20:C23" ca="1" si="58">((33*112)-(E20*112)-(F20))/112</f>
        <v>14.964285714285714</v>
      </c>
      <c r="D20" s="215" t="s">
        <v>303</v>
      </c>
      <c r="E20" s="16">
        <v>18</v>
      </c>
      <c r="F20" s="2">
        <f ca="1">8-159+16-570-5+D2-D1-2-12-49+9-112</f>
        <v>4</v>
      </c>
      <c r="G20" s="18" t="s">
        <v>45</v>
      </c>
      <c r="H20" s="4">
        <v>3</v>
      </c>
      <c r="I20" s="27">
        <v>1.1000000000000001</v>
      </c>
      <c r="J20" s="22">
        <f t="shared" ref="J20:J23" si="59">LOG(I20)*4/3</f>
        <v>5.5190246877633437E-2</v>
      </c>
      <c r="K20" s="6">
        <f t="shared" ref="K20:K23" si="60">(H20)*(H20)*(I20)</f>
        <v>9.9</v>
      </c>
      <c r="L20" s="6">
        <f t="shared" ref="L20:L23" si="61">(H20+1)*(H20+1)*I20</f>
        <v>17.600000000000001</v>
      </c>
      <c r="M20" s="130">
        <v>43046</v>
      </c>
      <c r="N20" s="131">
        <f t="shared" ref="N20" ca="1" si="62">IF((TODAY()-M20)&gt;335,1,((TODAY()-M20)^0.64)/(336^0.64))</f>
        <v>0.46628019819514815</v>
      </c>
      <c r="O20" s="19">
        <v>5</v>
      </c>
      <c r="P20" s="20">
        <f t="shared" ref="P20:P23" si="63">O20*10+19</f>
        <v>69</v>
      </c>
      <c r="Q20" s="26">
        <v>6</v>
      </c>
      <c r="R20" s="115">
        <f t="shared" ref="R20:R23" si="64">(Q20/7)^0.5</f>
        <v>0.92582009977255142</v>
      </c>
      <c r="S20" s="115">
        <f t="shared" ref="S20:S23" si="65">IF(Q20=7,1,((Q20+0.99)/7)^0.5)</f>
        <v>0.99928545900129484</v>
      </c>
      <c r="T20" s="29">
        <v>840</v>
      </c>
      <c r="U20" s="29">
        <f t="shared" ref="U20" si="66">T20-AS20</f>
        <v>-20</v>
      </c>
      <c r="V20" s="29">
        <v>270</v>
      </c>
      <c r="W20" s="8">
        <f t="shared" ref="W20:W23" si="67">T20/V20</f>
        <v>3.1111111111111112</v>
      </c>
      <c r="X20" s="21">
        <v>0</v>
      </c>
      <c r="Y20" s="22">
        <v>4</v>
      </c>
      <c r="Z20" s="21">
        <v>2</v>
      </c>
      <c r="AA20" s="22">
        <v>5</v>
      </c>
      <c r="AB20" s="21">
        <f>3.67+(0.25*0.16)+0.25+0.25*0.16+0.25</f>
        <v>4.25</v>
      </c>
      <c r="AC20" s="22">
        <f>4+1/17+1/17+1/17+1/17*12/90+1/17+1/17+1/17+1/17</f>
        <v>4.4196078431372534</v>
      </c>
      <c r="AD20" s="21">
        <v>4</v>
      </c>
      <c r="AE20" s="9">
        <v>393</v>
      </c>
      <c r="AF20" s="9">
        <v>1960</v>
      </c>
      <c r="AG20" s="23">
        <f t="shared" ca="1" si="19"/>
        <v>5.1118883183484769</v>
      </c>
      <c r="AH20" s="23">
        <f t="shared" ca="1" si="20"/>
        <v>5.5214704450727821</v>
      </c>
      <c r="AI20" s="120">
        <f t="shared" ca="1" si="21"/>
        <v>2.3344280190308222</v>
      </c>
      <c r="AJ20" s="120">
        <f t="shared" ca="1" si="22"/>
        <v>2.5214704450727816</v>
      </c>
      <c r="AK20" s="8">
        <f t="shared" ca="1" si="23"/>
        <v>1.6276393382017564</v>
      </c>
      <c r="AL20" s="8">
        <f t="shared" ca="1" si="24"/>
        <v>4.6473527980139577</v>
      </c>
      <c r="AM20" s="8">
        <f t="shared" ca="1" si="25"/>
        <v>0.38269802776268519</v>
      </c>
      <c r="AN20" s="8">
        <f t="shared" ca="1" si="26"/>
        <v>0.31650293115509476</v>
      </c>
      <c r="AO20" s="20">
        <v>3</v>
      </c>
      <c r="AP20" s="20">
        <v>4</v>
      </c>
      <c r="AQ20" s="20">
        <v>3</v>
      </c>
      <c r="AR20" s="129">
        <f t="shared" ref="AR20" si="68">IF(AP20=4,IF(AQ20=0,0.137+0.0697,0.137+0.02),IF(AP20=3,IF(AQ20=0,0.0958+0.0697,0.0958+0.02),IF(AP20=2,IF(AQ20=0,0.0415+0.0697,0.0415+0.02),IF(AP20=1,IF(AQ20=0,0.0294+0.0697,0.0294+0.02),IF(AP20=0,IF(AQ20=0,0.0063+0.0697,0.0063+0.02))))))</f>
        <v>0.157</v>
      </c>
      <c r="AS20">
        <v>860</v>
      </c>
    </row>
    <row r="21" spans="1:45" x14ac:dyDescent="0.25">
      <c r="A21" s="15" t="s">
        <v>307</v>
      </c>
      <c r="B21" s="24" t="s">
        <v>44</v>
      </c>
      <c r="C21" s="121">
        <f t="shared" ca="1" si="58"/>
        <v>15.053571428571429</v>
      </c>
      <c r="D21" s="216" t="s">
        <v>298</v>
      </c>
      <c r="E21" s="1">
        <v>17</v>
      </c>
      <c r="F21" s="2">
        <f ca="1">8-159+16-570-5+D2-D1-2-62</f>
        <v>106</v>
      </c>
      <c r="G21" s="3" t="s">
        <v>0</v>
      </c>
      <c r="H21" s="4">
        <v>4</v>
      </c>
      <c r="I21" s="5">
        <v>1.1000000000000001</v>
      </c>
      <c r="J21" s="22">
        <f t="shared" si="59"/>
        <v>5.5190246877633437E-2</v>
      </c>
      <c r="K21" s="6">
        <f t="shared" si="60"/>
        <v>17.600000000000001</v>
      </c>
      <c r="L21" s="6">
        <f t="shared" si="61"/>
        <v>27.500000000000004</v>
      </c>
      <c r="M21" s="130">
        <v>43045</v>
      </c>
      <c r="N21" s="131">
        <f ca="1">IF((TODAY()-M21)&gt;335,1,((TODAY()-M21)^0.64)/(336^0.64))</f>
        <v>0.46920073772061183</v>
      </c>
      <c r="O21" s="25">
        <v>5</v>
      </c>
      <c r="P21" s="20">
        <f t="shared" si="63"/>
        <v>69</v>
      </c>
      <c r="Q21" s="26">
        <v>5</v>
      </c>
      <c r="R21" s="115">
        <f t="shared" si="64"/>
        <v>0.84515425472851657</v>
      </c>
      <c r="S21" s="115">
        <f t="shared" si="65"/>
        <v>0.92504826128926143</v>
      </c>
      <c r="T21" s="29">
        <v>1290</v>
      </c>
      <c r="U21" s="29">
        <f>T21-AS21</f>
        <v>-10</v>
      </c>
      <c r="V21" s="7">
        <v>310</v>
      </c>
      <c r="W21" s="8">
        <f t="shared" si="67"/>
        <v>4.161290322580645</v>
      </c>
      <c r="X21" s="21">
        <v>1</v>
      </c>
      <c r="Y21" s="22">
        <v>4</v>
      </c>
      <c r="Z21" s="21">
        <v>2</v>
      </c>
      <c r="AA21" s="22">
        <v>3</v>
      </c>
      <c r="AB21" s="21">
        <f>3.75+0.25+0.34+0.33+0.33</f>
        <v>5</v>
      </c>
      <c r="AC21" s="22">
        <f>5+1/20+1/20+1/20*5/90+1/20+1/20+1/20+1/20+1/20</f>
        <v>5.352777777777777</v>
      </c>
      <c r="AD21" s="21">
        <v>6</v>
      </c>
      <c r="AE21" s="9">
        <v>436</v>
      </c>
      <c r="AF21" s="9">
        <v>1937</v>
      </c>
      <c r="AG21" s="23">
        <f ca="1">(AD21+1+(LOG(I21)*4/3)+N21)*(Q21/7)^0.5</f>
        <v>6.3592710548740987</v>
      </c>
      <c r="AH21" s="23">
        <f ca="1">(AD21+1+N21+(LOG(I21)*4/3))*(IF(Q21=7, (Q21/7)^0.5, ((Q21+1)/7)^0.5))</f>
        <v>6.9662324120884334</v>
      </c>
      <c r="AI21" s="120">
        <f ca="1">(Z21+N21+(LOG(I21)*4/3))*(Q21/7)^0.5</f>
        <v>2.1334997812315164</v>
      </c>
      <c r="AJ21" s="120">
        <f ca="1">(Z21+N21+(LOG(I21)*4/3))*(IF(Q21=7, (Q21/7)^0.5, ((Q21+1)/7)^0.5))</f>
        <v>2.3371319132256771</v>
      </c>
      <c r="AK21" s="8">
        <f ca="1">(((Y21+LOG(I21)*4/3+N21)+(AB21+LOG(I21)*4/3+N21)*2)/8)*(Q21/7)^0.5</f>
        <v>1.645216672690335</v>
      </c>
      <c r="AL21" s="8">
        <f ca="1">(AD21+LOG(I21)*4/3+N21)*0.7+(AC21+LOG(I21)*4/3+N21)*0.3</f>
        <v>6.3302243179315782</v>
      </c>
      <c r="AM21" s="8">
        <f ca="1">(0.5*(AC21+LOG(I21)*4/3+N21)+ 0.3*(AD21+LOG(I21)*4/3+N21))/10</f>
        <v>0.48959016765674851</v>
      </c>
      <c r="AN21" s="8">
        <f ca="1">(0.4*(Y21+LOG(I21)*4/3+N21)+0.3*(AD21+LOG(I21)*4/3+N21))/10</f>
        <v>0.37670736892187717</v>
      </c>
      <c r="AO21" s="20">
        <v>1</v>
      </c>
      <c r="AP21" s="20">
        <v>1</v>
      </c>
      <c r="AQ21" s="20">
        <v>2</v>
      </c>
      <c r="AR21" s="129">
        <f>IF(AP21=4,IF(AQ21=0,0.137+0.0697,0.137+0.02),IF(AP21=3,IF(AQ21=0,0.0958+0.0697,0.0958+0.02),IF(AP21=2,IF(AQ21=0,0.0415+0.0697,0.0415+0.02),IF(AP21=1,IF(AQ21=0,0.0294+0.0697,0.0294+0.02),IF(AP21=0,IF(AQ21=0,0.0063+0.0697,0.0063+0.02))))))</f>
        <v>4.9399999999999999E-2</v>
      </c>
      <c r="AS21">
        <v>1300</v>
      </c>
    </row>
    <row r="22" spans="1:45" x14ac:dyDescent="0.25">
      <c r="A22" s="15" t="s">
        <v>366</v>
      </c>
      <c r="B22" s="15" t="s">
        <v>44</v>
      </c>
      <c r="C22" s="121">
        <f t="shared" ca="1" si="58"/>
        <v>14.669642857142858</v>
      </c>
      <c r="D22" s="215" t="s">
        <v>305</v>
      </c>
      <c r="E22" s="16">
        <v>18</v>
      </c>
      <c r="F22" s="2">
        <f ca="1">8-159+16-570-5+D2-D1-2-12-49+9-11+44-112</f>
        <v>37</v>
      </c>
      <c r="G22" s="18" t="s">
        <v>70</v>
      </c>
      <c r="H22" s="4">
        <v>3</v>
      </c>
      <c r="I22" s="27">
        <v>0.5</v>
      </c>
      <c r="J22" s="22">
        <f t="shared" si="59"/>
        <v>-0.40137332755197491</v>
      </c>
      <c r="K22" s="6">
        <f t="shared" si="60"/>
        <v>4.5</v>
      </c>
      <c r="L22" s="6">
        <f t="shared" si="61"/>
        <v>8</v>
      </c>
      <c r="M22" s="130">
        <v>43046</v>
      </c>
      <c r="N22" s="131">
        <f t="shared" ref="N22:N23" ca="1" si="69">IF((TODAY()-M22)&gt;335,1,((TODAY()-M22)^0.64)/(336^0.64))</f>
        <v>0.46628019819514815</v>
      </c>
      <c r="O22" s="19">
        <v>5</v>
      </c>
      <c r="P22" s="20">
        <f t="shared" si="63"/>
        <v>69</v>
      </c>
      <c r="Q22" s="26">
        <v>5</v>
      </c>
      <c r="R22" s="115">
        <f t="shared" si="64"/>
        <v>0.84515425472851657</v>
      </c>
      <c r="S22" s="115">
        <f t="shared" si="65"/>
        <v>0.92504826128926143</v>
      </c>
      <c r="T22" s="29">
        <v>2300</v>
      </c>
      <c r="U22" s="29">
        <f t="shared" ref="U22:U23" si="70">T22-AS22</f>
        <v>10</v>
      </c>
      <c r="V22" s="29">
        <v>370</v>
      </c>
      <c r="W22" s="8">
        <f t="shared" si="67"/>
        <v>6.2162162162162158</v>
      </c>
      <c r="X22" s="21">
        <v>0</v>
      </c>
      <c r="Y22" s="22">
        <v>5</v>
      </c>
      <c r="Z22" s="21">
        <v>2</v>
      </c>
      <c r="AA22" s="22">
        <v>3</v>
      </c>
      <c r="AB22" s="21">
        <v>5</v>
      </c>
      <c r="AC22" s="22">
        <f>6+1/23+1/23+1/23+1/23+1/23+1/23+1/23+1/23</f>
        <v>6.3478260869565233</v>
      </c>
      <c r="AD22" s="21">
        <v>3</v>
      </c>
      <c r="AE22" s="9">
        <v>480</v>
      </c>
      <c r="AF22" s="9">
        <v>1920</v>
      </c>
      <c r="AG22" s="23">
        <f t="shared" ref="AG22:AG23" ca="1" si="71">(AD22+1+(LOG(I22)*4/3)+N22)*(Q22/7)^0.5</f>
        <v>3.4354733367992578</v>
      </c>
      <c r="AH22" s="23">
        <f t="shared" ref="AH22:AH23" ca="1" si="72">(AD22+1+N22+(LOG(I22)*4/3))*(IF(Q22=7, (Q22/7)^0.5, ((Q22+1)/7)^0.5))</f>
        <v>3.7633724845449925</v>
      </c>
      <c r="AI22" s="120">
        <f t="shared" ref="AI22:AI23" ca="1" si="73">(Z22+N22+(LOG(I22)*4/3))*(Q22/7)^0.5</f>
        <v>1.7451648273422244</v>
      </c>
      <c r="AJ22" s="120">
        <f t="shared" ref="AJ22:AJ23" ca="1" si="74">(Z22+N22+(LOG(I22)*4/3))*(IF(Q22=7, (Q22/7)^0.5, ((Q22+1)/7)^0.5))</f>
        <v>1.9117322849998897</v>
      </c>
      <c r="AK22" s="8">
        <f t="shared" ref="AK22:AK23" ca="1" si="75">(((Y22+LOG(I22)*4/3+N22)+(AB22+LOG(I22)*4/3+N22)*2)/8)*(Q22/7)^0.5</f>
        <v>1.6052353468229152</v>
      </c>
      <c r="AL22" s="8">
        <f t="shared" ref="AL22:AL23" ca="1" si="76">(AD22+LOG(I22)*4/3+N22)*0.7+(AC22+LOG(I22)*4/3+N22)*0.3</f>
        <v>4.0692546967301295</v>
      </c>
      <c r="AM22" s="8">
        <f t="shared" ref="AM22:AM23" ca="1" si="77">(0.5*(AC22+LOG(I22)*4/3+N22)+ 0.3*(AD22+LOG(I22)*4/3+N22))/10</f>
        <v>0.41258385399928005</v>
      </c>
      <c r="AN22" s="8">
        <f t="shared" ref="AN22:AN23" ca="1" si="78">(0.4*(Y22+LOG(I22)*4/3+N22)+0.3*(AD22+LOG(I22)*4/3+N22))/10</f>
        <v>0.29454348094502214</v>
      </c>
      <c r="AO22" s="20">
        <v>2</v>
      </c>
      <c r="AP22" s="20">
        <v>3</v>
      </c>
      <c r="AQ22" s="20">
        <v>1</v>
      </c>
      <c r="AR22" s="129">
        <f t="shared" ref="AR22:AR23" si="79">IF(AP22=4,IF(AQ22=0,0.137+0.0697,0.137+0.02),IF(AP22=3,IF(AQ22=0,0.0958+0.0697,0.0958+0.02),IF(AP22=2,IF(AQ22=0,0.0415+0.0697,0.0415+0.02),IF(AP22=1,IF(AQ22=0,0.0294+0.0697,0.0294+0.02),IF(AP22=0,IF(AQ22=0,0.0063+0.0697,0.0063+0.02))))))</f>
        <v>0.1158</v>
      </c>
      <c r="AS22">
        <v>2290</v>
      </c>
    </row>
    <row r="23" spans="1:45" x14ac:dyDescent="0.25">
      <c r="A23" s="15" t="s">
        <v>368</v>
      </c>
      <c r="B23" s="15" t="s">
        <v>44</v>
      </c>
      <c r="C23" s="121">
        <f t="shared" ca="1" si="58"/>
        <v>15.0625</v>
      </c>
      <c r="D23" s="215" t="s">
        <v>304</v>
      </c>
      <c r="E23" s="16">
        <v>17</v>
      </c>
      <c r="F23" s="2">
        <f ca="1">8-159+16-570-5+D2-D1-2-12-49+9-11</f>
        <v>105</v>
      </c>
      <c r="G23" s="18" t="s">
        <v>296</v>
      </c>
      <c r="H23" s="4">
        <v>4</v>
      </c>
      <c r="I23" s="27">
        <v>0.5</v>
      </c>
      <c r="J23" s="22">
        <f t="shared" si="59"/>
        <v>-0.40137332755197491</v>
      </c>
      <c r="K23" s="6">
        <f t="shared" si="60"/>
        <v>8</v>
      </c>
      <c r="L23" s="6">
        <f t="shared" si="61"/>
        <v>12.5</v>
      </c>
      <c r="M23" s="130">
        <v>43046</v>
      </c>
      <c r="N23" s="131">
        <f t="shared" ca="1" si="69"/>
        <v>0.46628019819514815</v>
      </c>
      <c r="O23" s="19">
        <v>5</v>
      </c>
      <c r="P23" s="20">
        <f t="shared" si="63"/>
        <v>69</v>
      </c>
      <c r="Q23" s="26">
        <v>7</v>
      </c>
      <c r="R23" s="115">
        <f t="shared" si="64"/>
        <v>1</v>
      </c>
      <c r="S23" s="115">
        <f t="shared" si="65"/>
        <v>1</v>
      </c>
      <c r="T23" s="29">
        <v>750</v>
      </c>
      <c r="U23" s="29">
        <f t="shared" si="70"/>
        <v>60</v>
      </c>
      <c r="V23" s="29">
        <v>290</v>
      </c>
      <c r="W23" s="8">
        <f t="shared" si="67"/>
        <v>2.5862068965517242</v>
      </c>
      <c r="X23" s="21">
        <v>0</v>
      </c>
      <c r="Y23" s="22">
        <v>4</v>
      </c>
      <c r="Z23" s="21">
        <v>2</v>
      </c>
      <c r="AA23" s="22">
        <v>2</v>
      </c>
      <c r="AB23" s="21">
        <f>3+(0.25*0.16)+(0.25*0.16*3/90)+0.25*3/90+0.25*0.16</f>
        <v>3.0896666666666666</v>
      </c>
      <c r="AC23" s="22">
        <f>5+1/20+1/20*5/90+1/20+1/20+1/20+1/20+1/20</f>
        <v>5.3027777777777771</v>
      </c>
      <c r="AD23" s="21">
        <v>2.5</v>
      </c>
      <c r="AE23" s="9">
        <v>334</v>
      </c>
      <c r="AF23" s="9">
        <v>1923</v>
      </c>
      <c r="AG23" s="23">
        <f t="shared" ca="1" si="71"/>
        <v>3.5649068706431732</v>
      </c>
      <c r="AH23" s="23">
        <f t="shared" ca="1" si="72"/>
        <v>3.5649068706431732</v>
      </c>
      <c r="AI23" s="120">
        <f t="shared" ca="1" si="73"/>
        <v>2.0649068706431732</v>
      </c>
      <c r="AJ23" s="120">
        <f t="shared" ca="1" si="74"/>
        <v>2.0649068706431732</v>
      </c>
      <c r="AK23" s="8">
        <f t="shared" ca="1" si="75"/>
        <v>1.2967567431578566</v>
      </c>
      <c r="AL23" s="8">
        <f t="shared" ca="1" si="76"/>
        <v>3.4057402039765061</v>
      </c>
      <c r="AM23" s="8">
        <f t="shared" ca="1" si="77"/>
        <v>0.34533143854034271</v>
      </c>
      <c r="AN23" s="8">
        <f t="shared" ca="1" si="78"/>
        <v>0.23954348094502215</v>
      </c>
      <c r="AO23" s="20">
        <v>1</v>
      </c>
      <c r="AP23" s="20">
        <v>2</v>
      </c>
      <c r="AQ23" s="20">
        <v>1</v>
      </c>
      <c r="AR23" s="129">
        <f t="shared" si="79"/>
        <v>6.1499999999999999E-2</v>
      </c>
      <c r="AS23">
        <v>690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2.4</v>
      </c>
      <c r="E3" s="209">
        <f>D3</f>
        <v>2.4</v>
      </c>
      <c r="F3" s="209">
        <f>E3+0.1</f>
        <v>2.5</v>
      </c>
      <c r="G3" s="209">
        <f>C3</f>
        <v>4</v>
      </c>
      <c r="H3" s="209">
        <f>G3+0.99</f>
        <v>4.99</v>
      </c>
      <c r="I3" s="210">
        <f>G3*G3*E3</f>
        <v>38.4</v>
      </c>
      <c r="J3" s="210">
        <f>H3*H3*F3</f>
        <v>62.250250000000008</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1.3</v>
      </c>
      <c r="Q4" s="212">
        <f>F5</f>
        <v>1.4000000000000001</v>
      </c>
      <c r="R4" s="212">
        <f>G5</f>
        <v>1</v>
      </c>
      <c r="S4" s="212">
        <f>H5</f>
        <v>1.99</v>
      </c>
    </row>
    <row r="5" spans="1:19" x14ac:dyDescent="0.25">
      <c r="A5" s="206" t="str">
        <f>PLANTILLA!D6</f>
        <v>Manuel Parejo</v>
      </c>
      <c r="B5" s="207">
        <f>PLANTILLA!E6</f>
        <v>17</v>
      </c>
      <c r="C5" s="207">
        <f>PLANTILLA!H6</f>
        <v>1</v>
      </c>
      <c r="D5" s="208">
        <f>PLANTILLA!I6</f>
        <v>1.3</v>
      </c>
      <c r="E5" s="209">
        <f t="shared" si="1"/>
        <v>1.3</v>
      </c>
      <c r="F5" s="209">
        <f t="shared" si="2"/>
        <v>1.4000000000000001</v>
      </c>
      <c r="G5" s="209">
        <f t="shared" si="3"/>
        <v>1</v>
      </c>
      <c r="H5" s="209">
        <f t="shared" si="4"/>
        <v>1.99</v>
      </c>
      <c r="I5" s="210">
        <f t="shared" si="5"/>
        <v>1.3</v>
      </c>
      <c r="J5" s="210">
        <f t="shared" si="6"/>
        <v>5.5441400000000005</v>
      </c>
      <c r="K5" s="211"/>
      <c r="L5" s="139"/>
      <c r="O5" t="str">
        <f>A8</f>
        <v>Roberto Montero</v>
      </c>
      <c r="P5" s="212">
        <f>E8</f>
        <v>0.5</v>
      </c>
      <c r="Q5" s="212">
        <f>F8</f>
        <v>0.6</v>
      </c>
      <c r="R5" s="212">
        <f>G8</f>
        <v>2</v>
      </c>
      <c r="S5" s="212">
        <f>H8</f>
        <v>2.99</v>
      </c>
    </row>
    <row r="6" spans="1:19" x14ac:dyDescent="0.25">
      <c r="A6" s="206" t="str">
        <f>PLANTILLA!D7</f>
        <v>Valeri Gomis</v>
      </c>
      <c r="B6" s="207">
        <f>PLANTILLA!E7</f>
        <v>18</v>
      </c>
      <c r="C6" s="207">
        <f>PLANTILLA!H7</f>
        <v>6</v>
      </c>
      <c r="D6" s="208">
        <f>PLANTILLA!I7</f>
        <v>1.5</v>
      </c>
      <c r="E6" s="209">
        <f t="shared" si="1"/>
        <v>1.5</v>
      </c>
      <c r="F6" s="209">
        <f t="shared" si="2"/>
        <v>1.6</v>
      </c>
      <c r="G6" s="209">
        <f t="shared" si="3"/>
        <v>6</v>
      </c>
      <c r="H6" s="209">
        <f t="shared" si="4"/>
        <v>6.99</v>
      </c>
      <c r="I6" s="210">
        <f t="shared" si="5"/>
        <v>54</v>
      </c>
      <c r="J6" s="210">
        <f t="shared" si="6"/>
        <v>78.17616000000001</v>
      </c>
      <c r="K6" s="211"/>
      <c r="O6" t="str">
        <f>A11</f>
        <v>Fernando Gazón</v>
      </c>
      <c r="P6" s="212">
        <f>E11</f>
        <v>1.1000000000000001</v>
      </c>
      <c r="Q6" s="212">
        <f t="shared" ref="Q6:S6" si="7">F11</f>
        <v>1.2000000000000002</v>
      </c>
      <c r="R6" s="212">
        <f t="shared" si="7"/>
        <v>3</v>
      </c>
      <c r="S6" s="212">
        <f t="shared" si="7"/>
        <v>3.99</v>
      </c>
    </row>
    <row r="7" spans="1:19" x14ac:dyDescent="0.25">
      <c r="A7" s="206" t="str">
        <f>PLANTILLA!D8</f>
        <v>J. G. de Minaya</v>
      </c>
      <c r="B7" s="207">
        <f>PLANTILLA!E8</f>
        <v>18</v>
      </c>
      <c r="C7" s="207">
        <f>PLANTILLA!H8</f>
        <v>0</v>
      </c>
      <c r="D7" s="208">
        <f>PLANTILLA!I8</f>
        <v>1.7</v>
      </c>
      <c r="E7" s="209">
        <f t="shared" si="1"/>
        <v>1.7</v>
      </c>
      <c r="F7" s="209">
        <f t="shared" si="2"/>
        <v>1.8</v>
      </c>
      <c r="G7" s="209">
        <f t="shared" si="3"/>
        <v>0</v>
      </c>
      <c r="H7" s="209">
        <f t="shared" si="4"/>
        <v>0.99</v>
      </c>
      <c r="I7" s="210">
        <f t="shared" si="5"/>
        <v>0</v>
      </c>
      <c r="J7" s="210">
        <f t="shared" si="6"/>
        <v>1.7641800000000001</v>
      </c>
      <c r="K7" s="211"/>
      <c r="O7" t="str">
        <f>A3</f>
        <v>Alberto Ercilla</v>
      </c>
      <c r="P7" s="212">
        <f>E3</f>
        <v>2.4</v>
      </c>
      <c r="Q7" s="212">
        <f>F3</f>
        <v>2.5</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PLANTILLA!D13</f>
        <v>Raul Riquelme</v>
      </c>
      <c r="B10" s="207">
        <f>PLANTILLA!E13</f>
        <v>17</v>
      </c>
      <c r="C10" s="207">
        <f>PLANTILLA!H13</f>
        <v>6</v>
      </c>
      <c r="D10" s="208">
        <f>PLANTILLA!I13</f>
        <v>1.3</v>
      </c>
      <c r="E10" s="209">
        <f t="shared" si="1"/>
        <v>1.3</v>
      </c>
      <c r="F10" s="209">
        <f t="shared" si="2"/>
        <v>1.4000000000000001</v>
      </c>
      <c r="G10" s="209">
        <f t="shared" si="3"/>
        <v>6</v>
      </c>
      <c r="H10" s="209">
        <f t="shared" si="4"/>
        <v>6.99</v>
      </c>
      <c r="I10" s="210">
        <f t="shared" si="5"/>
        <v>46.800000000000004</v>
      </c>
      <c r="J10" s="210">
        <f t="shared" si="6"/>
        <v>68.404140000000012</v>
      </c>
      <c r="K10" s="211"/>
      <c r="O10" t="str">
        <f>A14</f>
        <v>Enrique Cubas</v>
      </c>
      <c r="P10" s="212">
        <f>E14</f>
        <v>1.5</v>
      </c>
      <c r="Q10" s="212">
        <f>F14</f>
        <v>1.6</v>
      </c>
      <c r="R10" s="212">
        <f>G14</f>
        <v>1</v>
      </c>
      <c r="S10" s="212">
        <f>H14</f>
        <v>1.99</v>
      </c>
    </row>
    <row r="11" spans="1:19" x14ac:dyDescent="0.25">
      <c r="A11" s="206" t="str">
        <f>PLANTILLA!D14</f>
        <v>Fernando Gazón</v>
      </c>
      <c r="B11" s="207">
        <f>PLANTILLA!E14</f>
        <v>18</v>
      </c>
      <c r="C11" s="207">
        <f>PLANTILLA!H14</f>
        <v>3</v>
      </c>
      <c r="D11" s="208">
        <f>PLANTILLA!I14</f>
        <v>1.1000000000000001</v>
      </c>
      <c r="E11" s="209">
        <f t="shared" si="1"/>
        <v>1.1000000000000001</v>
      </c>
      <c r="F11" s="209">
        <f t="shared" si="2"/>
        <v>1.2000000000000002</v>
      </c>
      <c r="G11" s="209">
        <f t="shared" si="3"/>
        <v>3</v>
      </c>
      <c r="H11" s="209">
        <f t="shared" si="4"/>
        <v>3.99</v>
      </c>
      <c r="I11" s="210">
        <f t="shared" si="5"/>
        <v>9.9</v>
      </c>
      <c r="J11" s="210">
        <f t="shared" si="6"/>
        <v>19.104120000000005</v>
      </c>
      <c r="K11" s="211"/>
      <c r="O11" t="str">
        <f>A10</f>
        <v>Raul Riquelme</v>
      </c>
      <c r="P11" s="212">
        <f>E10</f>
        <v>1.3</v>
      </c>
      <c r="Q11" s="212">
        <f>F10</f>
        <v>1.4000000000000001</v>
      </c>
      <c r="R11" s="212">
        <f>G10</f>
        <v>6</v>
      </c>
      <c r="S11" s="212">
        <f>H10</f>
        <v>6.99</v>
      </c>
    </row>
    <row r="12" spans="1:19" x14ac:dyDescent="0.25">
      <c r="A12" s="206" t="str">
        <f>PLANTILLA!D15</f>
        <v>Roberto Abenoza</v>
      </c>
      <c r="B12" s="207">
        <f>PLANTILLA!E15</f>
        <v>18</v>
      </c>
      <c r="C12" s="207">
        <f>PLANTILLA!H15</f>
        <v>4</v>
      </c>
      <c r="D12" s="208">
        <f>PLANTILLA!I15</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1.7</v>
      </c>
      <c r="Q12" s="212">
        <f t="shared" ref="Q12:S12" si="8">F7</f>
        <v>1.8</v>
      </c>
      <c r="R12" s="212">
        <f t="shared" si="8"/>
        <v>0</v>
      </c>
      <c r="S12" s="212">
        <f t="shared" si="8"/>
        <v>0.99</v>
      </c>
    </row>
    <row r="13" spans="1:19" x14ac:dyDescent="0.25">
      <c r="A13" s="206" t="str">
        <f>PLANTILLA!D16</f>
        <v>Julio Calle</v>
      </c>
      <c r="B13" s="207">
        <f>PLANTILLA!E16</f>
        <v>17</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PLANTILLA!D18</f>
        <v>Enrique Cubas</v>
      </c>
      <c r="B14" s="207">
        <f>PLANTILLA!E18</f>
        <v>17</v>
      </c>
      <c r="C14" s="207">
        <f>PLANTILLA!H18</f>
        <v>1</v>
      </c>
      <c r="D14" s="208">
        <f>PLANTILLA!I18</f>
        <v>1.5</v>
      </c>
      <c r="E14" s="209">
        <f t="shared" si="1"/>
        <v>1.5</v>
      </c>
      <c r="F14" s="209">
        <f t="shared" si="2"/>
        <v>1.6</v>
      </c>
      <c r="G14" s="209">
        <f t="shared" si="3"/>
        <v>1</v>
      </c>
      <c r="H14" s="209">
        <f t="shared" si="4"/>
        <v>1.99</v>
      </c>
      <c r="I14" s="210">
        <f t="shared" si="5"/>
        <v>1.5</v>
      </c>
      <c r="J14" s="210">
        <f t="shared" si="6"/>
        <v>6.3361600000000005</v>
      </c>
      <c r="K14" s="211"/>
      <c r="P14" s="37">
        <f>SUM(P4:P13)/10</f>
        <v>1.19</v>
      </c>
      <c r="Q14" s="37">
        <f>SUM(Q4:Q13)/10</f>
        <v>1.29</v>
      </c>
      <c r="R14" s="37"/>
      <c r="S14" s="37"/>
    </row>
    <row r="15" spans="1:19" x14ac:dyDescent="0.25">
      <c r="A15" s="206" t="str">
        <f>PLANTILLA!D19</f>
        <v>J. G. Peñuela</v>
      </c>
      <c r="B15" s="207">
        <f>PLANTILLA!E19</f>
        <v>17</v>
      </c>
      <c r="C15" s="207">
        <f>PLANTILLA!H19</f>
        <v>6</v>
      </c>
      <c r="D15" s="208">
        <f>PLANTILLA!I19</f>
        <v>1.4</v>
      </c>
      <c r="E15" s="209">
        <f t="shared" si="1"/>
        <v>1.4</v>
      </c>
      <c r="F15" s="209">
        <f t="shared" si="2"/>
        <v>1.5</v>
      </c>
      <c r="G15" s="209">
        <f t="shared" si="3"/>
        <v>6</v>
      </c>
      <c r="H15" s="209">
        <f t="shared" si="4"/>
        <v>6.99</v>
      </c>
      <c r="I15" s="210">
        <f t="shared" si="5"/>
        <v>50.4</v>
      </c>
      <c r="J15" s="210">
        <f t="shared" si="6"/>
        <v>73.290150000000011</v>
      </c>
      <c r="K15" s="211"/>
    </row>
    <row r="16" spans="1:19" x14ac:dyDescent="0.25">
      <c r="A16" s="206" t="str">
        <f>PLANTILLA!D20</f>
        <v>Paulo Beltrán</v>
      </c>
      <c r="B16" s="207">
        <f>PLANTILLA!E20</f>
        <v>18</v>
      </c>
      <c r="C16" s="207">
        <f>PLANTILLA!H20</f>
        <v>3</v>
      </c>
      <c r="D16" s="208">
        <f>PLANTILLA!I20</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12.9</v>
      </c>
      <c r="Q16" s="32">
        <f>SUM(Q3:Q13)</f>
        <v>14.000000000000002</v>
      </c>
      <c r="R16" s="32"/>
    </row>
    <row r="17" spans="1:18" x14ac:dyDescent="0.25">
      <c r="A17" s="206" t="str">
        <f>PLANTILLA!D22</f>
        <v>Nicolás Eans</v>
      </c>
      <c r="B17" s="207">
        <f>PLANTILLA!E22</f>
        <v>18</v>
      </c>
      <c r="C17" s="207">
        <f>PLANTILLA!H22</f>
        <v>3</v>
      </c>
      <c r="D17" s="208">
        <f>PLANTILLA!I22</f>
        <v>0.5</v>
      </c>
      <c r="E17" s="209">
        <f t="shared" si="1"/>
        <v>0.5</v>
      </c>
      <c r="F17" s="209">
        <f t="shared" si="2"/>
        <v>0.6</v>
      </c>
      <c r="G17" s="209">
        <f t="shared" si="3"/>
        <v>3</v>
      </c>
      <c r="H17" s="209">
        <f t="shared" si="4"/>
        <v>3.99</v>
      </c>
      <c r="I17" s="210">
        <f t="shared" si="5"/>
        <v>4.5</v>
      </c>
      <c r="J17" s="210">
        <f t="shared" si="6"/>
        <v>9.5520600000000009</v>
      </c>
      <c r="K17" s="211"/>
      <c r="O17" t="s">
        <v>345</v>
      </c>
      <c r="P17" s="37">
        <f>P16/17</f>
        <v>0.75882352941176467</v>
      </c>
      <c r="Q17" s="37">
        <f>Q16/17</f>
        <v>0.82352941176470595</v>
      </c>
      <c r="R17" s="37"/>
    </row>
    <row r="18" spans="1:18" x14ac:dyDescent="0.25">
      <c r="A18" s="206" t="str">
        <f>PLANTILLA!D23</f>
        <v>Noel Fuster</v>
      </c>
      <c r="B18" s="207">
        <f>PLANTILLA!E23</f>
        <v>17</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0.90304848644250546</v>
      </c>
      <c r="Q21" s="157">
        <f>Q17+Q20</f>
        <v>1.0483163453535</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55</v>
      </c>
      <c r="D3" s="65" t="str">
        <f>PLANTILLA!G4</f>
        <v>IMP</v>
      </c>
      <c r="E3" s="30">
        <f>PLANTILLA!M4</f>
        <v>43097</v>
      </c>
      <c r="F3" s="47">
        <f>PLANTILLA!Q4</f>
        <v>6</v>
      </c>
      <c r="G3" s="48">
        <f>(F3/7)^0.5</f>
        <v>0.92582009977255142</v>
      </c>
      <c r="H3" s="48">
        <f>IF(F3=7,1,((F3+0.99)/7)^0.5)</f>
        <v>0.99928545900129484</v>
      </c>
      <c r="I3" s="51">
        <f t="shared" ref="I3" ca="1" si="0">IF(TODAY()-E3&gt;335,1,((TODAY()-E3)^0.5)/336^0.5)</f>
        <v>0.38959686123698983</v>
      </c>
      <c r="J3" s="39">
        <f>PLANTILLA!I4</f>
        <v>2.4</v>
      </c>
      <c r="K3" s="46">
        <f>PLANTILLA!X4</f>
        <v>0</v>
      </c>
      <c r="L3" s="46">
        <f>PLANTILLA!Y4</f>
        <v>7</v>
      </c>
      <c r="M3" s="46">
        <f>PLANTILLA!Z4</f>
        <v>2</v>
      </c>
      <c r="N3" s="46">
        <f>PLANTILLA!AA4</f>
        <v>5</v>
      </c>
      <c r="O3" s="46">
        <f>PLANTILLA!AB4</f>
        <v>7.0305555555555559</v>
      </c>
      <c r="P3" s="46">
        <f>PLANTILLA!AC4</f>
        <v>5.2857142857142847</v>
      </c>
      <c r="Q3" s="46">
        <f>PLANTILLA!AD4</f>
        <v>4</v>
      </c>
      <c r="R3" s="46">
        <f>((2*(O3+1))+(L3+1))/8</f>
        <v>3.0076388888888888</v>
      </c>
      <c r="S3" s="46">
        <f>(0.5*P3+ 0.3*Q3)/10</f>
        <v>0.38428571428571423</v>
      </c>
      <c r="T3" s="46">
        <f>(0.4*L3+0.3*Q3)/10</f>
        <v>0.4</v>
      </c>
      <c r="U3" s="46">
        <f ca="1">IF(TODAY()-E3&gt;335,(Q3+1+(LOG(J3)*4/3))*(F3/7)^0.5,(Q3+((TODAY()-E3)^0.5)/(336^0.5)+(LOG(J3)*4/3))*(F3/7)^0.5)</f>
        <v>4.5333199503464892</v>
      </c>
      <c r="V3" s="46">
        <f ca="1">IF(F3=7,U3,IF(TODAY()-E3&gt;335,(Q3+1+(LOG(J3)*4/3))*((F3+0.99)/7)^0.5,(Q3+((TODAY()-E3)^0.5)/(336^0.5)+(LOG(J3)*4/3))*((F3+0.99)/7)^0.5))</f>
        <v>4.8930464012334953</v>
      </c>
      <c r="W3" s="37">
        <f ca="1">IF(TODAY()-E3&gt;335,((K3+1+(LOG(J3)*4/3))*0.597)+((L3+1+(LOG(J3)*4/3))*0.276),((K3+(((TODAY()-E3)^0.5)/(336^0.5))+(LOG(J3)*4/3))*0.597)+((L3+(((TODAY()-E3)^0.5)/(336^0.5))+(LOG(J3)*4/3))*0.276))</f>
        <v>2.7146839452122018</v>
      </c>
      <c r="X3" s="37">
        <f ca="1">IF(TODAY()-E3&gt;335,((K3+1+(LOG(J3)*4/3))*0.866)+((L3+1+(LOG(J3)*4/3))*0.425),((K3+(((TODAY()-E3)^0.5)/(336^0.5))+(LOG(J3)*4/3))*0.866)+((L3+(((TODAY()-E3)^0.5)/(336^0.5))+(LOG(J3)*4/3))*0.425))</f>
        <v>4.1324398319231985</v>
      </c>
      <c r="Y3" s="37">
        <f ca="1">W3</f>
        <v>2.7146839452122018</v>
      </c>
      <c r="Z3" s="37">
        <f ca="1">IF(TODAY()-E3&gt;335,((L3+1+(LOG(J3)*4/3))*0.516),((L3+(((TODAY()-E3)^0.5)/(336^0.516))+(LOG(J3)*4/3))*0.516))</f>
        <v>4.0567508540014652</v>
      </c>
      <c r="AA3" s="37">
        <f ca="1">IF(TODAY()-E3&gt;335,((L3+1+(LOG(J3)*4/3))*1),((L3+(((TODAY()-E3)^0.5)/(336^0.5))+(LOG(J3)*4/3))*1))</f>
        <v>7.896545183519132</v>
      </c>
      <c r="AB3" s="37">
        <f ca="1">Z3/2</f>
        <v>2.0283754270007326</v>
      </c>
      <c r="AC3" s="37">
        <f ca="1">IF(TODAY()-E3&gt;335,((M3+1+(LOG(J3)*4/3))*0.238),((M3+(((TODAY()-E3)^0.5)/(336^0.238))+(LOG(J3)*4/3))*0.238))</f>
        <v>1.022343552616422</v>
      </c>
      <c r="AD3" s="37">
        <f ca="1">IF(TODAY()-E3&gt;335,((L3+1+(LOG(J3)*4/3))*0.378),((L3+(((TODAY()-E3)^0.5)/(336^0.516))+(LOG(J3)*4/3))*0.378))</f>
        <v>2.9718058581638638</v>
      </c>
      <c r="AE3" s="37">
        <f ca="1">IF(TODAY()-E3&gt;335,((L3+1+(LOG(J3)*4/3))*0.723),((L3+(((TODAY()-E3)^0.5)/(336^0.5))+(LOG(J3)*4/3))*0.723))</f>
        <v>5.7092021676843325</v>
      </c>
      <c r="AF3" s="37">
        <f ca="1">AD3/2</f>
        <v>1.4859029290819319</v>
      </c>
      <c r="AG3" s="37">
        <f ca="1">IF(TODAY()-E3&gt;335,((M3+1+(LOG(J3)*4/3))*0.385),((M3+(((TODAY()-E3)^0.5)/(336^0.238))+(LOG(J3)*4/3))*0.385))</f>
        <v>1.6537910409971532</v>
      </c>
      <c r="AH3" s="37">
        <f ca="1">IF(TODAY()-E3&gt;335,((L3+1+(LOG(J3)*4/3))*0.92),((L3+(((TODAY()-E3)^0.5)/(336^0.5))+(LOG(J3)*4/3))*0.92))</f>
        <v>7.2648215688376014</v>
      </c>
      <c r="AI3" s="37">
        <f ca="1">IF(TODAY()-E3&gt;335,((L3+1+(LOG(J3)*4/3))*0.414),((L3+(((TODAY()-E3)^0.5)/(336^0.414))+(LOG(J3)*4/3))*0.414))</f>
        <v>3.3738761960992707</v>
      </c>
      <c r="AJ3" s="37">
        <f ca="1">IF(TODAY()-E3&gt;335,((M3+1+(LOG(J3)*4/3))*0.167),((M3+(((TODAY()-E3)^0.5)/(336^0.5))+(LOG(J3)*4/3))*0.167))</f>
        <v>0.48372304564769492</v>
      </c>
      <c r="AK3" s="37">
        <f ca="1">IF(TODAY()-E3&gt;335,((N3+1+(LOG(J3)*4/3))*0.588),((N3+(((TODAY()-E3)^0.5)/(336^0.5))+(LOG(J3)*4/3))*0.588))</f>
        <v>3.4671685679092494</v>
      </c>
      <c r="AL3" s="37">
        <f ca="1">IF(TODAY()-E3&gt;335,((L3+1+(LOG(J3)*4/3))*0.754),((L3+(((TODAY()-E3)^0.5)/(336^0.5))+(LOG(J3)*4/3))*0.754))</f>
        <v>5.953995068373426</v>
      </c>
      <c r="AM3" s="37">
        <f ca="1">IF(TODAY()-E3&gt;335,((L3+1+(LOG(J3)*4/3))*0.708),((L3+(((TODAY()-E3)^0.5)/(336^0.414))+(LOG(J3)*4/3))*0.708))</f>
        <v>5.7698172628944047</v>
      </c>
      <c r="AN3" s="37">
        <f ca="1">IF(TODAY()-E3&gt;335,((Q3+1+(LOG(J3)*4/3))*0.167),((Q3+(((TODAY()-E3)^0.5)/(336^0.5))+(LOG(J3)*4/3))*0.167))</f>
        <v>0.81772304564769505</v>
      </c>
      <c r="AO3" s="37">
        <f ca="1">IF(TODAY()-E3&gt;335,((R3+1+(LOG(J3)*4/3))*0.288),((R3+(((TODAY()-E3)^0.5)/(336^0.5))+(LOG(J3)*4/3))*0.288))</f>
        <v>1.1244050128535097</v>
      </c>
      <c r="AP3" s="37">
        <f ca="1">IF(TODAY()-E3&gt;335,((L3+1+(LOG(J3)*4/3))*0.27),((L3+(((TODAY()-E3)^0.5)/(336^0.5))+(LOG(J3)*4/3))*0.27))</f>
        <v>2.1320671995501659</v>
      </c>
      <c r="AQ3" s="37">
        <f ca="1">IF(TODAY()-E3&gt;335,((L3+1+(LOG(J3)*4/3))*0.594),((L3+(((TODAY()-E3)^0.5)/(336^0.5))+(LOG(J3)*4/3))*0.594))</f>
        <v>4.6905478390103639</v>
      </c>
      <c r="AR3" s="37">
        <f ca="1">AP3/2</f>
        <v>1.0660335997750829</v>
      </c>
      <c r="AS3" s="37">
        <f ca="1">IF(TODAY()-E3&gt;335,((M3+1+(LOG(J3)*4/3))*0.944),((M3+(((TODAY()-E3)^0.5)/(336^0.5))+(LOG(J3)*4/3))*0.944))</f>
        <v>2.7343386532420597</v>
      </c>
      <c r="AT3" s="37">
        <f ca="1">IF(TODAY()-E3&gt;335,((O3+1+(LOG(J3)*4/3))*0.13),((O3+(((TODAY()-E3)^0.5)/(336^0.5))+(LOG(J3)*4/3))*0.13))</f>
        <v>1.0305230960797094</v>
      </c>
      <c r="AU3" s="37">
        <f ca="1">IF(TODAY()-E3&gt;335,((P3+1+(LOG(J3)*4/3))*0.173)+((O3+1+(LOG(J3)*4/3))*0.12),((P3+(((TODAY()-E3)^0.5)/(336^0.5))+(LOG(J3)*4/3))*0.173)+((O3+(((TODAY()-E3)^0.5)/(336^0.5))+(LOG(J3)*4/3))*0.12))</f>
        <v>2.0207829768663434</v>
      </c>
      <c r="AV3" s="37">
        <f ca="1">AT3/2</f>
        <v>0.51526154803985469</v>
      </c>
      <c r="AW3" s="37">
        <f ca="1">IF(TODAY()-E3&gt;335,((L3+1+(LOG(J3)*4/3))*0.189),((L3+(((TODAY()-E3)^0.5)/(336^0.5))+(LOG(J3)*4/3))*0.189))</f>
        <v>1.4924470396851159</v>
      </c>
      <c r="AX3" s="37">
        <f ca="1">IF(TODAY()-E3&gt;335,((L3+1+(LOG(J3)*4/3))*0.4),((L3+(((TODAY()-E3)^0.5)/(336^0.5))+(LOG(J3)*4/3))*0.4))</f>
        <v>3.158618073407653</v>
      </c>
      <c r="AY3" s="37">
        <f ca="1">AW3/2</f>
        <v>0.74622351984255797</v>
      </c>
      <c r="AZ3" s="37">
        <f ca="1">IF(TODAY()-E3&gt;335,((M3+1+(LOG(J3)*4/3))*1),((M3+(((TODAY()-E3)^0.5)/(336^0.5))+(LOG(J3)*4/3))*1))</f>
        <v>2.8965451835191312</v>
      </c>
      <c r="BA3" s="37">
        <f ca="1">IF(TODAY()-E3&gt;335,((O3+1+(LOG(J3)*4/3))*0.253),((O3+(((TODAY()-E3)^0.5)/(336^0.5))+(LOG(J3)*4/3))*0.253))</f>
        <v>2.0055564869858959</v>
      </c>
      <c r="BB3" s="37">
        <f ca="1">IF(TODAY()-E3&gt;335,((P3+1+(LOG(J3)*4/3))*0.21)+((O3+1+(LOG(J3)*4/3))*0.341),((P3+(((TODAY()-E3)^0.5)/(336^0.5))+(LOG(J3)*4/3))*0.21)+((O3+(((TODAY()-E3)^0.5)/(336^0.5))+(LOG(J3)*4/3))*0.341))</f>
        <v>4.0014158405634861</v>
      </c>
      <c r="BC3" s="37">
        <f ca="1">BA3/2</f>
        <v>1.002778243492948</v>
      </c>
      <c r="BD3" s="37">
        <f ca="1">IF(TODAY()-E3&gt;335,((L3+1+(LOG(J3)*4/3))*0.291),((L3+(((TODAY()-E3)^0.5)/(336^0.5))+(LOG(J3)*4/3))*0.291))</f>
        <v>2.2978946484040672</v>
      </c>
      <c r="BE3" s="37">
        <f ca="1">IF(TODAY()-E3&gt;335,((L3+1+(LOG(J3)*4/3))*0.348),((L3+(((TODAY()-E3)^0.5)/(336^0.5))+(LOG(J3)*4/3))*0.348))</f>
        <v>2.7479977238646578</v>
      </c>
      <c r="BF3" s="37">
        <f ca="1">IF(TODAY()-E3&gt;335,((M3+1+(LOG(J3)*4/3))*0.881),((M3+(((TODAY()-E3)^0.5)/(336^0.5))+(LOG(J3)*4/3))*0.881))</f>
        <v>2.5518563066803543</v>
      </c>
      <c r="BG3" s="37">
        <f ca="1">IF(TODAY()-E3&gt;335,((N3+1+(LOG(J3)*4/3))*0.574)+((O3+1+(LOG(J3)*4/3))*0.315),((N3+(((TODAY()-E3)^0.5)/(336^0.5))+(LOG(J3)*4/3))*0.574)+((O3+(((TODAY()-E3)^0.5)/(336^0.5))+(LOG(J3)*4/3))*0.315))</f>
        <v>5.8816536681485072</v>
      </c>
      <c r="BH3" s="37">
        <f ca="1">IF(TODAY()-E3&gt;335,((O3+1+(LOG(J3)*4/3))*0.241),((O3+(((TODAY()-E3)^0.5)/(336^0.5))+(LOG(J3)*4/3))*0.241))</f>
        <v>1.9104312781169994</v>
      </c>
      <c r="BI3" s="37">
        <f ca="1">IF(TODAY()-E3&gt;335,((L3+1+(LOG(J3)*4/3))*0.485),((L3+(((TODAY()-E3)^0.5)/(336^0.5))+(LOG(J3)*4/3))*0.485))</f>
        <v>3.829824414006779</v>
      </c>
      <c r="BJ3" s="37">
        <f ca="1">IF(TODAY()-E3&gt;335,((L3+1+(LOG(J3)*4/3))*0.264),((L3+(((TODAY()-E3)^0.5)/(336^0.5))+(LOG(J3)*4/3))*0.264))</f>
        <v>2.0846879284490512</v>
      </c>
      <c r="BK3" s="37">
        <f ca="1">IF(TODAY()-E3&gt;335,((M3+1+(LOG(J3)*4/3))*0.381),((M3+(((TODAY()-E3)^0.5)/(336^0.5))+(LOG(J3)*4/3))*0.381))</f>
        <v>1.103583714920789</v>
      </c>
      <c r="BL3" s="37">
        <f ca="1">IF(TODAY()-E3&gt;335,((N3+1+(LOG(J3)*4/3))*0.673)+((O3+1+(LOG(J3)*4/3))*0.201),((N3+(((TODAY()-E3)^0.5)/(336^0.5))+(LOG(J3)*4/3))*0.673)+((O3+(((TODAY()-E3)^0.5)/(336^0.5))+(LOG(J3)*4/3))*0.201))</f>
        <v>5.5617221570623876</v>
      </c>
      <c r="BM3" s="37">
        <f ca="1">IF(TODAY()-E3&gt;335,((O3+1+(LOG(J3)*4/3))*0.052),((O3+(((TODAY()-E3)^0.5)/(336^0.5))+(LOG(J3)*4/3))*0.052))</f>
        <v>0.41220923843188373</v>
      </c>
      <c r="BN3" s="37">
        <f ca="1">IF(TODAY()-E3&gt;335,((L3+1+(LOG(J3)*4/3))*0.18),((L3+(((TODAY()-E3)^0.5)/(336^0.5))+(LOG(J3)*4/3))*0.18))</f>
        <v>1.4213781330334436</v>
      </c>
      <c r="BO3" s="37">
        <f ca="1">IF(TODAY()-E3&gt;335,((L3+1+(LOG(J3)*4/3))*0.068),((L3+(((TODAY()-E3)^0.5)/(336^0.5))+(LOG(J3)*4/3))*0.068))</f>
        <v>0.53696507247930103</v>
      </c>
      <c r="BP3" s="37">
        <f ca="1">IF(TODAY()-E3&gt;335,((M3+1+(LOG(J3)*4/3))*0.305),((M3+(((TODAY()-E3)^0.5)/(336^0.5))+(LOG(J3)*4/3))*0.305))</f>
        <v>0.883446280973335</v>
      </c>
      <c r="BQ3" s="37">
        <f ca="1">IF(TODAY()-E3&gt;335,((N3+1+(LOG(J3)*4/3))*1)+((O3+1+(LOG(J3)*4/3))*0.286),((N3+(((TODAY()-E3)^0.5)/(336^0.5))+(LOG(J3)*4/3))*1)+((O3+(((TODAY()-E3)^0.5)/(336^0.5))+(LOG(J3)*4/3))*0.286))</f>
        <v>8.1636959948944927</v>
      </c>
      <c r="BR3" s="37">
        <f ca="1">IF(TODAY()-E3&gt;335,((O3+1+(LOG(J3)*4/3))*0.135),((O3+(((TODAY()-E3)^0.5)/(336^0.5))+(LOG(J3)*4/3))*0.135))</f>
        <v>1.0701585997750829</v>
      </c>
      <c r="BS3" s="37">
        <f ca="1">IF(TODAY()-E3&gt;335,((L3+1+(LOG(J3)*4/3))*0.284),((L3+(((TODAY()-E3)^0.5)/(336^0.5))+(LOG(J3)*4/3))*0.284))</f>
        <v>2.2426188321194331</v>
      </c>
      <c r="BT3" s="37">
        <f ca="1">IF(TODAY()-E3&gt;335,((L3+1+(LOG(J3)*4/3))*0.244),((L3+(((TODAY()-E3)^0.5)/(336^0.5))+(LOG(J3)*4/3))*0.244))</f>
        <v>1.9267570247786683</v>
      </c>
      <c r="BU3" s="37">
        <f ca="1">IF(TODAY()-E3&gt;335,((M3+1+(LOG(J3)*4/3))*0.631),((M3+(((TODAY()-E3)^0.5)/(336^0.5))+(LOG(J3)*4/3))*0.631))</f>
        <v>1.8277200108005718</v>
      </c>
      <c r="BV3" s="37">
        <f ca="1">IF(TODAY()-E3&gt;335,((N3+1+(LOG(J3)*4/3))*0.702)+((O3+1+(LOG(J3)*4/3))*0.193),((N3+(((TODAY()-E3)^0.5)/(336^0.5))+(LOG(J3)*4/3))*0.702)+((O3+(((TODAY()-E3)^0.5)/(336^0.5))+(LOG(J3)*4/3))*0.193))</f>
        <v>5.6693051614718453</v>
      </c>
      <c r="BW3" s="37">
        <f ca="1">IF(TODAY()-E3&gt;335,((O3+1+(LOG(J3)*4/3))*0.148),((O3+(((TODAY()-E3)^0.5)/(336^0.5))+(LOG(J3)*4/3))*0.148))</f>
        <v>1.1732109093830536</v>
      </c>
      <c r="BX3" s="37">
        <f ca="1">IF(TODAY()-E3&gt;335,((M3+1+(LOG(J3)*4/3))*0.406),((M3+(((TODAY()-E3)^0.5)/(336^0.5))+(LOG(J3)*4/3))*0.406))</f>
        <v>1.1759973445087673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3.6160246437880708</v>
      </c>
      <c r="BZ3" s="37">
        <f ca="1">IF(D3="TEC",IF(TODAY()-E3&gt;335,((O3+1+(LOG(J3)*4/3))*0.543)+((P3+1+(LOG(J3)*4/3))*0.583),((O3+(((TODAY()-E3)^0.5)/(336^0.5))+(LOG(J3)*4/3))*0.543)+((P3+(((TODAY()-E3)^0.5)/(336^0.5))+(LOG(J3)*4/3))*0.583)),IF(TODAY()-E3&gt;335,((O3+1+(LOG(J3)*4/3))*0.543)+((P3+1+(LOG(J3)*4/3))*0.583),((O3+(((TODAY()-E3)^0.5)/(336^0.5))+(LOG(J3)*4/3))*0.543)+((P3+(((TODAY()-E3)^0.5)/(336^0.5))+(LOG(J3)*4/3))*0.583)))</f>
        <v>7.9086729718806374</v>
      </c>
      <c r="CA3" s="37">
        <f ca="1">BY3</f>
        <v>3.6160246437880708</v>
      </c>
      <c r="CB3" s="37">
        <f ca="1">IF(TODAY()-E3&gt;335,((P3+1+(LOG(J3)*4/3))*0.26)+((N3+1+(LOG(J3)*4/3))*0.221)+((O3+1+(LOG(J3)*4/3))*0.142),((P3+(((TODAY()-E3)^0.5)/(336^0.5))+(LOG(J3)*4/3))*0.26)+((N3+(((TODAY()-E3)^0.5)/(336^0.5))+(LOG(J3)*4/3))*0.221)+((P3+(((TODAY()-E3)^0.5)/(336^0.5))+(LOG(J3)*4/3))*0.142))</f>
        <v>3.7884047921895618</v>
      </c>
      <c r="CC3" s="37">
        <f ca="1">IF(TODAY()-E3&gt;335,((P3+1+(LOG(J3)*4/3))*1)+((O3+1+(LOG(J3)*4/3))*0.369),((P3+(((TODAY()-E3)^0.5)/(336^0.5))+(LOG(J3)*4/3))*1)+((O3+(((TODAY()-E3)^0.5)/(336^0.5))+(LOG(J3)*4/3))*0.369))</f>
        <v>9.1073596419519767</v>
      </c>
      <c r="CD3" s="37">
        <f ca="1">CB3</f>
        <v>3.7884047921895618</v>
      </c>
      <c r="CE3" s="37">
        <f ca="1">IF(TODAY()-E3&gt;335,((M3+1+(LOG(J3)*4/3))*0.25),((M3+(((TODAY()-E3)^0.5)/(336^0.5))+(LOG(J3)*4/3))*0.25))</f>
        <v>0.72413629587978279</v>
      </c>
    </row>
    <row r="4" spans="1:83" x14ac:dyDescent="0.25">
      <c r="A4" t="str">
        <f>PLANTILLA!D5</f>
        <v>Marc Dolz</v>
      </c>
      <c r="B4">
        <f>PLANTILLA!E5</f>
        <v>17</v>
      </c>
      <c r="C4" s="33">
        <f ca="1">PLANTILLA!F5</f>
        <v>109</v>
      </c>
      <c r="D4" s="220" t="str">
        <f>PLANTILLA!G5</f>
        <v>POT</v>
      </c>
      <c r="E4" s="30">
        <f>PLANTILLA!M5</f>
        <v>43046</v>
      </c>
      <c r="F4" s="47">
        <f>PLANTILLA!Q5</f>
        <v>4</v>
      </c>
      <c r="G4" s="48">
        <f t="shared" ref="G4:G19" si="1">(F4/7)^0.5</f>
        <v>0.7559289460184544</v>
      </c>
      <c r="H4" s="48">
        <f t="shared" ref="H4:H19" si="2">IF(F4=7,1,((F4+0.99)/7)^0.5)</f>
        <v>0.84430867747355465</v>
      </c>
      <c r="I4" s="51">
        <f t="shared" ref="I4:I19" ca="1" si="3">IF(TODAY()-E4&gt;335,1,((TODAY()-E4)^0.5)/336^0.5)</f>
        <v>0.55097316501933968</v>
      </c>
      <c r="J4" s="39">
        <f>PLANTILLA!I5</f>
        <v>1</v>
      </c>
      <c r="K4" s="46">
        <f>PLANTILLA!X5</f>
        <v>0</v>
      </c>
      <c r="L4" s="46">
        <f>PLANTILLA!Y5</f>
        <v>4</v>
      </c>
      <c r="M4" s="46">
        <f>PLANTILLA!Z5</f>
        <v>4</v>
      </c>
      <c r="N4" s="46">
        <f>PLANTILLA!AA5</f>
        <v>3</v>
      </c>
      <c r="O4" s="46">
        <f>PLANTILLA!AB5</f>
        <v>4.2926666666666664</v>
      </c>
      <c r="P4" s="46">
        <f>PLANTILLA!AC5</f>
        <v>3.2666666666666675</v>
      </c>
      <c r="Q4" s="46">
        <f>PLANTILLA!AD5</f>
        <v>0.4</v>
      </c>
      <c r="R4" s="46">
        <f t="shared" ref="R4:R5" si="4">((2*(O4+1))+(L4+1))/8</f>
        <v>1.9481666666666666</v>
      </c>
      <c r="S4" s="46">
        <f t="shared" ref="S4:S5" si="5">(0.5*P4+ 0.3*Q4)/10</f>
        <v>0.1753333333333334</v>
      </c>
      <c r="T4" s="46">
        <f t="shared" ref="T4:T5" si="6">(0.4*L4+0.3*Q4)/10</f>
        <v>0.17200000000000001</v>
      </c>
      <c r="U4" s="46">
        <f t="shared" ref="U4:U5" ca="1" si="7">IF(TODAY()-E4&gt;335,(Q4+1+(LOG(J4)*4/3))*(F4/7)^0.5,(Q4+((TODAY()-E4)^0.5)/(336^0.5)+(LOG(J4)*4/3))*(F4/7)^0.5)</f>
        <v>0.71886814232490315</v>
      </c>
      <c r="V4" s="46">
        <f t="shared" ref="V4:V5" ca="1" si="8">IF(F4=7,U4,IF(TODAY()-E4&gt;335,(Q4+1+(LOG(J4)*4/3))*((F4+0.99)/7)^0.5,(Q4+((TODAY()-E4)^0.5)/(336^0.5)+(LOG(J4)*4/3))*((F4+0.99)/7)^0.5))</f>
        <v>0.80291489527031912</v>
      </c>
      <c r="W4" s="37">
        <f t="shared" ref="W4:W5" ca="1" si="9">IF(TODAY()-E4&gt;335,((K4+1+(LOG(J4)*4/3))*0.597)+((L4+1+(LOG(J4)*4/3))*0.276),((K4+(((TODAY()-E4)^0.5)/(336^0.5))+(LOG(J4)*4/3))*0.597)+((L4+(((TODAY()-E4)^0.5)/(336^0.5))+(LOG(J4)*4/3))*0.276))</f>
        <v>1.5849995730618835</v>
      </c>
      <c r="X4" s="37">
        <f t="shared" ref="X4:X5" ca="1" si="10">IF(TODAY()-E4&gt;335,((K4+1+(LOG(J4)*4/3))*0.866)+((L4+1+(LOG(J4)*4/3))*0.425),((K4+(((TODAY()-E4)^0.5)/(336^0.5))+(LOG(J4)*4/3))*0.866)+((L4+(((TODAY()-E4)^0.5)/(336^0.5))+(LOG(J4)*4/3))*0.425))</f>
        <v>2.4113063560399675</v>
      </c>
      <c r="Y4" s="37">
        <f t="shared" ref="Y4:Y5" ca="1" si="11">W4</f>
        <v>1.5849995730618835</v>
      </c>
      <c r="Z4" s="37">
        <f t="shared" ref="Z4:Z5" ca="1" si="12">IF(TODAY()-E4&gt;335,((L4+1+(LOG(J4)*4/3))*0.516),((L4+(((TODAY()-E4)^0.5)/(336^0.516))+(LOG(J4)*4/3))*0.516))</f>
        <v>2.3230351621243437</v>
      </c>
      <c r="AA4" s="37">
        <f t="shared" ref="AA4:AA5" ca="1" si="13">IF(TODAY()-E4&gt;335,((L4+1+(LOG(J4)*4/3))*1),((L4+(((TODAY()-E4)^0.5)/(336^0.5))+(LOG(J4)*4/3))*1))</f>
        <v>4.5509731650193395</v>
      </c>
      <c r="AB4" s="37">
        <f t="shared" ref="AB4:AB5" ca="1" si="14">Z4/2</f>
        <v>1.1615175810621718</v>
      </c>
      <c r="AC4" s="37">
        <f t="shared" ref="AC4:AC5" ca="1" si="15">IF(TODAY()-E4&gt;335,((M4+1+(LOG(J4)*4/3))*0.238),((M4+(((TODAY()-E4)^0.5)/(336^0.238))+(LOG(J4)*4/3))*0.238))</f>
        <v>1.5540163619403442</v>
      </c>
      <c r="AD4" s="37">
        <f t="shared" ref="AD4:AD5" ca="1" si="16">IF(TODAY()-E4&gt;335,((L4+1+(LOG(J4)*4/3))*0.378),((L4+(((TODAY()-E4)^0.5)/(336^0.516))+(LOG(J4)*4/3))*0.378))</f>
        <v>1.7017583164399259</v>
      </c>
      <c r="AE4" s="37">
        <f t="shared" ref="AE4:AE5" ca="1" si="17">IF(TODAY()-E4&gt;335,((L4+1+(LOG(J4)*4/3))*0.723),((L4+(((TODAY()-E4)^0.5)/(336^0.5))+(LOG(J4)*4/3))*0.723))</f>
        <v>3.2903535983089824</v>
      </c>
      <c r="AF4" s="37">
        <f t="shared" ref="AF4:AF5" ca="1" si="18">AD4/2</f>
        <v>0.85087915821996296</v>
      </c>
      <c r="AG4" s="37">
        <f t="shared" ref="AG4:AG5" ca="1" si="19">IF(TODAY()-E4&gt;335,((M4+1+(LOG(J4)*4/3))*0.385),((M4+(((TODAY()-E4)^0.5)/(336^0.238))+(LOG(J4)*4/3))*0.385))</f>
        <v>2.5138499972564392</v>
      </c>
      <c r="AH4" s="37">
        <f t="shared" ref="AH4:AH5" ca="1" si="20">IF(TODAY()-E4&gt;335,((L4+1+(LOG(J4)*4/3))*0.92),((L4+(((TODAY()-E4)^0.5)/(336^0.5))+(LOG(J4)*4/3))*0.92))</f>
        <v>4.1868953118177927</v>
      </c>
      <c r="AI4" s="37">
        <f t="shared" ref="AI4:AI5" ca="1" si="21">IF(TODAY()-E4&gt;335,((L4+1+(LOG(J4)*4/3))*0.414),((L4+(((TODAY()-E4)^0.5)/(336^0.414))+(LOG(J4)*4/3))*0.414))</f>
        <v>2.0321802287175186</v>
      </c>
      <c r="AJ4" s="37">
        <f t="shared" ref="AJ4:AJ5" ca="1" si="22">IF(TODAY()-E4&gt;335,((M4+1+(LOG(J4)*4/3))*0.167),((M4+(((TODAY()-E4)^0.5)/(336^0.5))+(LOG(J4)*4/3))*0.167))</f>
        <v>0.76001251855822971</v>
      </c>
      <c r="AK4" s="37">
        <f t="shared" ref="AK4:AK5" ca="1" si="23">IF(TODAY()-E4&gt;335,((N4+1+(LOG(J4)*4/3))*0.588),((N4+(((TODAY()-E4)^0.5)/(336^0.5))+(LOG(J4)*4/3))*0.588))</f>
        <v>2.0879722210313716</v>
      </c>
      <c r="AL4" s="37">
        <f t="shared" ref="AL4:AL5" ca="1" si="24">IF(TODAY()-E4&gt;335,((L4+1+(LOG(J4)*4/3))*0.754),((L4+(((TODAY()-E4)^0.5)/(336^0.5))+(LOG(J4)*4/3))*0.754))</f>
        <v>3.4314337664245818</v>
      </c>
      <c r="AM4" s="37">
        <f t="shared" ref="AM4:AM5" ca="1" si="25">IF(TODAY()-E4&gt;335,((L4+1+(LOG(J4)*4/3))*0.708),((L4+(((TODAY()-E4)^0.5)/(336^0.414))+(LOG(J4)*4/3))*0.708))</f>
        <v>3.4753227099806843</v>
      </c>
      <c r="AN4" s="37">
        <f t="shared" ref="AN4:AN5" ca="1" si="26">IF(TODAY()-E4&gt;335,((Q4+1+(LOG(J4)*4/3))*0.167),((Q4+(((TODAY()-E4)^0.5)/(336^0.5))+(LOG(J4)*4/3))*0.167))</f>
        <v>0.15881251855822973</v>
      </c>
      <c r="AO4" s="37">
        <f t="shared" ref="AO4:AO5" ca="1" si="27">IF(TODAY()-E4&gt;335,((R4+1+(LOG(J4)*4/3))*0.288),((R4+(((TODAY()-E4)^0.5)/(336^0.5))+(LOG(J4)*4/3))*0.288))</f>
        <v>0.71975227152556975</v>
      </c>
      <c r="AP4" s="37">
        <f t="shared" ref="AP4:AP5" ca="1" si="28">IF(TODAY()-E4&gt;335,((L4+1+(LOG(J4)*4/3))*0.27),((L4+(((TODAY()-E4)^0.5)/(336^0.5))+(LOG(J4)*4/3))*0.27))</f>
        <v>1.2287627545552218</v>
      </c>
      <c r="AQ4" s="37">
        <f t="shared" ref="AQ4:AQ5" ca="1" si="29">IF(TODAY()-E4&gt;335,((L4+1+(LOG(J4)*4/3))*0.594),((L4+(((TODAY()-E4)^0.5)/(336^0.5))+(LOG(J4)*4/3))*0.594))</f>
        <v>2.7032780600214874</v>
      </c>
      <c r="AR4" s="37">
        <f t="shared" ref="AR4:AR5" ca="1" si="30">AP4/2</f>
        <v>0.61438137727761089</v>
      </c>
      <c r="AS4" s="37">
        <f t="shared" ref="AS4:AS5" ca="1" si="31">IF(TODAY()-E4&gt;335,((M4+1+(LOG(J4)*4/3))*0.944),((M4+(((TODAY()-E4)^0.5)/(336^0.5))+(LOG(J4)*4/3))*0.944))</f>
        <v>4.2961186677782566</v>
      </c>
      <c r="AT4" s="37">
        <f t="shared" ref="AT4:AT5" ca="1" si="32">IF(TODAY()-E4&gt;335,((O4+1+(LOG(J4)*4/3))*0.13),((O4+(((TODAY()-E4)^0.5)/(336^0.5))+(LOG(J4)*4/3))*0.13))</f>
        <v>0.62967317811918078</v>
      </c>
      <c r="AU4" s="37">
        <f t="shared" ref="AU4:AU5" ca="1" si="33">IF(TODAY()-E4&gt;335,((P4+1+(LOG(J4)*4/3))*0.173)+((O4+1+(LOG(J4)*4/3))*0.12),((P4+(((TODAY()-E4)^0.5)/(336^0.5))+(LOG(J4)*4/3))*0.173)+((O4+(((TODAY()-E4)^0.5)/(336^0.5))+(LOG(J4)*4/3))*0.12))</f>
        <v>1.2416884706839999</v>
      </c>
      <c r="AV4" s="37">
        <f t="shared" ref="AV4:AV5" ca="1" si="34">AT4/2</f>
        <v>0.31483658905959039</v>
      </c>
      <c r="AW4" s="37">
        <f t="shared" ref="AW4:AW5" ca="1" si="35">IF(TODAY()-E4&gt;335,((L4+1+(LOG(J4)*4/3))*0.189),((L4+(((TODAY()-E4)^0.5)/(336^0.5))+(LOG(J4)*4/3))*0.189))</f>
        <v>0.86013392818865519</v>
      </c>
      <c r="AX4" s="37">
        <f t="shared" ref="AX4:AX5" ca="1" si="36">IF(TODAY()-E4&gt;335,((L4+1+(LOG(J4)*4/3))*0.4),((L4+(((TODAY()-E4)^0.5)/(336^0.5))+(LOG(J4)*4/3))*0.4))</f>
        <v>1.8203892660077359</v>
      </c>
      <c r="AY4" s="37">
        <f t="shared" ref="AY4:AY5" ca="1" si="37">AW4/2</f>
        <v>0.4300669640943276</v>
      </c>
      <c r="AZ4" s="37">
        <f t="shared" ref="AZ4:AZ5" ca="1" si="38">IF(TODAY()-E4&gt;335,((M4+1+(LOG(J4)*4/3))*1),((M4+(((TODAY()-E4)^0.5)/(336^0.5))+(LOG(J4)*4/3))*1))</f>
        <v>4.5509731650193395</v>
      </c>
      <c r="BA4" s="37">
        <f t="shared" ref="BA4:BA5" ca="1" si="39">IF(TODAY()-E4&gt;335,((O4+1+(LOG(J4)*4/3))*0.253),((O4+(((TODAY()-E4)^0.5)/(336^0.5))+(LOG(J4)*4/3))*0.253))</f>
        <v>1.2254408774165595</v>
      </c>
      <c r="BB4" s="37">
        <f t="shared" ref="BB4:BB5" ca="1" si="40">IF(TODAY()-E4&gt;335,((P4+1+(LOG(J4)*4/3))*0.21)+((O4+1+(LOG(J4)*4/3))*0.341),((P4+(((TODAY()-E4)^0.5)/(336^0.5))+(LOG(J4)*4/3))*0.21)+((O4+(((TODAY()-E4)^0.5)/(336^0.5))+(LOG(J4)*4/3))*0.341))</f>
        <v>2.4533855472589896</v>
      </c>
      <c r="BC4" s="37">
        <f t="shared" ref="BC4:BC5" ca="1" si="41">BA4/2</f>
        <v>0.61272043870827975</v>
      </c>
      <c r="BD4" s="37">
        <f t="shared" ref="BD4:BD5" ca="1" si="42">IF(TODAY()-E4&gt;335,((L4+1+(LOG(J4)*4/3))*0.291),((L4+(((TODAY()-E4)^0.5)/(336^0.5))+(LOG(J4)*4/3))*0.291))</f>
        <v>1.3243331910206277</v>
      </c>
      <c r="BE4" s="37">
        <f t="shared" ref="BE4:BE5" ca="1" si="43">IF(TODAY()-E4&gt;335,((L4+1+(LOG(J4)*4/3))*0.348),((L4+(((TODAY()-E4)^0.5)/(336^0.5))+(LOG(J4)*4/3))*0.348))</f>
        <v>1.5837386614267299</v>
      </c>
      <c r="BF4" s="37">
        <f t="shared" ref="BF4:BF5" ca="1" si="44">IF(TODAY()-E4&gt;335,((M4+1+(LOG(J4)*4/3))*0.881),((M4+(((TODAY()-E4)^0.5)/(336^0.5))+(LOG(J4)*4/3))*0.881))</f>
        <v>4.0094073583820382</v>
      </c>
      <c r="BG4" s="37">
        <f t="shared" ref="BG4:BG5" ca="1" si="45">IF(TODAY()-E4&gt;335,((N4+1+(LOG(J4)*4/3))*0.574)+((O4+1+(LOG(J4)*4/3))*0.315),((N4+(((TODAY()-E4)^0.5)/(336^0.5))+(LOG(J4)*4/3))*0.574)+((O4+(((TODAY()-E4)^0.5)/(336^0.5))+(LOG(J4)*4/3))*0.315))</f>
        <v>3.5640051437021927</v>
      </c>
      <c r="BH4" s="37">
        <f t="shared" ref="BH4:BH5" ca="1" si="46">IF(TODAY()-E4&gt;335,((O4+1+(LOG(J4)*4/3))*0.241),((O4+(((TODAY()-E4)^0.5)/(336^0.5))+(LOG(J4)*4/3))*0.241))</f>
        <v>1.1673171994363274</v>
      </c>
      <c r="BI4" s="37">
        <f t="shared" ref="BI4:BI5" ca="1" si="47">IF(TODAY()-E4&gt;335,((L4+1+(LOG(J4)*4/3))*0.485),((L4+(((TODAY()-E4)^0.5)/(336^0.5))+(LOG(J4)*4/3))*0.485))</f>
        <v>2.2072219850343795</v>
      </c>
      <c r="BJ4" s="37">
        <f t="shared" ref="BJ4:BJ5" ca="1" si="48">IF(TODAY()-E4&gt;335,((L4+1+(LOG(J4)*4/3))*0.264),((L4+(((TODAY()-E4)^0.5)/(336^0.5))+(LOG(J4)*4/3))*0.264))</f>
        <v>1.2014569155651056</v>
      </c>
      <c r="BK4" s="37">
        <f t="shared" ref="BK4:BK5" ca="1" si="49">IF(TODAY()-E4&gt;335,((M4+1+(LOG(J4)*4/3))*0.381),((M4+(((TODAY()-E4)^0.5)/(336^0.5))+(LOG(J4)*4/3))*0.381))</f>
        <v>1.7339207758723683</v>
      </c>
      <c r="BL4" s="37">
        <f t="shared" ref="BL4:BL5" ca="1" si="50">IF(TODAY()-E4&gt;335,((N4+1+(LOG(J4)*4/3))*0.673)+((O4+1+(LOG(J4)*4/3))*0.201),((N4+(((TODAY()-E4)^0.5)/(336^0.5))+(LOG(J4)*4/3))*0.673)+((O4+(((TODAY()-E4)^0.5)/(336^0.5))+(LOG(J4)*4/3))*0.201))</f>
        <v>3.363376546226903</v>
      </c>
      <c r="BM4" s="37">
        <f t="shared" ref="BM4:BM5" ca="1" si="51">IF(TODAY()-E4&gt;335,((O4+1+(LOG(J4)*4/3))*0.052),((O4+(((TODAY()-E4)^0.5)/(336^0.5))+(LOG(J4)*4/3))*0.052))</f>
        <v>0.25186927124767228</v>
      </c>
      <c r="BN4" s="37">
        <f t="shared" ref="BN4:BN5" ca="1" si="52">IF(TODAY()-E4&gt;335,((L4+1+(LOG(J4)*4/3))*0.18),((L4+(((TODAY()-E4)^0.5)/(336^0.5))+(LOG(J4)*4/3))*0.18))</f>
        <v>0.81917516970348103</v>
      </c>
      <c r="BO4" s="37">
        <f t="shared" ref="BO4:BO5" ca="1" si="53">IF(TODAY()-E4&gt;335,((L4+1+(LOG(J4)*4/3))*0.068),((L4+(((TODAY()-E4)^0.5)/(336^0.5))+(LOG(J4)*4/3))*0.068))</f>
        <v>0.30946617522131509</v>
      </c>
      <c r="BP4" s="37">
        <f t="shared" ref="BP4:BP5" ca="1" si="54">IF(TODAY()-E4&gt;335,((M4+1+(LOG(J4)*4/3))*0.305),((M4+(((TODAY()-E4)^0.5)/(336^0.5))+(LOG(J4)*4/3))*0.305))</f>
        <v>1.3880468153308985</v>
      </c>
      <c r="BQ4" s="37">
        <f t="shared" ref="BQ4:BQ5" ca="1" si="55">IF(TODAY()-E4&gt;335,((N4+1+(LOG(J4)*4/3))*1)+((O4+1+(LOG(J4)*4/3))*0.286),((N4+(((TODAY()-E4)^0.5)/(336^0.5))+(LOG(J4)*4/3))*1)+((O4+(((TODAY()-E4)^0.5)/(336^0.5))+(LOG(J4)*4/3))*0.286))</f>
        <v>4.936254156881537</v>
      </c>
      <c r="BR4" s="37">
        <f t="shared" ref="BR4:BR5" ca="1" si="56">IF(TODAY()-E4&gt;335,((O4+1+(LOG(J4)*4/3))*0.135),((O4+(((TODAY()-E4)^0.5)/(336^0.5))+(LOG(J4)*4/3))*0.135))</f>
        <v>0.65389137727761082</v>
      </c>
      <c r="BS4" s="37">
        <f t="shared" ref="BS4:BS5" ca="1" si="57">IF(TODAY()-E4&gt;335,((L4+1+(LOG(J4)*4/3))*0.284),((L4+(((TODAY()-E4)^0.5)/(336^0.5))+(LOG(J4)*4/3))*0.284))</f>
        <v>1.2924763788654923</v>
      </c>
      <c r="BT4" s="37">
        <f t="shared" ref="BT4:BT5" ca="1" si="58">IF(TODAY()-E4&gt;335,((L4+1+(LOG(J4)*4/3))*0.244),((L4+(((TODAY()-E4)^0.5)/(336^0.5))+(LOG(J4)*4/3))*0.244))</f>
        <v>1.1104374522647189</v>
      </c>
      <c r="BU4" s="37">
        <f t="shared" ref="BU4:BU5" ca="1" si="59">IF(TODAY()-E4&gt;335,((M4+1+(LOG(J4)*4/3))*0.631),((M4+(((TODAY()-E4)^0.5)/(336^0.5))+(LOG(J4)*4/3))*0.631))</f>
        <v>2.8716640671272033</v>
      </c>
      <c r="BV4" s="37">
        <f t="shared" ref="BV4:BV5" ca="1" si="60">IF(TODAY()-E4&gt;335,((N4+1+(LOG(J4)*4/3))*0.702)+((O4+1+(LOG(J4)*4/3))*0.193),((N4+(((TODAY()-E4)^0.5)/(336^0.5))+(LOG(J4)*4/3))*0.702)+((O4+(((TODAY()-E4)^0.5)/(336^0.5))+(LOG(J4)*4/3))*0.193))</f>
        <v>3.4276056493589753</v>
      </c>
      <c r="BW4" s="37">
        <f t="shared" ref="BW4:BW5" ca="1" si="61">IF(TODAY()-E4&gt;335,((O4+1+(LOG(J4)*4/3))*0.148),((O4+(((TODAY()-E4)^0.5)/(336^0.5))+(LOG(J4)*4/3))*0.148))</f>
        <v>0.71685869508952882</v>
      </c>
      <c r="BX4" s="37">
        <f t="shared" ref="BX4:BX5" ca="1" si="62">IF(TODAY()-E4&gt;335,((M4+1+(LOG(J4)*4/3))*0.406),((M4+(((TODAY()-E4)^0.5)/(336^0.5))+(LOG(J4)*4/3))*0.406))</f>
        <v>1.8476951049978521</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2.2070903523084091</v>
      </c>
      <c r="BZ4" s="37">
        <f t="shared" ref="BZ4:BZ5" ca="1" si="64">IF(D4="TEC",IF(TODAY()-E4&gt;335,((O4+1+(LOG(J4)*4/3))*0.543)+((P4+1+(LOG(J4)*4/3))*0.583),((O4+(((TODAY()-E4)^0.5)/(336^0.5))+(LOG(J4)*4/3))*0.543)+((P4+(((TODAY()-E4)^0.5)/(336^0.5))+(LOG(J4)*4/3))*0.583)),IF(TODAY()-E4&gt;335,((O4+1+(LOG(J4)*4/3))*0.543)+((P4+1+(LOG(J4)*4/3))*0.583),((O4+(((TODAY()-E4)^0.5)/(336^0.5))+(LOG(J4)*4/3))*0.543)+((P4+(((TODAY()-E4)^0.5)/(336^0.5))+(LOG(J4)*4/3))*0.583)))</f>
        <v>4.8557804504784432</v>
      </c>
      <c r="CA4" s="37">
        <f t="shared" ref="CA4:CA5" ca="1" si="65">BY4</f>
        <v>2.2070903523084091</v>
      </c>
      <c r="CB4" s="37">
        <f t="shared" ref="CB4:CB5" ca="1" si="66">IF(TODAY()-E4&gt;335,((P4+1+(LOG(J4)*4/3))*0.26)+((N4+1+(LOG(J4)*4/3))*0.221)+((O4+1+(LOG(J4)*4/3))*0.142),((P4+(((TODAY()-E4)^0.5)/(336^0.5))+(LOG(J4)*4/3))*0.26)+((N4+(((TODAY()-E4)^0.5)/(336^0.5))+(LOG(J4)*4/3))*0.221)+((P4+(((TODAY()-E4)^0.5)/(336^0.5))+(LOG(J4)*4/3))*0.142))</f>
        <v>2.319456281807049</v>
      </c>
      <c r="CC4" s="37">
        <f t="shared" ref="CC4:CC5" ca="1" si="67">IF(TODAY()-E4&gt;335,((P4+1+(LOG(J4)*4/3))*1)+((O4+1+(LOG(J4)*4/3))*0.369),((P4+(((TODAY()-E4)^0.5)/(336^0.5))+(LOG(J4)*4/3))*1)+((O4+(((TODAY()-E4)^0.5)/(336^0.5))+(LOG(J4)*4/3))*0.369))</f>
        <v>5.6049429295781428</v>
      </c>
      <c r="CD4" s="37">
        <f t="shared" ref="CD4:CD5" ca="1" si="68">CB4</f>
        <v>2.319456281807049</v>
      </c>
      <c r="CE4" s="37">
        <f t="shared" ref="CE4:CE5" ca="1" si="69">IF(TODAY()-E4&gt;335,((M4+1+(LOG(J4)*4/3))*0.25),((M4+(((TODAY()-E4)^0.5)/(336^0.5))+(LOG(J4)*4/3))*0.25))</f>
        <v>1.1377432912548349</v>
      </c>
    </row>
    <row r="5" spans="1:83" x14ac:dyDescent="0.25">
      <c r="A5" t="str">
        <f>PLANTILLA!D6</f>
        <v>Manuel Parejo</v>
      </c>
      <c r="B5">
        <f>PLANTILLA!E6</f>
        <v>17</v>
      </c>
      <c r="C5" s="33">
        <f ca="1">PLANTILLA!F6</f>
        <v>56</v>
      </c>
      <c r="D5" s="220">
        <f>PLANTILLA!G6</f>
        <v>0</v>
      </c>
      <c r="E5" s="30">
        <f>PLANTILLA!M6</f>
        <v>43097</v>
      </c>
      <c r="F5" s="47">
        <f>PLANTILLA!Q6</f>
        <v>5</v>
      </c>
      <c r="G5" s="48">
        <f t="shared" si="1"/>
        <v>0.84515425472851657</v>
      </c>
      <c r="H5" s="48">
        <f t="shared" si="2"/>
        <v>0.92504826128926143</v>
      </c>
      <c r="I5" s="51">
        <f t="shared" ca="1" si="3"/>
        <v>0.38959686123698983</v>
      </c>
      <c r="J5" s="39">
        <f>PLANTILLA!I6</f>
        <v>1.3</v>
      </c>
      <c r="K5" s="46">
        <f>PLANTILLA!X6</f>
        <v>0</v>
      </c>
      <c r="L5" s="46">
        <f>PLANTILLA!Y6</f>
        <v>5</v>
      </c>
      <c r="M5" s="46">
        <f>PLANTILLA!Z6</f>
        <v>6.7</v>
      </c>
      <c r="N5" s="46">
        <f>PLANTILLA!AA6</f>
        <v>3</v>
      </c>
      <c r="O5" s="46">
        <f>PLANTILLA!AB6</f>
        <v>3</v>
      </c>
      <c r="P5" s="46">
        <f>PLANTILLA!AC6</f>
        <v>3.3925925925925937</v>
      </c>
      <c r="Q5" s="46">
        <f>PLANTILLA!AD6</f>
        <v>2</v>
      </c>
      <c r="R5" s="46">
        <f t="shared" si="4"/>
        <v>1.75</v>
      </c>
      <c r="S5" s="46">
        <f t="shared" si="5"/>
        <v>0.22962962962962968</v>
      </c>
      <c r="T5" s="46">
        <f t="shared" si="6"/>
        <v>0.26</v>
      </c>
      <c r="U5" s="46">
        <f t="shared" ca="1" si="7"/>
        <v>2.1479775663605554</v>
      </c>
      <c r="V5" s="46">
        <f t="shared" ca="1" si="8"/>
        <v>2.3510298882520995</v>
      </c>
      <c r="W5" s="37">
        <f t="shared" ca="1" si="9"/>
        <v>1.8527481219450503</v>
      </c>
      <c r="X5" s="37">
        <f t="shared" ca="1" si="10"/>
        <v>2.8241040382944553</v>
      </c>
      <c r="Y5" s="37">
        <f t="shared" ca="1" si="11"/>
        <v>1.8527481219450503</v>
      </c>
      <c r="Z5" s="37">
        <f t="shared" ca="1" si="12"/>
        <v>2.8415585460909836</v>
      </c>
      <c r="AA5" s="37">
        <f t="shared" ca="1" si="13"/>
        <v>5.5415213309794389</v>
      </c>
      <c r="AB5" s="37">
        <f t="shared" ca="1" si="14"/>
        <v>1.4207792730454918</v>
      </c>
      <c r="AC5" s="37">
        <f t="shared" ca="1" si="15"/>
        <v>2.0564478757119748</v>
      </c>
      <c r="AD5" s="37">
        <f t="shared" ca="1" si="16"/>
        <v>2.0816068419038602</v>
      </c>
      <c r="AE5" s="37">
        <f t="shared" ca="1" si="17"/>
        <v>4.0065199222981338</v>
      </c>
      <c r="AF5" s="37">
        <f t="shared" ca="1" si="18"/>
        <v>1.0408034209519301</v>
      </c>
      <c r="AG5" s="37">
        <f t="shared" ca="1" si="19"/>
        <v>3.3266068577693715</v>
      </c>
      <c r="AH5" s="37">
        <f t="shared" ca="1" si="20"/>
        <v>5.0981996245010839</v>
      </c>
      <c r="AI5" s="37">
        <f t="shared" ca="1" si="21"/>
        <v>2.3988963211478378</v>
      </c>
      <c r="AJ5" s="37">
        <f t="shared" ca="1" si="22"/>
        <v>1.2093340622735664</v>
      </c>
      <c r="AK5" s="37">
        <f t="shared" ca="1" si="23"/>
        <v>2.08241454261591</v>
      </c>
      <c r="AL5" s="37">
        <f t="shared" ca="1" si="24"/>
        <v>4.1783070835584972</v>
      </c>
      <c r="AM5" s="37">
        <f t="shared" ca="1" si="25"/>
        <v>4.1024603752963023</v>
      </c>
      <c r="AN5" s="37">
        <f t="shared" ca="1" si="26"/>
        <v>0.42443406227356634</v>
      </c>
      <c r="AO5" s="37">
        <f t="shared" ca="1" si="27"/>
        <v>0.65995814332207836</v>
      </c>
      <c r="AP5" s="37">
        <f t="shared" ca="1" si="28"/>
        <v>1.4962107593644487</v>
      </c>
      <c r="AQ5" s="37">
        <f t="shared" ca="1" si="29"/>
        <v>3.2916636706017863</v>
      </c>
      <c r="AR5" s="37">
        <f t="shared" ca="1" si="30"/>
        <v>0.74810537968222435</v>
      </c>
      <c r="AS5" s="37">
        <f t="shared" ca="1" si="31"/>
        <v>6.8359961364445905</v>
      </c>
      <c r="AT5" s="37">
        <f t="shared" ca="1" si="32"/>
        <v>0.4603977730273271</v>
      </c>
      <c r="AU5" s="37">
        <f t="shared" ca="1" si="33"/>
        <v>1.1055842684954942</v>
      </c>
      <c r="AV5" s="37">
        <f t="shared" ca="1" si="34"/>
        <v>0.23019888651366355</v>
      </c>
      <c r="AW5" s="37">
        <f t="shared" ca="1" si="35"/>
        <v>1.047347531555114</v>
      </c>
      <c r="AX5" s="37">
        <f t="shared" ca="1" si="36"/>
        <v>2.2166085323917755</v>
      </c>
      <c r="AY5" s="37">
        <f t="shared" ca="1" si="37"/>
        <v>0.52367376577755698</v>
      </c>
      <c r="AZ5" s="37">
        <f t="shared" ca="1" si="38"/>
        <v>7.2415213309794391</v>
      </c>
      <c r="BA5" s="37">
        <f t="shared" ca="1" si="39"/>
        <v>0.89600489673779804</v>
      </c>
      <c r="BB5" s="37">
        <f t="shared" ca="1" si="40"/>
        <v>2.0338226978141156</v>
      </c>
      <c r="BC5" s="37">
        <f t="shared" ca="1" si="41"/>
        <v>0.44800244836889902</v>
      </c>
      <c r="BD5" s="37">
        <f t="shared" ca="1" si="42"/>
        <v>1.6125827073150165</v>
      </c>
      <c r="BE5" s="37">
        <f t="shared" ca="1" si="43"/>
        <v>1.9284494231808447</v>
      </c>
      <c r="BF5" s="37">
        <f t="shared" ca="1" si="44"/>
        <v>6.3797802925928861</v>
      </c>
      <c r="BG5" s="37">
        <f t="shared" ca="1" si="45"/>
        <v>3.1484124632407209</v>
      </c>
      <c r="BH5" s="37">
        <f t="shared" ca="1" si="46"/>
        <v>0.85350664076604477</v>
      </c>
      <c r="BI5" s="37">
        <f t="shared" ca="1" si="47"/>
        <v>2.6876378455250278</v>
      </c>
      <c r="BJ5" s="37">
        <f t="shared" ca="1" si="48"/>
        <v>1.4629616313785718</v>
      </c>
      <c r="BK5" s="37">
        <f t="shared" ca="1" si="49"/>
        <v>2.7590196271031662</v>
      </c>
      <c r="BL5" s="37">
        <f t="shared" ca="1" si="50"/>
        <v>3.0952896432760295</v>
      </c>
      <c r="BM5" s="37">
        <f t="shared" ca="1" si="51"/>
        <v>0.18415910921093082</v>
      </c>
      <c r="BN5" s="37">
        <f t="shared" ca="1" si="52"/>
        <v>0.99747383957629898</v>
      </c>
      <c r="BO5" s="37">
        <f t="shared" ca="1" si="53"/>
        <v>0.37682345050660188</v>
      </c>
      <c r="BP5" s="37">
        <f t="shared" ca="1" si="54"/>
        <v>2.2086640059487288</v>
      </c>
      <c r="BQ5" s="37">
        <f t="shared" ca="1" si="55"/>
        <v>4.5543964316395584</v>
      </c>
      <c r="BR5" s="37">
        <f t="shared" ca="1" si="56"/>
        <v>0.47810537968222427</v>
      </c>
      <c r="BS5" s="37">
        <f t="shared" ca="1" si="57"/>
        <v>1.5737920579981606</v>
      </c>
      <c r="BT5" s="37">
        <f t="shared" ca="1" si="58"/>
        <v>1.3521312047589831</v>
      </c>
      <c r="BU5" s="37">
        <f t="shared" ca="1" si="59"/>
        <v>4.5693999598480257</v>
      </c>
      <c r="BV5" s="37">
        <f t="shared" ca="1" si="60"/>
        <v>3.169661591226598</v>
      </c>
      <c r="BW5" s="37">
        <f t="shared" ca="1" si="61"/>
        <v>0.52414515698495689</v>
      </c>
      <c r="BX5" s="37">
        <f t="shared" ca="1" si="62"/>
        <v>2.9400576603776525</v>
      </c>
      <c r="BY5" s="37">
        <f t="shared" ca="1" si="63"/>
        <v>1.8949918726995472</v>
      </c>
      <c r="BZ5" s="37">
        <f t="shared" ca="1" si="64"/>
        <v>4.2166345001643304</v>
      </c>
      <c r="CA5" s="37">
        <f t="shared" ca="1" si="65"/>
        <v>1.8949918726995472</v>
      </c>
      <c r="CB5" s="37">
        <f t="shared" ca="1" si="66"/>
        <v>2.364190011422413</v>
      </c>
      <c r="CC5" s="37">
        <f t="shared" ca="1" si="67"/>
        <v>5.240935294703446</v>
      </c>
      <c r="CD5" s="37">
        <f t="shared" ca="1" si="68"/>
        <v>2.364190011422413</v>
      </c>
      <c r="CE5" s="37">
        <f t="shared" ca="1" si="69"/>
        <v>1.8103803327448598</v>
      </c>
    </row>
    <row r="6" spans="1:83" x14ac:dyDescent="0.25">
      <c r="A6" t="str">
        <f>PLANTILLA!D7</f>
        <v>Valeri Gomis</v>
      </c>
      <c r="B6">
        <f>PLANTILLA!E7</f>
        <v>18</v>
      </c>
      <c r="C6" s="33">
        <f ca="1">PLANTILLA!F7</f>
        <v>0</v>
      </c>
      <c r="D6" s="220" t="str">
        <f>PLANTILLA!G7</f>
        <v>IMP</v>
      </c>
      <c r="E6" s="30">
        <f>PLANTILLA!M7</f>
        <v>43051</v>
      </c>
      <c r="F6" s="47">
        <f>PLANTILLA!Q7</f>
        <v>5</v>
      </c>
      <c r="G6" s="48">
        <f t="shared" si="1"/>
        <v>0.84515425472851657</v>
      </c>
      <c r="H6" s="48">
        <f t="shared" si="2"/>
        <v>0.92504826128926143</v>
      </c>
      <c r="I6" s="51">
        <f t="shared" ca="1" si="3"/>
        <v>0.53729924268555984</v>
      </c>
      <c r="J6" s="39">
        <f>PLANTILLA!I7</f>
        <v>1.5</v>
      </c>
      <c r="K6" s="46">
        <f>PLANTILLA!X7</f>
        <v>0</v>
      </c>
      <c r="L6" s="46">
        <f>PLANTILLA!Y7</f>
        <v>6</v>
      </c>
      <c r="M6" s="46">
        <f>PLANTILLA!Z7</f>
        <v>3</v>
      </c>
      <c r="N6" s="46">
        <f>PLANTILLA!AA7</f>
        <v>3</v>
      </c>
      <c r="O6" s="46">
        <f>PLANTILLA!AB7</f>
        <v>6.0000000000000009</v>
      </c>
      <c r="P6" s="46">
        <f>PLANTILLA!AC7</f>
        <v>5.66</v>
      </c>
      <c r="Q6" s="46">
        <f>PLANTILLA!AD7</f>
        <v>3</v>
      </c>
      <c r="R6" s="46">
        <f t="shared" ref="R6:R17" si="70">((2*(O6+1))+(L6+1))/8</f>
        <v>2.625</v>
      </c>
      <c r="S6" s="46">
        <f t="shared" ref="S6:S17" si="71">(0.5*P6+ 0.3*Q6)/10</f>
        <v>0.373</v>
      </c>
      <c r="T6" s="46">
        <f t="shared" ref="T6:T17" si="72">(0.4*L6+0.3*Q6)/10</f>
        <v>0.33</v>
      </c>
      <c r="U6" s="46">
        <f t="shared" ref="U6:U17" ca="1" si="73">IF(TODAY()-E6&gt;335,(Q6+1+(LOG(J6)*4/3))*(F6/7)^0.5,(Q6+((TODAY()-E6)^0.5)/(336^0.5)+(LOG(J6)*4/3))*(F6/7)^0.5)</f>
        <v>3.1879958742855408</v>
      </c>
      <c r="V6" s="46">
        <f t="shared" ref="V6:V17" ca="1" si="74">IF(F6=7,U6,IF(TODAY()-E6&gt;335,(Q6+1+(LOG(J6)*4/3))*((F6+0.99)/7)^0.5,(Q6+((TODAY()-E6)^0.5)/(336^0.5)+(LOG(J6)*4/3))*((F6+0.99)/7)^0.5))</f>
        <v>3.489363064796358</v>
      </c>
      <c r="W6" s="37">
        <f t="shared" ref="W6:W17" ca="1" si="75">IF(TODAY()-E6&gt;335,((K6+1+(LOG(J6)*4/3))*0.597)+((L6+1+(LOG(J6)*4/3))*0.276),((K6+(((TODAY()-E6)^0.5)/(336^0.5))+(LOG(J6)*4/3))*0.597)+((L6+(((TODAY()-E6)^0.5)/(336^0.5))+(LOG(J6)*4/3))*0.276))</f>
        <v>2.3300324644053068</v>
      </c>
      <c r="X6" s="37">
        <f t="shared" ref="X6:X17" ca="1" si="76">IF(TODAY()-E6&gt;335,((K6+1+(LOG(J6)*4/3))*0.866)+((L6+1+(LOG(J6)*4/3))*0.425),((K6+(((TODAY()-E6)^0.5)/(336^0.5))+(LOG(J6)*4/3))*0.866)+((L6+(((TODAY()-E6)^0.5)/(336^0.5))+(LOG(J6)*4/3))*0.425))</f>
        <v>3.5467650762282368</v>
      </c>
      <c r="Y6" s="37">
        <f t="shared" ref="Y6:Y17" ca="1" si="77">W6</f>
        <v>2.3300324644053068</v>
      </c>
      <c r="Z6" s="37">
        <f t="shared" ref="Z6:Z17" ca="1" si="78">IF(TODAY()-E6&gt;335,((L6+1+(LOG(J6)*4/3))*0.516),((L6+(((TODAY()-E6)^0.5)/(336^0.516))+(LOG(J6)*4/3))*0.516))</f>
        <v>3.4697572746669194</v>
      </c>
      <c r="AA6" s="37">
        <f t="shared" ref="AA6:AA17" ca="1" si="79">IF(TODAY()-E6&gt;335,((L6+1+(LOG(J6)*4/3))*1),((L6+(((TODAY()-E6)^0.5)/(336^0.5))+(LOG(J6)*4/3))*1))</f>
        <v>6.7720875880931342</v>
      </c>
      <c r="AB6" s="37">
        <f t="shared" ref="AB6:AB17" ca="1" si="80">Z6/2</f>
        <v>1.7348786373334597</v>
      </c>
      <c r="AC6" s="37">
        <f t="shared" ref="AC6:AC17" ca="1" si="81">IF(TODAY()-E6&gt;335,((M6+1+(LOG(J6)*4/3))*0.238),((M6+(((TODAY()-E6)^0.5)/(336^0.238))+(LOG(J6)*4/3))*0.238))</f>
        <v>1.3569552877657811</v>
      </c>
      <c r="AD6" s="37">
        <f t="shared" ref="AD6:AD17" ca="1" si="82">IF(TODAY()-E6&gt;335,((L6+1+(LOG(J6)*4/3))*0.378),((L6+(((TODAY()-E6)^0.5)/(336^0.516))+(LOG(J6)*4/3))*0.378))</f>
        <v>2.5417989337676272</v>
      </c>
      <c r="AE6" s="37">
        <f t="shared" ref="AE6:AE17" ca="1" si="83">IF(TODAY()-E6&gt;335,((L6+1+(LOG(J6)*4/3))*0.723),((L6+(((TODAY()-E6)^0.5)/(336^0.5))+(LOG(J6)*4/3))*0.723))</f>
        <v>4.8962193261913356</v>
      </c>
      <c r="AF6" s="37">
        <f t="shared" ref="AF6:AF17" ca="1" si="84">AD6/2</f>
        <v>1.2708994668838136</v>
      </c>
      <c r="AG6" s="37">
        <f t="shared" ref="AG6:AG17" ca="1" si="85">IF(TODAY()-E6&gt;335,((M6+1+(LOG(J6)*4/3))*0.385),((M6+(((TODAY()-E6)^0.5)/(336^0.238))+(LOG(J6)*4/3))*0.385))</f>
        <v>2.1950747302093521</v>
      </c>
      <c r="AH6" s="37">
        <f t="shared" ref="AH6:AH17" ca="1" si="86">IF(TODAY()-E6&gt;335,((L6+1+(LOG(J6)*4/3))*0.92),((L6+(((TODAY()-E6)^0.5)/(336^0.5))+(LOG(J6)*4/3))*0.92))</f>
        <v>6.2303205810456834</v>
      </c>
      <c r="AI6" s="37">
        <f t="shared" ref="AI6:AI17" ca="1" si="87">IF(TODAY()-E6&gt;335,((L6+1+(LOG(J6)*4/3))*0.414),((L6+(((TODAY()-E6)^0.5)/(336^0.414))+(LOG(J6)*4/3))*0.414))</f>
        <v>2.9480466513367838</v>
      </c>
      <c r="AJ6" s="37">
        <f t="shared" ref="AJ6:AJ17" ca="1" si="88">IF(TODAY()-E6&gt;335,((M6+1+(LOG(J6)*4/3))*0.167),((M6+(((TODAY()-E6)^0.5)/(336^0.5))+(LOG(J6)*4/3))*0.167))</f>
        <v>0.62993862721155347</v>
      </c>
      <c r="AK6" s="37">
        <f t="shared" ref="AK6:AK17" ca="1" si="89">IF(TODAY()-E6&gt;335,((N6+1+(LOG(J6)*4/3))*0.588),((N6+(((TODAY()-E6)^0.5)/(336^0.5))+(LOG(J6)*4/3))*0.588))</f>
        <v>2.2179875017987629</v>
      </c>
      <c r="AL6" s="37">
        <f t="shared" ref="AL6:AL17" ca="1" si="90">IF(TODAY()-E6&gt;335,((L6+1+(LOG(J6)*4/3))*0.754),((L6+(((TODAY()-E6)^0.5)/(336^0.5))+(LOG(J6)*4/3))*0.754))</f>
        <v>5.1061540414222231</v>
      </c>
      <c r="AM6" s="37">
        <f t="shared" ref="AM6:AM17" ca="1" si="91">IF(TODAY()-E6&gt;335,((L6+1+(LOG(J6)*4/3))*0.708),((L6+(((TODAY()-E6)^0.5)/(336^0.414))+(LOG(J6)*4/3))*0.708))</f>
        <v>5.0415870269237759</v>
      </c>
      <c r="AN6" s="37">
        <f t="shared" ref="AN6:AN17" ca="1" si="92">IF(TODAY()-E6&gt;335,((Q6+1+(LOG(J6)*4/3))*0.167),((Q6+(((TODAY()-E6)^0.5)/(336^0.5))+(LOG(J6)*4/3))*0.167))</f>
        <v>0.62993862721155347</v>
      </c>
      <c r="AO6" s="37">
        <f t="shared" ref="AO6:AO17" ca="1" si="93">IF(TODAY()-E6&gt;335,((R6+1+(LOG(J6)*4/3))*0.288),((R6+(((TODAY()-E6)^0.5)/(336^0.5))+(LOG(J6)*4/3))*0.288))</f>
        <v>0.97836122537082271</v>
      </c>
      <c r="AP6" s="37">
        <f t="shared" ref="AP6:AP17" ca="1" si="94">IF(TODAY()-E6&gt;335,((L6+1+(LOG(J6)*4/3))*0.27),((L6+(((TODAY()-E6)^0.5)/(336^0.5))+(LOG(J6)*4/3))*0.27))</f>
        <v>1.8284636487851464</v>
      </c>
      <c r="AQ6" s="37">
        <f t="shared" ref="AQ6:AQ17" ca="1" si="95">IF(TODAY()-E6&gt;335,((L6+1+(LOG(J6)*4/3))*0.594),((L6+(((TODAY()-E6)^0.5)/(336^0.5))+(LOG(J6)*4/3))*0.594))</f>
        <v>4.0226200273273216</v>
      </c>
      <c r="AR6" s="37">
        <f t="shared" ref="AR6:AR17" ca="1" si="96">AP6/2</f>
        <v>0.91423182439257322</v>
      </c>
      <c r="AS6" s="37">
        <f t="shared" ref="AS6:AS17" ca="1" si="97">IF(TODAY()-E6&gt;335,((M6+1+(LOG(J6)*4/3))*0.944),((M6+(((TODAY()-E6)^0.5)/(336^0.5))+(LOG(J6)*4/3))*0.944))</f>
        <v>3.5608506831599187</v>
      </c>
      <c r="AT6" s="37">
        <f t="shared" ref="AT6:AT17" ca="1" si="98">IF(TODAY()-E6&gt;335,((O6+1+(LOG(J6)*4/3))*0.13),((O6+(((TODAY()-E6)^0.5)/(336^0.5))+(LOG(J6)*4/3))*0.13))</f>
        <v>0.88037138645210766</v>
      </c>
      <c r="AU6" s="37">
        <f t="shared" ref="AU6:AU17" ca="1" si="99">IF(TODAY()-E6&gt;335,((P6+1+(LOG(J6)*4/3))*0.173)+((O6+1+(LOG(J6)*4/3))*0.12),((P6+(((TODAY()-E6)^0.5)/(336^0.5))+(LOG(J6)*4/3))*0.173)+((O6+(((TODAY()-E6)^0.5)/(336^0.5))+(LOG(J6)*4/3))*0.12))</f>
        <v>1.9254016633112885</v>
      </c>
      <c r="AV6" s="37">
        <f t="shared" ref="AV6:AV17" ca="1" si="100">AT6/2</f>
        <v>0.44018569322605383</v>
      </c>
      <c r="AW6" s="37">
        <f t="shared" ref="AW6:AW17" ca="1" si="101">IF(TODAY()-E6&gt;335,((L6+1+(LOG(J6)*4/3))*0.189),((L6+(((TODAY()-E6)^0.5)/(336^0.5))+(LOG(J6)*4/3))*0.189))</f>
        <v>1.2799245541496023</v>
      </c>
      <c r="AX6" s="37">
        <f t="shared" ref="AX6:AX17" ca="1" si="102">IF(TODAY()-E6&gt;335,((L6+1+(LOG(J6)*4/3))*0.4),((L6+(((TODAY()-E6)^0.5)/(336^0.5))+(LOG(J6)*4/3))*0.4))</f>
        <v>2.7088350352372537</v>
      </c>
      <c r="AY6" s="37">
        <f t="shared" ref="AY6:AY17" ca="1" si="103">AW6/2</f>
        <v>0.63996227707480113</v>
      </c>
      <c r="AZ6" s="37">
        <f t="shared" ref="AZ6:AZ17" ca="1" si="104">IF(TODAY()-E6&gt;335,((M6+1+(LOG(J6)*4/3))*1),((M6+(((TODAY()-E6)^0.5)/(336^0.5))+(LOG(J6)*4/3))*1))</f>
        <v>3.7720875880931346</v>
      </c>
      <c r="BA6" s="37">
        <f t="shared" ref="BA6:BA17" ca="1" si="105">IF(TODAY()-E6&gt;335,((O6+1+(LOG(J6)*4/3))*0.253),((O6+(((TODAY()-E6)^0.5)/(336^0.5))+(LOG(J6)*4/3))*0.253))</f>
        <v>1.7133381597875634</v>
      </c>
      <c r="BB6" s="37">
        <f t="shared" ref="BB6:BB17" ca="1" si="106">IF(TODAY()-E6&gt;335,((P6+1+(LOG(J6)*4/3))*0.21)+((O6+1+(LOG(J6)*4/3))*0.341),((P6+(((TODAY()-E6)^0.5)/(336^0.5))+(LOG(J6)*4/3))*0.21)+((O6+(((TODAY()-E6)^0.5)/(336^0.5))+(LOG(J6)*4/3))*0.341))</f>
        <v>3.6600202610393175</v>
      </c>
      <c r="BC6" s="37">
        <f t="shared" ref="BC6:BC17" ca="1" si="107">BA6/2</f>
        <v>0.85666907989378172</v>
      </c>
      <c r="BD6" s="37">
        <f t="shared" ref="BD6:BD17" ca="1" si="108">IF(TODAY()-E6&gt;335,((L6+1+(LOG(J6)*4/3))*0.291),((L6+(((TODAY()-E6)^0.5)/(336^0.5))+(LOG(J6)*4/3))*0.291))</f>
        <v>1.9706774881351019</v>
      </c>
      <c r="BE6" s="37">
        <f t="shared" ref="BE6:BE17" ca="1" si="109">IF(TODAY()-E6&gt;335,((L6+1+(LOG(J6)*4/3))*0.348),((L6+(((TODAY()-E6)^0.5)/(336^0.5))+(LOG(J6)*4/3))*0.348))</f>
        <v>2.3566864806564105</v>
      </c>
      <c r="BF6" s="37">
        <f t="shared" ref="BF6:BF17" ca="1" si="110">IF(TODAY()-E6&gt;335,((M6+1+(LOG(J6)*4/3))*0.881),((M6+(((TODAY()-E6)^0.5)/(336^0.5))+(LOG(J6)*4/3))*0.881))</f>
        <v>3.3232091651100517</v>
      </c>
      <c r="BG6" s="37">
        <f t="shared" ref="BG6:BG17" ca="1" si="111">IF(TODAY()-E6&gt;335,((N6+1+(LOG(J6)*4/3))*0.574)+((O6+1+(LOG(J6)*4/3))*0.315),((N6+(((TODAY()-E6)^0.5)/(336^0.5))+(LOG(J6)*4/3))*0.574)+((O6+(((TODAY()-E6)^0.5)/(336^0.5))+(LOG(J6)*4/3))*0.315))</f>
        <v>4.2983858658147973</v>
      </c>
      <c r="BH6" s="37">
        <f t="shared" ref="BH6:BH17" ca="1" si="112">IF(TODAY()-E6&gt;335,((O6+1+(LOG(J6)*4/3))*0.241),((O6+(((TODAY()-E6)^0.5)/(336^0.5))+(LOG(J6)*4/3))*0.241))</f>
        <v>1.6320731087304456</v>
      </c>
      <c r="BI6" s="37">
        <f t="shared" ref="BI6:BI17" ca="1" si="113">IF(TODAY()-E6&gt;335,((L6+1+(LOG(J6)*4/3))*0.485),((L6+(((TODAY()-E6)^0.5)/(336^0.5))+(LOG(J6)*4/3))*0.485))</f>
        <v>3.2844624802251698</v>
      </c>
      <c r="BJ6" s="37">
        <f t="shared" ref="BJ6:BJ17" ca="1" si="114">IF(TODAY()-E6&gt;335,((L6+1+(LOG(J6)*4/3))*0.264),((L6+(((TODAY()-E6)^0.5)/(336^0.5))+(LOG(J6)*4/3))*0.264))</f>
        <v>1.7878311232565876</v>
      </c>
      <c r="BK6" s="37">
        <f t="shared" ref="BK6:BK17" ca="1" si="115">IF(TODAY()-E6&gt;335,((M6+1+(LOG(J6)*4/3))*0.381),((M6+(((TODAY()-E6)^0.5)/(336^0.5))+(LOG(J6)*4/3))*0.381))</f>
        <v>1.4371653710634844</v>
      </c>
      <c r="BL6" s="37">
        <f t="shared" ref="BL6:BL17" ca="1" si="116">IF(TODAY()-E6&gt;335,((N6+1+(LOG(J6)*4/3))*0.673)+((O6+1+(LOG(J6)*4/3))*0.201),((N6+(((TODAY()-E6)^0.5)/(336^0.5))+(LOG(J6)*4/3))*0.673)+((O6+(((TODAY()-E6)^0.5)/(336^0.5))+(LOG(J6)*4/3))*0.201))</f>
        <v>3.8998045519933999</v>
      </c>
      <c r="BM6" s="37">
        <f t="shared" ref="BM6:BM17" ca="1" si="117">IF(TODAY()-E6&gt;335,((O6+1+(LOG(J6)*4/3))*0.052),((O6+(((TODAY()-E6)^0.5)/(336^0.5))+(LOG(J6)*4/3))*0.052))</f>
        <v>0.35214855458084304</v>
      </c>
      <c r="BN6" s="37">
        <f t="shared" ref="BN6:BN17" ca="1" si="118">IF(TODAY()-E6&gt;335,((L6+1+(LOG(J6)*4/3))*0.18),((L6+(((TODAY()-E6)^0.5)/(336^0.5))+(LOG(J6)*4/3))*0.18))</f>
        <v>1.2189757658567641</v>
      </c>
      <c r="BO6" s="37">
        <f t="shared" ref="BO6:BO17" ca="1" si="119">IF(TODAY()-E6&gt;335,((L6+1+(LOG(J6)*4/3))*0.068),((L6+(((TODAY()-E6)^0.5)/(336^0.5))+(LOG(J6)*4/3))*0.068))</f>
        <v>0.46050195599033317</v>
      </c>
      <c r="BP6" s="37">
        <f t="shared" ref="BP6:BP17" ca="1" si="120">IF(TODAY()-E6&gt;335,((M6+1+(LOG(J6)*4/3))*0.305),((M6+(((TODAY()-E6)^0.5)/(336^0.5))+(LOG(J6)*4/3))*0.305))</f>
        <v>1.1504867143684061</v>
      </c>
      <c r="BQ6" s="37">
        <f t="shared" ref="BQ6:BQ17" ca="1" si="121">IF(TODAY()-E6&gt;335,((N6+1+(LOG(J6)*4/3))*1)+((O6+1+(LOG(J6)*4/3))*0.286),((N6+(((TODAY()-E6)^0.5)/(336^0.5))+(LOG(J6)*4/3))*1)+((O6+(((TODAY()-E6)^0.5)/(336^0.5))+(LOG(J6)*4/3))*0.286))</f>
        <v>5.7089046382877715</v>
      </c>
      <c r="BR6" s="37">
        <f t="shared" ref="BR6:BR17" ca="1" si="122">IF(TODAY()-E6&gt;335,((O6+1+(LOG(J6)*4/3))*0.135),((O6+(((TODAY()-E6)^0.5)/(336^0.5))+(LOG(J6)*4/3))*0.135))</f>
        <v>0.91423182439257344</v>
      </c>
      <c r="BS6" s="37">
        <f t="shared" ref="BS6:BS17" ca="1" si="123">IF(TODAY()-E6&gt;335,((L6+1+(LOG(J6)*4/3))*0.284),((L6+(((TODAY()-E6)^0.5)/(336^0.5))+(LOG(J6)*4/3))*0.284))</f>
        <v>1.92327287501845</v>
      </c>
      <c r="BT6" s="37">
        <f t="shared" ref="BT6:BT17" ca="1" si="124">IF(TODAY()-E6&gt;335,((L6+1+(LOG(J6)*4/3))*0.244),((L6+(((TODAY()-E6)^0.5)/(336^0.5))+(LOG(J6)*4/3))*0.244))</f>
        <v>1.6523893714947246</v>
      </c>
      <c r="BU6" s="37">
        <f t="shared" ref="BU6:BU17" ca="1" si="125">IF(TODAY()-E6&gt;335,((M6+1+(LOG(J6)*4/3))*0.631),((M6+(((TODAY()-E6)^0.5)/(336^0.5))+(LOG(J6)*4/3))*0.631))</f>
        <v>2.3801872680867682</v>
      </c>
      <c r="BV6" s="37">
        <f t="shared" ref="BV6:BV17" ca="1" si="126">IF(TODAY()-E6&gt;335,((N6+1+(LOG(J6)*4/3))*0.702)+((O6+1+(LOG(J6)*4/3))*0.193),((N6+(((TODAY()-E6)^0.5)/(336^0.5))+(LOG(J6)*4/3))*0.702)+((O6+(((TODAY()-E6)^0.5)/(336^0.5))+(LOG(J6)*4/3))*0.193))</f>
        <v>3.9550183913433559</v>
      </c>
      <c r="BW6" s="37">
        <f t="shared" ref="BW6:BW17" ca="1" si="127">IF(TODAY()-E6&gt;335,((O6+1+(LOG(J6)*4/3))*0.148),((O6+(((TODAY()-E6)^0.5)/(336^0.5))+(LOG(J6)*4/3))*0.148))</f>
        <v>1.0022689630377841</v>
      </c>
      <c r="BX6" s="37">
        <f t="shared" ref="BX6:BX17" ca="1" si="128">IF(TODAY()-E6&gt;335,((M6+1+(LOG(J6)*4/3))*0.406),((M6+(((TODAY()-E6)^0.5)/(336^0.5))+(LOG(J6)*4/3))*0.406))</f>
        <v>1.5314675607658128</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3.0530776333965233</v>
      </c>
      <c r="BZ6" s="37">
        <f t="shared" ref="BZ6:BZ17" ca="1" si="130">IF(D6="TEC",IF(TODAY()-E6&gt;335,((O6+1+(LOG(J6)*4/3))*0.543)+((P6+1+(LOG(J6)*4/3))*0.583),((O6+(((TODAY()-E6)^0.5)/(336^0.5))+(LOG(J6)*4/3))*0.543)+((P6+(((TODAY()-E6)^0.5)/(336^0.5))+(LOG(J6)*4/3))*0.583)),IF(TODAY()-E6&gt;335,((O6+1+(LOG(J6)*4/3))*0.543)+((P6+1+(LOG(J6)*4/3))*0.583),((O6+(((TODAY()-E6)^0.5)/(336^0.5))+(LOG(J6)*4/3))*0.543)+((P6+(((TODAY()-E6)^0.5)/(336^0.5))+(LOG(J6)*4/3))*0.583)))</f>
        <v>7.4271506241928709</v>
      </c>
      <c r="CA6" s="37">
        <f t="shared" ref="CA6:CA17" ca="1" si="131">BY6</f>
        <v>3.0530776333965233</v>
      </c>
      <c r="CB6" s="37">
        <f t="shared" ref="CB6:CB17" ca="1" si="132">IF(TODAY()-E6&gt;335,((P6+1+(LOG(J6)*4/3))*0.26)+((N6+1+(LOG(J6)*4/3))*0.221)+((O6+1+(LOG(J6)*4/3))*0.142),((P6+(((TODAY()-E6)^0.5)/(336^0.5))+(LOG(J6)*4/3))*0.26)+((N6+(((TODAY()-E6)^0.5)/(336^0.5))+(LOG(J6)*4/3))*0.221)+((P6+(((TODAY()-E6)^0.5)/(336^0.5))+(LOG(J6)*4/3))*0.142))</f>
        <v>3.4193305673820231</v>
      </c>
      <c r="CC6" s="37">
        <f t="shared" ref="CC6:CC17" ca="1" si="133">IF(TODAY()-E6&gt;335,((P6+1+(LOG(J6)*4/3))*1)+((O6+1+(LOG(J6)*4/3))*0.369),((P6+(((TODAY()-E6)^0.5)/(336^0.5))+(LOG(J6)*4/3))*1)+((O6+(((TODAY()-E6)^0.5)/(336^0.5))+(LOG(J6)*4/3))*0.369))</f>
        <v>8.9309879080995014</v>
      </c>
      <c r="CD6" s="37">
        <f t="shared" ref="CD6:CD17" ca="1" si="134">CB6</f>
        <v>3.4193305673820231</v>
      </c>
      <c r="CE6" s="37">
        <f t="shared" ref="CE6:CE17" ca="1" si="135">IF(TODAY()-E6&gt;335,((M6+1+(LOG(J6)*4/3))*0.25),((M6+(((TODAY()-E6)^0.5)/(336^0.5))+(LOG(J6)*4/3))*0.25))</f>
        <v>0.94302189702328365</v>
      </c>
    </row>
    <row r="7" spans="1:83" x14ac:dyDescent="0.25">
      <c r="A7" t="str">
        <f>PLANTILLA!D8</f>
        <v>J. G. de Minaya</v>
      </c>
      <c r="B7">
        <f>PLANTILLA!E8</f>
        <v>18</v>
      </c>
      <c r="C7" s="33">
        <f ca="1">PLANTILLA!F8</f>
        <v>10</v>
      </c>
      <c r="D7" s="220" t="str">
        <f>PLANTILLA!G8</f>
        <v>TEC</v>
      </c>
      <c r="E7" s="30">
        <f>PLANTILLA!M8</f>
        <v>43081</v>
      </c>
      <c r="F7" s="47">
        <f>PLANTILLA!Q8</f>
        <v>7</v>
      </c>
      <c r="G7" s="48">
        <f t="shared" si="1"/>
        <v>1</v>
      </c>
      <c r="H7" s="48">
        <f t="shared" si="2"/>
        <v>1</v>
      </c>
      <c r="I7" s="51">
        <f t="shared" ca="1" si="3"/>
        <v>0.44654760317883463</v>
      </c>
      <c r="J7" s="39">
        <f>PLANTILLA!I8</f>
        <v>1.7</v>
      </c>
      <c r="K7" s="46">
        <f>PLANTILLA!X8</f>
        <v>0</v>
      </c>
      <c r="L7" s="46">
        <f>PLANTILLA!Y8</f>
        <v>6</v>
      </c>
      <c r="M7" s="46">
        <f>PLANTILLA!Z8</f>
        <v>5</v>
      </c>
      <c r="N7" s="46">
        <f>PLANTILLA!AA8</f>
        <v>6</v>
      </c>
      <c r="O7" s="46">
        <f>PLANTILLA!AB8</f>
        <v>6.2</v>
      </c>
      <c r="P7" s="46">
        <f>PLANTILLA!AC8</f>
        <v>6.75</v>
      </c>
      <c r="Q7" s="46">
        <f>PLANTILLA!AD8</f>
        <v>0</v>
      </c>
      <c r="R7" s="46">
        <f t="shared" si="70"/>
        <v>2.6749999999999998</v>
      </c>
      <c r="S7" s="46">
        <f t="shared" si="71"/>
        <v>0.33750000000000002</v>
      </c>
      <c r="T7" s="46">
        <f t="shared" si="72"/>
        <v>0.24000000000000005</v>
      </c>
      <c r="U7" s="46">
        <f t="shared" ca="1" si="73"/>
        <v>0.75381283168319979</v>
      </c>
      <c r="V7" s="46">
        <f t="shared" ca="1" si="74"/>
        <v>0.75381283168319979</v>
      </c>
      <c r="W7" s="37">
        <f t="shared" ca="1" si="75"/>
        <v>2.3140786020594337</v>
      </c>
      <c r="X7" s="37">
        <f t="shared" ca="1" si="76"/>
        <v>3.5231723657030107</v>
      </c>
      <c r="Y7" s="37">
        <f t="shared" ca="1" si="77"/>
        <v>2.3140786020594337</v>
      </c>
      <c r="Z7" s="37">
        <f t="shared" ca="1" si="78"/>
        <v>3.4644892654081461</v>
      </c>
      <c r="AA7" s="37">
        <f t="shared" ca="1" si="79"/>
        <v>6.7538128316831996</v>
      </c>
      <c r="AB7" s="37">
        <f t="shared" ca="1" si="80"/>
        <v>1.732244632704073</v>
      </c>
      <c r="AC7" s="37">
        <f t="shared" ca="1" si="81"/>
        <v>1.7510457427722796</v>
      </c>
      <c r="AD7" s="37">
        <f t="shared" ca="1" si="82"/>
        <v>2.5379398107059674</v>
      </c>
      <c r="AE7" s="37">
        <f t="shared" ca="1" si="83"/>
        <v>4.8830066773069527</v>
      </c>
      <c r="AF7" s="37">
        <f t="shared" ca="1" si="84"/>
        <v>1.2689699053529837</v>
      </c>
      <c r="AG7" s="37">
        <f t="shared" ca="1" si="85"/>
        <v>2.8325739956610407</v>
      </c>
      <c r="AH7" s="37">
        <f t="shared" ca="1" si="86"/>
        <v>6.2135078051485442</v>
      </c>
      <c r="AI7" s="37">
        <f t="shared" ca="1" si="87"/>
        <v>2.916090855468044</v>
      </c>
      <c r="AJ7" s="37">
        <f t="shared" ca="1" si="88"/>
        <v>0.96088674289109444</v>
      </c>
      <c r="AK7" s="37">
        <f t="shared" ca="1" si="89"/>
        <v>3.9712419450297212</v>
      </c>
      <c r="AL7" s="37">
        <f t="shared" ca="1" si="90"/>
        <v>5.0923748750891322</v>
      </c>
      <c r="AM7" s="37">
        <f t="shared" ca="1" si="91"/>
        <v>4.9869379847134665</v>
      </c>
      <c r="AN7" s="37">
        <f t="shared" ca="1" si="92"/>
        <v>0.12588674289109436</v>
      </c>
      <c r="AO7" s="37">
        <f t="shared" ca="1" si="93"/>
        <v>0.98749809552476153</v>
      </c>
      <c r="AP7" s="37">
        <f t="shared" ca="1" si="94"/>
        <v>1.823529464554464</v>
      </c>
      <c r="AQ7" s="37">
        <f t="shared" ca="1" si="95"/>
        <v>4.0117648220198205</v>
      </c>
      <c r="AR7" s="37">
        <f t="shared" ca="1" si="96"/>
        <v>0.91176473227723198</v>
      </c>
      <c r="AS7" s="37">
        <f t="shared" ca="1" si="97"/>
        <v>5.43159931310894</v>
      </c>
      <c r="AT7" s="37">
        <f t="shared" ca="1" si="98"/>
        <v>0.90399566811881604</v>
      </c>
      <c r="AU7" s="37">
        <f t="shared" ca="1" si="99"/>
        <v>2.1326171596831771</v>
      </c>
      <c r="AV7" s="37">
        <f t="shared" ca="1" si="100"/>
        <v>0.45199783405940802</v>
      </c>
      <c r="AW7" s="37">
        <f t="shared" ca="1" si="101"/>
        <v>1.2764706251881248</v>
      </c>
      <c r="AX7" s="37">
        <f t="shared" ca="1" si="102"/>
        <v>2.7015251326732801</v>
      </c>
      <c r="AY7" s="37">
        <f t="shared" ca="1" si="103"/>
        <v>0.63823531259406241</v>
      </c>
      <c r="AZ7" s="37">
        <f t="shared" ca="1" si="104"/>
        <v>5.7538128316831996</v>
      </c>
      <c r="BA7" s="37">
        <f t="shared" ca="1" si="105"/>
        <v>1.7593146464158496</v>
      </c>
      <c r="BB7" s="37">
        <f t="shared" ca="1" si="106"/>
        <v>3.9470508702574429</v>
      </c>
      <c r="BC7" s="37">
        <f t="shared" ca="1" si="107"/>
        <v>0.87965732320792478</v>
      </c>
      <c r="BD7" s="37">
        <f t="shared" ca="1" si="108"/>
        <v>1.9653595340198109</v>
      </c>
      <c r="BE7" s="37">
        <f t="shared" ca="1" si="109"/>
        <v>2.3503268654257532</v>
      </c>
      <c r="BF7" s="37">
        <f t="shared" ca="1" si="110"/>
        <v>5.0691091047128989</v>
      </c>
      <c r="BG7" s="37">
        <f t="shared" ca="1" si="111"/>
        <v>6.0671396073663644</v>
      </c>
      <c r="BH7" s="37">
        <f t="shared" ca="1" si="112"/>
        <v>1.6758688924356511</v>
      </c>
      <c r="BI7" s="37">
        <f t="shared" ca="1" si="113"/>
        <v>3.2755992233663518</v>
      </c>
      <c r="BJ7" s="37">
        <f t="shared" ca="1" si="114"/>
        <v>1.7830065875643648</v>
      </c>
      <c r="BK7" s="37">
        <f t="shared" ca="1" si="115"/>
        <v>2.1922026888712991</v>
      </c>
      <c r="BL7" s="37">
        <f t="shared" ca="1" si="116"/>
        <v>5.9430324148911167</v>
      </c>
      <c r="BM7" s="37">
        <f t="shared" ca="1" si="117"/>
        <v>0.36159826724752636</v>
      </c>
      <c r="BN7" s="37">
        <f t="shared" ca="1" si="118"/>
        <v>1.215686309702976</v>
      </c>
      <c r="BO7" s="37">
        <f t="shared" ca="1" si="119"/>
        <v>0.45925927255445759</v>
      </c>
      <c r="BP7" s="37">
        <f t="shared" ca="1" si="120"/>
        <v>1.7549129136633759</v>
      </c>
      <c r="BQ7" s="37">
        <f t="shared" ca="1" si="121"/>
        <v>8.7426033015445945</v>
      </c>
      <c r="BR7" s="37">
        <f t="shared" ca="1" si="122"/>
        <v>0.93876473227723201</v>
      </c>
      <c r="BS7" s="37">
        <f t="shared" ca="1" si="123"/>
        <v>1.9180828441980284</v>
      </c>
      <c r="BT7" s="37">
        <f t="shared" ca="1" si="124"/>
        <v>1.6479303309307007</v>
      </c>
      <c r="BU7" s="37">
        <f t="shared" ca="1" si="125"/>
        <v>3.6306558967920988</v>
      </c>
      <c r="BV7" s="37">
        <f t="shared" ca="1" si="126"/>
        <v>6.0832624843564638</v>
      </c>
      <c r="BW7" s="37">
        <f t="shared" ca="1" si="127"/>
        <v>1.0291642990891134</v>
      </c>
      <c r="BX7" s="37">
        <f t="shared" ca="1" si="128"/>
        <v>2.3360480096633793</v>
      </c>
      <c r="BY7" s="37">
        <f t="shared" ca="1" si="129"/>
        <v>4.2190915118416035</v>
      </c>
      <c r="BZ7" s="37">
        <f t="shared" ca="1" si="130"/>
        <v>8.1506432484752835</v>
      </c>
      <c r="CA7" s="37">
        <f t="shared" ca="1" si="131"/>
        <v>4.2190915118416035</v>
      </c>
      <c r="CB7" s="37">
        <f t="shared" ca="1" si="132"/>
        <v>4.5091253941386329</v>
      </c>
      <c r="CC7" s="37">
        <f t="shared" ca="1" si="133"/>
        <v>10.0697697665743</v>
      </c>
      <c r="CD7" s="37">
        <f t="shared" ca="1" si="134"/>
        <v>4.5091253941386329</v>
      </c>
      <c r="CE7" s="37">
        <f t="shared" ca="1" si="135"/>
        <v>1.4384532079207999</v>
      </c>
    </row>
    <row r="8" spans="1:83" x14ac:dyDescent="0.25">
      <c r="A8" t="str">
        <f>PLANTILLA!D9</f>
        <v>Roberto Montero</v>
      </c>
      <c r="B8">
        <f>PLANTILLA!E9</f>
        <v>18</v>
      </c>
      <c r="C8" s="33">
        <f ca="1">PLANTILLA!F9</f>
        <v>44</v>
      </c>
      <c r="D8" s="220" t="str">
        <f>PLANTILLA!G9</f>
        <v>TEC</v>
      </c>
      <c r="E8" s="30">
        <f>PLANTILLA!M9</f>
        <v>43046</v>
      </c>
      <c r="F8" s="47">
        <f>PLANTILLA!Q9</f>
        <v>6</v>
      </c>
      <c r="G8" s="48">
        <f t="shared" si="1"/>
        <v>0.92582009977255142</v>
      </c>
      <c r="H8" s="48">
        <f t="shared" si="2"/>
        <v>0.99928545900129484</v>
      </c>
      <c r="I8" s="51">
        <f t="shared" ca="1" si="3"/>
        <v>0.55097316501933968</v>
      </c>
      <c r="J8" s="39">
        <f>PLANTILLA!I9</f>
        <v>0.5</v>
      </c>
      <c r="K8" s="46">
        <f>PLANTILLA!X9</f>
        <v>0</v>
      </c>
      <c r="L8" s="46">
        <f>PLANTILLA!Y9</f>
        <v>6</v>
      </c>
      <c r="M8" s="46">
        <f>PLANTILLA!Z9</f>
        <v>4</v>
      </c>
      <c r="N8" s="46">
        <f>PLANTILLA!AA9</f>
        <v>4</v>
      </c>
      <c r="O8" s="46">
        <f>PLANTILLA!AB9</f>
        <v>3.5528</v>
      </c>
      <c r="P8" s="46">
        <f>PLANTILLA!AC9</f>
        <v>4.0666666666666673</v>
      </c>
      <c r="Q8" s="46">
        <f>PLANTILLA!AD9</f>
        <v>6</v>
      </c>
      <c r="R8" s="46">
        <f t="shared" si="70"/>
        <v>2.0131999999999999</v>
      </c>
      <c r="S8" s="46">
        <f t="shared" si="71"/>
        <v>0.38333333333333336</v>
      </c>
      <c r="T8" s="46">
        <f t="shared" si="72"/>
        <v>0.42000000000000004</v>
      </c>
      <c r="U8" s="46">
        <f t="shared" ca="1" si="73"/>
        <v>5.6934231350853013</v>
      </c>
      <c r="V8" s="46">
        <f t="shared" ca="1" si="74"/>
        <v>6.1452056962578627</v>
      </c>
      <c r="W8" s="37">
        <f t="shared" ca="1" si="75"/>
        <v>1.7866006581090093</v>
      </c>
      <c r="X8" s="37">
        <f t="shared" ca="1" si="76"/>
        <v>2.7431333901703678</v>
      </c>
      <c r="Y8" s="37">
        <f t="shared" ca="1" si="77"/>
        <v>1.7866006581090093</v>
      </c>
      <c r="Z8" s="37">
        <f t="shared" ca="1" si="78"/>
        <v>3.1479265251075241</v>
      </c>
      <c r="AA8" s="37">
        <f t="shared" ca="1" si="79"/>
        <v>6.1495998374673642</v>
      </c>
      <c r="AB8" s="37">
        <f t="shared" ca="1" si="80"/>
        <v>1.5739632625537621</v>
      </c>
      <c r="AC8" s="37">
        <f t="shared" ca="1" si="81"/>
        <v>1.458489509982974</v>
      </c>
      <c r="AD8" s="37">
        <f t="shared" ca="1" si="82"/>
        <v>2.3060391986252795</v>
      </c>
      <c r="AE8" s="37">
        <f t="shared" ca="1" si="83"/>
        <v>4.4461606824889044</v>
      </c>
      <c r="AF8" s="37">
        <f t="shared" ca="1" si="84"/>
        <v>1.1530195993126398</v>
      </c>
      <c r="AG8" s="37">
        <f t="shared" ca="1" si="85"/>
        <v>2.3593212661489287</v>
      </c>
      <c r="AH8" s="37">
        <f t="shared" ca="1" si="86"/>
        <v>5.6576318504699756</v>
      </c>
      <c r="AI8" s="37">
        <f t="shared" ca="1" si="87"/>
        <v>2.6940116711110007</v>
      </c>
      <c r="AJ8" s="37">
        <f t="shared" ca="1" si="88"/>
        <v>0.6929831728570498</v>
      </c>
      <c r="AK8" s="37">
        <f t="shared" ca="1" si="89"/>
        <v>2.4399647044308099</v>
      </c>
      <c r="AL8" s="37">
        <f t="shared" ca="1" si="90"/>
        <v>4.6367982774503922</v>
      </c>
      <c r="AM8" s="37">
        <f t="shared" ca="1" si="91"/>
        <v>4.6071503940738854</v>
      </c>
      <c r="AN8" s="37">
        <f t="shared" ca="1" si="92"/>
        <v>1.0269831728570498</v>
      </c>
      <c r="AO8" s="37">
        <f t="shared" ca="1" si="93"/>
        <v>0.62288635319060104</v>
      </c>
      <c r="AP8" s="37">
        <f t="shared" ca="1" si="94"/>
        <v>1.6603919561161884</v>
      </c>
      <c r="AQ8" s="37">
        <f t="shared" ca="1" si="95"/>
        <v>3.6528623034556142</v>
      </c>
      <c r="AR8" s="37">
        <f t="shared" ca="1" si="96"/>
        <v>0.8301959780580942</v>
      </c>
      <c r="AS8" s="37">
        <f t="shared" ca="1" si="97"/>
        <v>3.9172222465691915</v>
      </c>
      <c r="AT8" s="37">
        <f t="shared" ca="1" si="98"/>
        <v>0.48131197887075744</v>
      </c>
      <c r="AU8" s="37">
        <f t="shared" ca="1" si="99"/>
        <v>1.1737020857112712</v>
      </c>
      <c r="AV8" s="37">
        <f t="shared" ca="1" si="100"/>
        <v>0.24065598943537872</v>
      </c>
      <c r="AW8" s="37">
        <f t="shared" ca="1" si="101"/>
        <v>1.1622743692813318</v>
      </c>
      <c r="AX8" s="37">
        <f t="shared" ca="1" si="102"/>
        <v>2.4598399349869458</v>
      </c>
      <c r="AY8" s="37">
        <f t="shared" ca="1" si="103"/>
        <v>0.58113718464066588</v>
      </c>
      <c r="AZ8" s="37">
        <f t="shared" ca="1" si="104"/>
        <v>4.1495998374673642</v>
      </c>
      <c r="BA8" s="37">
        <f t="shared" ca="1" si="105"/>
        <v>0.93670715887924338</v>
      </c>
      <c r="BB8" s="37">
        <f t="shared" ca="1" si="106"/>
        <v>2.1479343104445179</v>
      </c>
      <c r="BC8" s="37">
        <f t="shared" ca="1" si="107"/>
        <v>0.46835357943962169</v>
      </c>
      <c r="BD8" s="37">
        <f t="shared" ca="1" si="108"/>
        <v>1.789533552703003</v>
      </c>
      <c r="BE8" s="37">
        <f t="shared" ca="1" si="109"/>
        <v>2.1400607434386427</v>
      </c>
      <c r="BF8" s="37">
        <f t="shared" ca="1" si="110"/>
        <v>3.6557974568087479</v>
      </c>
      <c r="BG8" s="37">
        <f t="shared" ca="1" si="111"/>
        <v>3.5481262555084867</v>
      </c>
      <c r="BH8" s="37">
        <f t="shared" ca="1" si="112"/>
        <v>0.89227836082963496</v>
      </c>
      <c r="BI8" s="37">
        <f t="shared" ca="1" si="113"/>
        <v>2.9825559211716715</v>
      </c>
      <c r="BJ8" s="37">
        <f t="shared" ca="1" si="114"/>
        <v>1.6234943570913842</v>
      </c>
      <c r="BK8" s="37">
        <f t="shared" ca="1" si="115"/>
        <v>1.5809975380750658</v>
      </c>
      <c r="BL8" s="37">
        <f t="shared" ca="1" si="116"/>
        <v>3.5368630579464764</v>
      </c>
      <c r="BM8" s="37">
        <f t="shared" ca="1" si="117"/>
        <v>0.19252479154830296</v>
      </c>
      <c r="BN8" s="37">
        <f t="shared" ca="1" si="118"/>
        <v>1.1069279707441255</v>
      </c>
      <c r="BO8" s="37">
        <f t="shared" ca="1" si="119"/>
        <v>0.41817278894778082</v>
      </c>
      <c r="BP8" s="37">
        <f t="shared" ca="1" si="120"/>
        <v>1.2656279504275461</v>
      </c>
      <c r="BQ8" s="37">
        <f t="shared" ca="1" si="121"/>
        <v>5.2084861909830309</v>
      </c>
      <c r="BR8" s="37">
        <f t="shared" ca="1" si="122"/>
        <v>0.49982397805809431</v>
      </c>
      <c r="BS8" s="37">
        <f t="shared" ca="1" si="123"/>
        <v>1.7464863538407314</v>
      </c>
      <c r="BT8" s="37">
        <f t="shared" ca="1" si="124"/>
        <v>1.5005023603420369</v>
      </c>
      <c r="BU8" s="37">
        <f t="shared" ca="1" si="125"/>
        <v>2.6183974974419066</v>
      </c>
      <c r="BV8" s="37">
        <f t="shared" ca="1" si="126"/>
        <v>3.6275822545332908</v>
      </c>
      <c r="BW8" s="37">
        <f t="shared" ca="1" si="127"/>
        <v>0.54795517594516996</v>
      </c>
      <c r="BX8" s="37">
        <f t="shared" ca="1" si="128"/>
        <v>1.6847375340117499</v>
      </c>
      <c r="BY8" s="37">
        <f t="shared" ca="1" si="129"/>
        <v>2.3574833689845529</v>
      </c>
      <c r="BZ8" s="37">
        <f t="shared" ca="1" si="130"/>
        <v>4.4684864836549192</v>
      </c>
      <c r="CA8" s="37">
        <f t="shared" ca="1" si="131"/>
        <v>2.3574833689845529</v>
      </c>
      <c r="CB8" s="37">
        <f t="shared" ca="1" si="132"/>
        <v>2.6120006987421682</v>
      </c>
      <c r="CC8" s="37">
        <f t="shared" ca="1" si="133"/>
        <v>5.5824520441594894</v>
      </c>
      <c r="CD8" s="37">
        <f t="shared" ca="1" si="134"/>
        <v>2.6120006987421682</v>
      </c>
      <c r="CE8" s="37">
        <f t="shared" ca="1" si="135"/>
        <v>1.037399959366841</v>
      </c>
    </row>
    <row r="9" spans="1:83" x14ac:dyDescent="0.25">
      <c r="A9" t="str">
        <f>PLANTILLA!D10</f>
        <v>Eckardt Hägerling</v>
      </c>
      <c r="B9">
        <f>PLANTILLA!E10</f>
        <v>17</v>
      </c>
      <c r="C9" s="33">
        <f ca="1">PLANTILLA!F10</f>
        <v>108</v>
      </c>
      <c r="D9" s="220" t="str">
        <f>PLANTILLA!G10</f>
        <v>IMP</v>
      </c>
      <c r="E9" s="30">
        <f>PLANTILLA!M10</f>
        <v>43045</v>
      </c>
      <c r="F9" s="47">
        <f>PLANTILLA!Q10</f>
        <v>4</v>
      </c>
      <c r="G9" s="48">
        <f t="shared" si="1"/>
        <v>0.7559289460184544</v>
      </c>
      <c r="H9" s="48">
        <f t="shared" si="2"/>
        <v>0.84430867747355465</v>
      </c>
      <c r="I9" s="51">
        <f t="shared" ca="1" si="3"/>
        <v>0.55366742639207067</v>
      </c>
      <c r="J9" s="39">
        <f>PLANTILLA!I10</f>
        <v>1.3</v>
      </c>
      <c r="K9" s="46">
        <f>PLANTILLA!X10</f>
        <v>0</v>
      </c>
      <c r="L9" s="46">
        <f>PLANTILLA!Y10</f>
        <v>5</v>
      </c>
      <c r="M9" s="46">
        <f>PLANTILLA!Z10</f>
        <v>3</v>
      </c>
      <c r="N9" s="46">
        <f>PLANTILLA!AA10</f>
        <v>4</v>
      </c>
      <c r="O9" s="46">
        <f>PLANTILLA!AB10</f>
        <v>3</v>
      </c>
      <c r="P9" s="46">
        <f>PLANTILLA!AC10</f>
        <v>4.2633333333333336</v>
      </c>
      <c r="Q9" s="46">
        <f>PLANTILLA!AD10</f>
        <v>3</v>
      </c>
      <c r="R9" s="46">
        <f t="shared" si="70"/>
        <v>1.75</v>
      </c>
      <c r="S9" s="46">
        <f t="shared" si="71"/>
        <v>0.3031666666666667</v>
      </c>
      <c r="T9" s="46">
        <f t="shared" si="72"/>
        <v>0.28999999999999998</v>
      </c>
      <c r="U9" s="46">
        <f t="shared" ca="1" si="73"/>
        <v>2.8011641764194937</v>
      </c>
      <c r="V9" s="46">
        <f t="shared" ca="1" si="74"/>
        <v>3.1286633930820584</v>
      </c>
      <c r="W9" s="37">
        <f t="shared" ca="1" si="75"/>
        <v>1.9959817253254359</v>
      </c>
      <c r="X9" s="37">
        <f t="shared" ca="1" si="76"/>
        <v>3.0359191379096648</v>
      </c>
      <c r="Y9" s="37">
        <f t="shared" ca="1" si="77"/>
        <v>1.9959817253254359</v>
      </c>
      <c r="Z9" s="37">
        <f t="shared" ca="1" si="78"/>
        <v>2.9186948716746213</v>
      </c>
      <c r="AA9" s="37">
        <f t="shared" ca="1" si="79"/>
        <v>5.7055918961345196</v>
      </c>
      <c r="AB9" s="37">
        <f t="shared" ca="1" si="80"/>
        <v>1.4593474358373106</v>
      </c>
      <c r="AC9" s="37">
        <f t="shared" ca="1" si="81"/>
        <v>1.3551182485852</v>
      </c>
      <c r="AD9" s="37">
        <f t="shared" ca="1" si="82"/>
        <v>2.1381136850639666</v>
      </c>
      <c r="AE9" s="37">
        <f t="shared" ca="1" si="83"/>
        <v>4.1251429409052571</v>
      </c>
      <c r="AF9" s="37">
        <f t="shared" ca="1" si="84"/>
        <v>1.0690568425319833</v>
      </c>
      <c r="AG9" s="37">
        <f t="shared" ca="1" si="85"/>
        <v>2.1921030491819415</v>
      </c>
      <c r="AH9" s="37">
        <f t="shared" ca="1" si="86"/>
        <v>5.2491445444437579</v>
      </c>
      <c r="AI9" s="37">
        <f t="shared" ca="1" si="87"/>
        <v>2.5109164822816101</v>
      </c>
      <c r="AJ9" s="37">
        <f t="shared" ca="1" si="88"/>
        <v>0.61883384665446484</v>
      </c>
      <c r="AK9" s="37">
        <f t="shared" ca="1" si="89"/>
        <v>2.7668880349270975</v>
      </c>
      <c r="AL9" s="37">
        <f t="shared" ca="1" si="90"/>
        <v>4.3020162896854277</v>
      </c>
      <c r="AM9" s="37">
        <f t="shared" ca="1" si="91"/>
        <v>4.2940310856410138</v>
      </c>
      <c r="AN9" s="37">
        <f t="shared" ca="1" si="92"/>
        <v>0.61883384665446484</v>
      </c>
      <c r="AO9" s="37">
        <f t="shared" ca="1" si="93"/>
        <v>0.70721046608674176</v>
      </c>
      <c r="AP9" s="37">
        <f t="shared" ca="1" si="94"/>
        <v>1.5405098119563203</v>
      </c>
      <c r="AQ9" s="37">
        <f t="shared" ca="1" si="95"/>
        <v>3.3891215863039044</v>
      </c>
      <c r="AR9" s="37">
        <f t="shared" ca="1" si="96"/>
        <v>0.77025490597816015</v>
      </c>
      <c r="AS9" s="37">
        <f t="shared" ca="1" si="97"/>
        <v>3.4980787499509867</v>
      </c>
      <c r="AT9" s="37">
        <f t="shared" ca="1" si="98"/>
        <v>0.4817269464974876</v>
      </c>
      <c r="AU9" s="37">
        <f t="shared" ca="1" si="99"/>
        <v>1.304295092234081</v>
      </c>
      <c r="AV9" s="37">
        <f t="shared" ca="1" si="100"/>
        <v>0.2408634732487438</v>
      </c>
      <c r="AW9" s="37">
        <f t="shared" ca="1" si="101"/>
        <v>1.0783568683694242</v>
      </c>
      <c r="AX9" s="37">
        <f t="shared" ca="1" si="102"/>
        <v>2.2822367584538079</v>
      </c>
      <c r="AY9" s="37">
        <f t="shared" ca="1" si="103"/>
        <v>0.53917843418471212</v>
      </c>
      <c r="AZ9" s="37">
        <f t="shared" ca="1" si="104"/>
        <v>3.70559189613452</v>
      </c>
      <c r="BA9" s="37">
        <f t="shared" ca="1" si="105"/>
        <v>0.93751474972203352</v>
      </c>
      <c r="BB9" s="37">
        <f t="shared" ca="1" si="106"/>
        <v>2.3070811347701206</v>
      </c>
      <c r="BC9" s="37">
        <f t="shared" ca="1" si="107"/>
        <v>0.46875737486101676</v>
      </c>
      <c r="BD9" s="37">
        <f t="shared" ca="1" si="108"/>
        <v>1.6603272417751451</v>
      </c>
      <c r="BE9" s="37">
        <f t="shared" ca="1" si="109"/>
        <v>1.9855459798548127</v>
      </c>
      <c r="BF9" s="37">
        <f t="shared" ca="1" si="110"/>
        <v>3.2646264604945121</v>
      </c>
      <c r="BG9" s="37">
        <f t="shared" ca="1" si="111"/>
        <v>3.8682711956635876</v>
      </c>
      <c r="BH9" s="37">
        <f t="shared" ca="1" si="112"/>
        <v>0.89304764696841932</v>
      </c>
      <c r="BI9" s="37">
        <f t="shared" ca="1" si="113"/>
        <v>2.7672120696252418</v>
      </c>
      <c r="BJ9" s="37">
        <f t="shared" ca="1" si="114"/>
        <v>1.5062762605795132</v>
      </c>
      <c r="BK9" s="37">
        <f t="shared" ca="1" si="115"/>
        <v>1.4118305124272521</v>
      </c>
      <c r="BL9" s="37">
        <f t="shared" ca="1" si="116"/>
        <v>3.9116873172215705</v>
      </c>
      <c r="BM9" s="37">
        <f t="shared" ca="1" si="117"/>
        <v>0.19269077859899503</v>
      </c>
      <c r="BN9" s="37">
        <f t="shared" ca="1" si="118"/>
        <v>1.0270065413042135</v>
      </c>
      <c r="BO9" s="37">
        <f t="shared" ca="1" si="119"/>
        <v>0.38798024893714733</v>
      </c>
      <c r="BP9" s="37">
        <f t="shared" ca="1" si="120"/>
        <v>1.1302055283210286</v>
      </c>
      <c r="BQ9" s="37">
        <f t="shared" ca="1" si="121"/>
        <v>5.7653911784289917</v>
      </c>
      <c r="BR9" s="37">
        <f t="shared" ca="1" si="122"/>
        <v>0.50025490597816025</v>
      </c>
      <c r="BS9" s="37">
        <f t="shared" ca="1" si="123"/>
        <v>1.6203880985022034</v>
      </c>
      <c r="BT9" s="37">
        <f t="shared" ca="1" si="124"/>
        <v>1.3921644226568228</v>
      </c>
      <c r="BU9" s="37">
        <f t="shared" ca="1" si="125"/>
        <v>2.3382284864608822</v>
      </c>
      <c r="BV9" s="37">
        <f t="shared" ca="1" si="126"/>
        <v>4.018504747040395</v>
      </c>
      <c r="BW9" s="37">
        <f t="shared" ca="1" si="127"/>
        <v>0.54842760062790896</v>
      </c>
      <c r="BX9" s="37">
        <f t="shared" ca="1" si="128"/>
        <v>1.5044703098306151</v>
      </c>
      <c r="BY9" s="37">
        <f t="shared" ca="1" si="129"/>
        <v>2.2350567112194182</v>
      </c>
      <c r="BZ9" s="37">
        <f t="shared" ca="1" si="130"/>
        <v>4.909019808380803</v>
      </c>
      <c r="CA9" s="37">
        <f t="shared" ca="1" si="131"/>
        <v>2.2350567112194182</v>
      </c>
      <c r="CB9" s="37">
        <f t="shared" ca="1" si="132"/>
        <v>3.0374437512918058</v>
      </c>
      <c r="CC9" s="37">
        <f t="shared" ca="1" si="133"/>
        <v>6.3362886391414914</v>
      </c>
      <c r="CD9" s="37">
        <f t="shared" ca="1" si="134"/>
        <v>3.0374437512918058</v>
      </c>
      <c r="CE9" s="37">
        <f t="shared" ca="1" si="135"/>
        <v>0.92639797403363</v>
      </c>
    </row>
    <row r="10" spans="1:83" x14ac:dyDescent="0.25">
      <c r="A10" t="str">
        <f>PLANTILLA!D13</f>
        <v>Raul Riquelme</v>
      </c>
      <c r="B10">
        <f>PLANTILLA!E13</f>
        <v>17</v>
      </c>
      <c r="C10" s="33">
        <f ca="1">PLANTILLA!F13</f>
        <v>87</v>
      </c>
      <c r="D10" s="220" t="str">
        <f>PLANTILLA!G13</f>
        <v>RAP</v>
      </c>
      <c r="E10" s="30">
        <f>PLANTILLA!M13</f>
        <v>43097</v>
      </c>
      <c r="F10" s="47">
        <f>PLANTILLA!Q13</f>
        <v>5</v>
      </c>
      <c r="G10" s="48">
        <f t="shared" si="1"/>
        <v>0.84515425472851657</v>
      </c>
      <c r="H10" s="48">
        <f t="shared" si="2"/>
        <v>0.92504826128926143</v>
      </c>
      <c r="I10" s="51">
        <f t="shared" ca="1" si="3"/>
        <v>0.38959686123698983</v>
      </c>
      <c r="J10" s="39">
        <f>PLANTILLA!I13</f>
        <v>1.3</v>
      </c>
      <c r="K10" s="46">
        <f>PLANTILLA!X13</f>
        <v>0</v>
      </c>
      <c r="L10" s="46">
        <f>PLANTILLA!Y13</f>
        <v>6</v>
      </c>
      <c r="M10" s="46">
        <f>PLANTILLA!Z13</f>
        <v>3</v>
      </c>
      <c r="N10" s="46">
        <f>PLANTILLA!AA13</f>
        <v>3</v>
      </c>
      <c r="O10" s="46">
        <f>PLANTILLA!AB13</f>
        <v>3.33</v>
      </c>
      <c r="P10" s="46">
        <f>PLANTILLA!AC13</f>
        <v>6.0464425770308123</v>
      </c>
      <c r="Q10" s="46">
        <f>PLANTILLA!AD13</f>
        <v>4</v>
      </c>
      <c r="R10" s="46">
        <f t="shared" si="70"/>
        <v>1.9575</v>
      </c>
      <c r="S10" s="46">
        <f t="shared" si="71"/>
        <v>0.42232212885154058</v>
      </c>
      <c r="T10" s="46">
        <f t="shared" si="72"/>
        <v>0.36000000000000004</v>
      </c>
      <c r="U10" s="46">
        <f t="shared" ca="1" si="73"/>
        <v>3.8382860758175883</v>
      </c>
      <c r="V10" s="46">
        <f t="shared" ca="1" si="74"/>
        <v>4.2011264108306223</v>
      </c>
      <c r="W10" s="37">
        <f t="shared" ca="1" si="75"/>
        <v>2.1287481219450504</v>
      </c>
      <c r="X10" s="37">
        <f t="shared" ca="1" si="76"/>
        <v>3.2491040382944556</v>
      </c>
      <c r="Y10" s="37">
        <f t="shared" ca="1" si="77"/>
        <v>2.1287481219450504</v>
      </c>
      <c r="Z10" s="37">
        <f t="shared" ca="1" si="78"/>
        <v>3.3575585460909836</v>
      </c>
      <c r="AA10" s="37">
        <f t="shared" ca="1" si="79"/>
        <v>6.5415213309794389</v>
      </c>
      <c r="AB10" s="37">
        <f t="shared" ca="1" si="80"/>
        <v>1.6787792730454918</v>
      </c>
      <c r="AC10" s="37">
        <f t="shared" ca="1" si="81"/>
        <v>1.1758478757119752</v>
      </c>
      <c r="AD10" s="37">
        <f t="shared" ca="1" si="82"/>
        <v>2.4596068419038599</v>
      </c>
      <c r="AE10" s="37">
        <f t="shared" ca="1" si="83"/>
        <v>4.7295199222981346</v>
      </c>
      <c r="AF10" s="37">
        <f t="shared" ca="1" si="84"/>
        <v>1.22980342095193</v>
      </c>
      <c r="AG10" s="37">
        <f t="shared" ca="1" si="85"/>
        <v>1.9021068577693718</v>
      </c>
      <c r="AH10" s="37">
        <f t="shared" ca="1" si="86"/>
        <v>6.0181996245010838</v>
      </c>
      <c r="AI10" s="37">
        <f t="shared" ca="1" si="87"/>
        <v>2.8128963211478379</v>
      </c>
      <c r="AJ10" s="37">
        <f t="shared" ca="1" si="88"/>
        <v>0.59143406227356632</v>
      </c>
      <c r="AK10" s="37">
        <f t="shared" ca="1" si="89"/>
        <v>2.08241454261591</v>
      </c>
      <c r="AL10" s="37">
        <f t="shared" ca="1" si="90"/>
        <v>4.9323070835584968</v>
      </c>
      <c r="AM10" s="37">
        <f t="shared" ca="1" si="91"/>
        <v>4.8104603752963024</v>
      </c>
      <c r="AN10" s="37">
        <f t="shared" ca="1" si="92"/>
        <v>0.75843406227356636</v>
      </c>
      <c r="AO10" s="37">
        <f t="shared" ca="1" si="93"/>
        <v>0.7197181433220784</v>
      </c>
      <c r="AP10" s="37">
        <f t="shared" ca="1" si="94"/>
        <v>1.7662107593644487</v>
      </c>
      <c r="AQ10" s="37">
        <f t="shared" ca="1" si="95"/>
        <v>3.8856636706017866</v>
      </c>
      <c r="AR10" s="37">
        <f t="shared" ca="1" si="96"/>
        <v>0.88310537968222436</v>
      </c>
      <c r="AS10" s="37">
        <f t="shared" ca="1" si="97"/>
        <v>3.3431961364445901</v>
      </c>
      <c r="AT10" s="37">
        <f t="shared" ca="1" si="98"/>
        <v>0.50329777302732703</v>
      </c>
      <c r="AU10" s="37">
        <f t="shared" ca="1" si="99"/>
        <v>1.604300315803306</v>
      </c>
      <c r="AV10" s="37">
        <f t="shared" ca="1" si="100"/>
        <v>0.25164888651366352</v>
      </c>
      <c r="AW10" s="37">
        <f t="shared" ca="1" si="101"/>
        <v>1.236347531555114</v>
      </c>
      <c r="AX10" s="37">
        <f t="shared" ca="1" si="102"/>
        <v>2.6166085323917758</v>
      </c>
      <c r="AY10" s="37">
        <f t="shared" ca="1" si="103"/>
        <v>0.618173765777557</v>
      </c>
      <c r="AZ10" s="37">
        <f t="shared" ca="1" si="104"/>
        <v>3.5415213309794389</v>
      </c>
      <c r="BA10" s="37">
        <f t="shared" ca="1" si="105"/>
        <v>0.9794948967377981</v>
      </c>
      <c r="BB10" s="37">
        <f t="shared" ca="1" si="106"/>
        <v>2.7036611945461413</v>
      </c>
      <c r="BC10" s="37">
        <f t="shared" ca="1" si="107"/>
        <v>0.48974744836889905</v>
      </c>
      <c r="BD10" s="37">
        <f t="shared" ca="1" si="108"/>
        <v>1.9035827073150167</v>
      </c>
      <c r="BE10" s="37">
        <f t="shared" ca="1" si="109"/>
        <v>2.2764494231808445</v>
      </c>
      <c r="BF10" s="37">
        <f t="shared" ca="1" si="110"/>
        <v>3.1200802925928857</v>
      </c>
      <c r="BG10" s="37">
        <f t="shared" ca="1" si="111"/>
        <v>3.2523624632407211</v>
      </c>
      <c r="BH10" s="37">
        <f t="shared" ca="1" si="112"/>
        <v>0.93303664076604476</v>
      </c>
      <c r="BI10" s="37">
        <f t="shared" ca="1" si="113"/>
        <v>3.1726378455250277</v>
      </c>
      <c r="BJ10" s="37">
        <f t="shared" ca="1" si="114"/>
        <v>1.7269616313785718</v>
      </c>
      <c r="BK10" s="37">
        <f t="shared" ca="1" si="115"/>
        <v>1.3493196271031662</v>
      </c>
      <c r="BL10" s="37">
        <f t="shared" ca="1" si="116"/>
        <v>3.1616196432760297</v>
      </c>
      <c r="BM10" s="37">
        <f t="shared" ca="1" si="117"/>
        <v>0.20131910921093082</v>
      </c>
      <c r="BN10" s="37">
        <f t="shared" ca="1" si="118"/>
        <v>1.1774738395762989</v>
      </c>
      <c r="BO10" s="37">
        <f t="shared" ca="1" si="119"/>
        <v>0.44482345050660188</v>
      </c>
      <c r="BP10" s="37">
        <f t="shared" ca="1" si="120"/>
        <v>1.0801640059487287</v>
      </c>
      <c r="BQ10" s="37">
        <f t="shared" ca="1" si="121"/>
        <v>4.6487764316395586</v>
      </c>
      <c r="BR10" s="37">
        <f t="shared" ca="1" si="122"/>
        <v>0.52265537968222431</v>
      </c>
      <c r="BS10" s="37">
        <f t="shared" ca="1" si="123"/>
        <v>1.8577920579981604</v>
      </c>
      <c r="BT10" s="37">
        <f t="shared" ca="1" si="124"/>
        <v>1.5961312047589831</v>
      </c>
      <c r="BU10" s="37">
        <f t="shared" ca="1" si="125"/>
        <v>2.2346999598480259</v>
      </c>
      <c r="BV10" s="37">
        <f t="shared" ca="1" si="126"/>
        <v>3.2333515912265978</v>
      </c>
      <c r="BW10" s="37">
        <f t="shared" ca="1" si="127"/>
        <v>0.57298515698495689</v>
      </c>
      <c r="BX10" s="37">
        <f t="shared" ca="1" si="128"/>
        <v>1.4378576603776523</v>
      </c>
      <c r="BY10" s="37">
        <f t="shared" ca="1" si="129"/>
        <v>2.3145308207232009</v>
      </c>
      <c r="BZ10" s="37">
        <f t="shared" ca="1" si="130"/>
        <v>5.9430190410918122</v>
      </c>
      <c r="CA10" s="37">
        <f t="shared" ca="1" si="131"/>
        <v>2.3145308207232009</v>
      </c>
      <c r="CB10" s="37">
        <f t="shared" ca="1" si="132"/>
        <v>3.431037705166577</v>
      </c>
      <c r="CC10" s="37">
        <f t="shared" ca="1" si="133"/>
        <v>8.0165552791416648</v>
      </c>
      <c r="CD10" s="37">
        <f t="shared" ca="1" si="134"/>
        <v>3.431037705166577</v>
      </c>
      <c r="CE10" s="37">
        <f t="shared" ca="1" si="135"/>
        <v>0.88538033274485972</v>
      </c>
    </row>
    <row r="11" spans="1:83" x14ac:dyDescent="0.25">
      <c r="A11" t="str">
        <f>PLANTILLA!D14</f>
        <v>Fernando Gazón</v>
      </c>
      <c r="B11">
        <f>PLANTILLA!E14</f>
        <v>18</v>
      </c>
      <c r="C11" s="33">
        <f ca="1">PLANTILLA!F14</f>
        <v>37</v>
      </c>
      <c r="D11" s="220" t="str">
        <f>PLANTILLA!G14</f>
        <v>IMP</v>
      </c>
      <c r="E11" s="30">
        <f>PLANTILLA!M14</f>
        <v>43045</v>
      </c>
      <c r="F11" s="47">
        <f>PLANTILLA!Q14</f>
        <v>6</v>
      </c>
      <c r="G11" s="48">
        <f t="shared" si="1"/>
        <v>0.92582009977255142</v>
      </c>
      <c r="H11" s="48">
        <f t="shared" si="2"/>
        <v>0.99928545900129484</v>
      </c>
      <c r="I11" s="51">
        <f t="shared" ca="1" si="3"/>
        <v>0.55366742639207067</v>
      </c>
      <c r="J11" s="39">
        <f>PLANTILLA!I14</f>
        <v>1.1000000000000001</v>
      </c>
      <c r="K11" s="46">
        <f>PLANTILLA!X14</f>
        <v>0</v>
      </c>
      <c r="L11" s="46">
        <f>PLANTILLA!Y14</f>
        <v>3</v>
      </c>
      <c r="M11" s="46">
        <f>PLANTILLA!Z14</f>
        <v>6</v>
      </c>
      <c r="N11" s="46">
        <f>PLANTILLA!AA14</f>
        <v>3</v>
      </c>
      <c r="O11" s="46">
        <f>PLANTILLA!AB14</f>
        <v>4.25</v>
      </c>
      <c r="P11" s="46">
        <f>PLANTILLA!AC14</f>
        <v>5.2660849673202605</v>
      </c>
      <c r="Q11" s="46">
        <f>PLANTILLA!AD14</f>
        <v>3</v>
      </c>
      <c r="R11" s="46">
        <f t="shared" si="70"/>
        <v>1.8125</v>
      </c>
      <c r="S11" s="46">
        <f t="shared" si="71"/>
        <v>0.35330424836601304</v>
      </c>
      <c r="T11" s="46">
        <f t="shared" si="72"/>
        <v>0.21000000000000002</v>
      </c>
      <c r="U11" s="46">
        <f t="shared" ca="1" si="73"/>
        <v>3.3411529711314953</v>
      </c>
      <c r="V11" s="46">
        <f t="shared" ca="1" si="74"/>
        <v>3.6062789965036615</v>
      </c>
      <c r="W11" s="37">
        <f t="shared" ca="1" si="75"/>
        <v>1.359532748764452</v>
      </c>
      <c r="X11" s="37">
        <f t="shared" ca="1" si="76"/>
        <v>2.0610352561911878</v>
      </c>
      <c r="Y11" s="37">
        <f t="shared" ca="1" si="77"/>
        <v>1.359532748764452</v>
      </c>
      <c r="Z11" s="37">
        <f t="shared" ca="1" si="78"/>
        <v>1.8367800126763765</v>
      </c>
      <c r="AA11" s="37">
        <f t="shared" ca="1" si="79"/>
        <v>3.6088576732697044</v>
      </c>
      <c r="AB11" s="37">
        <f t="shared" ca="1" si="80"/>
        <v>0.91839000633818824</v>
      </c>
      <c r="AC11" s="37">
        <f t="shared" ca="1" si="81"/>
        <v>2.0460955035433739</v>
      </c>
      <c r="AD11" s="37">
        <f t="shared" ca="1" si="82"/>
        <v>1.3455481488210665</v>
      </c>
      <c r="AE11" s="37">
        <f t="shared" ca="1" si="83"/>
        <v>2.6092040977739961</v>
      </c>
      <c r="AF11" s="37">
        <f t="shared" ca="1" si="84"/>
        <v>0.67277407441053327</v>
      </c>
      <c r="AG11" s="37">
        <f t="shared" ca="1" si="85"/>
        <v>3.3098603733789873</v>
      </c>
      <c r="AH11" s="37">
        <f t="shared" ca="1" si="86"/>
        <v>3.320149059408128</v>
      </c>
      <c r="AI11" s="37">
        <f t="shared" ca="1" si="87"/>
        <v>1.6428685140155765</v>
      </c>
      <c r="AJ11" s="37">
        <f t="shared" ca="1" si="88"/>
        <v>1.1036792314360406</v>
      </c>
      <c r="AK11" s="37">
        <f t="shared" ca="1" si="89"/>
        <v>2.1220083118825861</v>
      </c>
      <c r="AL11" s="37">
        <f t="shared" ca="1" si="90"/>
        <v>2.7210786856453573</v>
      </c>
      <c r="AM11" s="37">
        <f t="shared" ca="1" si="91"/>
        <v>2.8095432558527249</v>
      </c>
      <c r="AN11" s="37">
        <f t="shared" ca="1" si="92"/>
        <v>0.60267923143604063</v>
      </c>
      <c r="AO11" s="37">
        <f t="shared" ca="1" si="93"/>
        <v>0.69735100990167487</v>
      </c>
      <c r="AP11" s="37">
        <f t="shared" ca="1" si="94"/>
        <v>0.97439157178282021</v>
      </c>
      <c r="AQ11" s="37">
        <f t="shared" ca="1" si="95"/>
        <v>2.1436614579222044</v>
      </c>
      <c r="AR11" s="37">
        <f t="shared" ca="1" si="96"/>
        <v>0.4871957858914101</v>
      </c>
      <c r="AS11" s="37">
        <f t="shared" ca="1" si="97"/>
        <v>6.2387616435666002</v>
      </c>
      <c r="AT11" s="37">
        <f t="shared" ca="1" si="98"/>
        <v>0.63165149752506156</v>
      </c>
      <c r="AU11" s="37">
        <f t="shared" ca="1" si="99"/>
        <v>1.5994279976144283</v>
      </c>
      <c r="AV11" s="37">
        <f t="shared" ca="1" si="100"/>
        <v>0.31582574876253078</v>
      </c>
      <c r="AW11" s="37">
        <f t="shared" ca="1" si="101"/>
        <v>0.6820741002479741</v>
      </c>
      <c r="AX11" s="37">
        <f t="shared" ca="1" si="102"/>
        <v>1.4435430693078819</v>
      </c>
      <c r="AY11" s="37">
        <f t="shared" ca="1" si="103"/>
        <v>0.34103705012398705</v>
      </c>
      <c r="AZ11" s="37">
        <f t="shared" ca="1" si="104"/>
        <v>6.6088576732697044</v>
      </c>
      <c r="BA11" s="37">
        <f t="shared" ca="1" si="105"/>
        <v>1.2292909913372352</v>
      </c>
      <c r="BB11" s="37">
        <f t="shared" ca="1" si="106"/>
        <v>2.8906084211088618</v>
      </c>
      <c r="BC11" s="37">
        <f t="shared" ca="1" si="107"/>
        <v>0.61464549566861759</v>
      </c>
      <c r="BD11" s="37">
        <f t="shared" ca="1" si="108"/>
        <v>1.0501775829214839</v>
      </c>
      <c r="BE11" s="37">
        <f t="shared" ca="1" si="109"/>
        <v>1.255882470297857</v>
      </c>
      <c r="BF11" s="37">
        <f t="shared" ca="1" si="110"/>
        <v>5.8224036101506096</v>
      </c>
      <c r="BG11" s="37">
        <f t="shared" ca="1" si="111"/>
        <v>3.6020244715367671</v>
      </c>
      <c r="BH11" s="37">
        <f t="shared" ca="1" si="112"/>
        <v>1.1709846992579986</v>
      </c>
      <c r="BI11" s="37">
        <f t="shared" ca="1" si="113"/>
        <v>1.7502959715358066</v>
      </c>
      <c r="BJ11" s="37">
        <f t="shared" ca="1" si="114"/>
        <v>0.952738425743202</v>
      </c>
      <c r="BK11" s="37">
        <f t="shared" ca="1" si="115"/>
        <v>2.5179747735157574</v>
      </c>
      <c r="BL11" s="37">
        <f t="shared" ca="1" si="116"/>
        <v>3.4053916064377221</v>
      </c>
      <c r="BM11" s="37">
        <f t="shared" ca="1" si="117"/>
        <v>0.25266059901002463</v>
      </c>
      <c r="BN11" s="37">
        <f t="shared" ca="1" si="118"/>
        <v>0.64959438118854673</v>
      </c>
      <c r="BO11" s="37">
        <f t="shared" ca="1" si="119"/>
        <v>0.24540232178233992</v>
      </c>
      <c r="BP11" s="37">
        <f t="shared" ca="1" si="120"/>
        <v>2.0157015903472599</v>
      </c>
      <c r="BQ11" s="37">
        <f t="shared" ca="1" si="121"/>
        <v>4.9984909678248393</v>
      </c>
      <c r="BR11" s="37">
        <f t="shared" ca="1" si="122"/>
        <v>0.65594578589141017</v>
      </c>
      <c r="BS11" s="37">
        <f t="shared" ca="1" si="123"/>
        <v>1.024915579208596</v>
      </c>
      <c r="BT11" s="37">
        <f t="shared" ca="1" si="124"/>
        <v>0.88056127227780789</v>
      </c>
      <c r="BU11" s="37">
        <f t="shared" ca="1" si="125"/>
        <v>4.1701891918331837</v>
      </c>
      <c r="BV11" s="37">
        <f t="shared" ca="1" si="126"/>
        <v>3.4711776175763855</v>
      </c>
      <c r="BW11" s="37">
        <f t="shared" ca="1" si="127"/>
        <v>0.71911093564391626</v>
      </c>
      <c r="BX11" s="37">
        <f t="shared" ca="1" si="128"/>
        <v>2.6831962153475</v>
      </c>
      <c r="BY11" s="37">
        <f t="shared" ca="1" si="129"/>
        <v>2.4805076386231888</v>
      </c>
      <c r="BZ11" s="37">
        <f t="shared" ca="1" si="130"/>
        <v>6.063451276049399</v>
      </c>
      <c r="CA11" s="37">
        <f t="shared" ca="1" si="131"/>
        <v>2.4805076386231888</v>
      </c>
      <c r="CB11" s="37">
        <f t="shared" ca="1" si="132"/>
        <v>3.1592844873097703</v>
      </c>
      <c r="CC11" s="37">
        <f t="shared" ca="1" si="133"/>
        <v>7.6678611220264861</v>
      </c>
      <c r="CD11" s="37">
        <f t="shared" ca="1" si="134"/>
        <v>3.1592844873097703</v>
      </c>
      <c r="CE11" s="37">
        <f t="shared" ca="1" si="135"/>
        <v>1.6522144183174261</v>
      </c>
    </row>
    <row r="12" spans="1:83" x14ac:dyDescent="0.25">
      <c r="A12" t="str">
        <f>PLANTILLA!D15</f>
        <v>Roberto Abenoza</v>
      </c>
      <c r="B12">
        <f>PLANTILLA!E15</f>
        <v>18</v>
      </c>
      <c r="C12" s="33">
        <f ca="1">PLANTILLA!F15</f>
        <v>25</v>
      </c>
      <c r="D12" s="220" t="str">
        <f>PLANTILLA!G15</f>
        <v>CAB</v>
      </c>
      <c r="E12" s="30">
        <f>PLANTILLA!M15</f>
        <v>43046</v>
      </c>
      <c r="F12" s="47">
        <f>PLANTILLA!Q15</f>
        <v>7</v>
      </c>
      <c r="G12" s="48">
        <f t="shared" si="1"/>
        <v>1</v>
      </c>
      <c r="H12" s="48">
        <f t="shared" si="2"/>
        <v>1</v>
      </c>
      <c r="I12" s="51">
        <f t="shared" ca="1" si="3"/>
        <v>0.55097316501933968</v>
      </c>
      <c r="J12" s="39">
        <f>PLANTILLA!I15</f>
        <v>0.5</v>
      </c>
      <c r="K12" s="46">
        <f>PLANTILLA!X15</f>
        <v>0</v>
      </c>
      <c r="L12" s="46">
        <f>PLANTILLA!Y15</f>
        <v>2</v>
      </c>
      <c r="M12" s="46">
        <f>PLANTILLA!Z15</f>
        <v>5</v>
      </c>
      <c r="N12" s="46">
        <f>PLANTILLA!AA15</f>
        <v>3</v>
      </c>
      <c r="O12" s="46">
        <f>PLANTILLA!AB15</f>
        <v>3</v>
      </c>
      <c r="P12" s="46">
        <f>PLANTILLA!AC15</f>
        <v>5.3999999999999986</v>
      </c>
      <c r="Q12" s="46">
        <f>PLANTILLA!AD15</f>
        <v>5</v>
      </c>
      <c r="R12" s="46">
        <f t="shared" si="70"/>
        <v>1.375</v>
      </c>
      <c r="S12" s="46">
        <f t="shared" si="71"/>
        <v>0.41999999999999993</v>
      </c>
      <c r="T12" s="46">
        <f t="shared" si="72"/>
        <v>0.22999999999999998</v>
      </c>
      <c r="U12" s="46">
        <f t="shared" ca="1" si="73"/>
        <v>5.1495998374673642</v>
      </c>
      <c r="V12" s="46">
        <f t="shared" ca="1" si="74"/>
        <v>5.1495998374673642</v>
      </c>
      <c r="W12" s="37">
        <f t="shared" ca="1" si="75"/>
        <v>0.68260065810900949</v>
      </c>
      <c r="X12" s="37">
        <f t="shared" ca="1" si="76"/>
        <v>1.0431333901703677</v>
      </c>
      <c r="Y12" s="37">
        <f t="shared" ca="1" si="77"/>
        <v>0.68260065810900949</v>
      </c>
      <c r="Z12" s="37">
        <f t="shared" ca="1" si="78"/>
        <v>1.0839265251075245</v>
      </c>
      <c r="AA12" s="37">
        <f t="shared" ca="1" si="79"/>
        <v>2.1495998374673646</v>
      </c>
      <c r="AB12" s="37">
        <f t="shared" ca="1" si="80"/>
        <v>0.54196326255376226</v>
      </c>
      <c r="AC12" s="37">
        <f t="shared" ca="1" si="81"/>
        <v>1.696489509982974</v>
      </c>
      <c r="AD12" s="37">
        <f t="shared" ca="1" si="82"/>
        <v>0.7940391986252795</v>
      </c>
      <c r="AE12" s="37">
        <f t="shared" ca="1" si="83"/>
        <v>1.5541606824889045</v>
      </c>
      <c r="AF12" s="37">
        <f t="shared" ca="1" si="84"/>
        <v>0.39701959931263975</v>
      </c>
      <c r="AG12" s="37">
        <f t="shared" ca="1" si="85"/>
        <v>2.7443212661489289</v>
      </c>
      <c r="AH12" s="37">
        <f t="shared" ca="1" si="86"/>
        <v>1.9776318504699755</v>
      </c>
      <c r="AI12" s="37">
        <f t="shared" ca="1" si="87"/>
        <v>1.0380116711110012</v>
      </c>
      <c r="AJ12" s="37">
        <f t="shared" ca="1" si="88"/>
        <v>0.85998317285704984</v>
      </c>
      <c r="AK12" s="37">
        <f t="shared" ca="1" si="89"/>
        <v>1.8519647044308103</v>
      </c>
      <c r="AL12" s="37">
        <f t="shared" ca="1" si="90"/>
        <v>1.6207982774503928</v>
      </c>
      <c r="AM12" s="37">
        <f t="shared" ca="1" si="91"/>
        <v>1.775150394073886</v>
      </c>
      <c r="AN12" s="37">
        <f t="shared" ca="1" si="92"/>
        <v>0.85998317285704984</v>
      </c>
      <c r="AO12" s="37">
        <f t="shared" ca="1" si="93"/>
        <v>0.43908475319060103</v>
      </c>
      <c r="AP12" s="37">
        <f t="shared" ca="1" si="94"/>
        <v>0.58039195611618843</v>
      </c>
      <c r="AQ12" s="37">
        <f t="shared" ca="1" si="95"/>
        <v>1.2768623034556146</v>
      </c>
      <c r="AR12" s="37">
        <f t="shared" ca="1" si="96"/>
        <v>0.29019597805809422</v>
      </c>
      <c r="AS12" s="37">
        <f t="shared" ca="1" si="97"/>
        <v>4.8612222465691914</v>
      </c>
      <c r="AT12" s="37">
        <f t="shared" ca="1" si="98"/>
        <v>0.4094479788707574</v>
      </c>
      <c r="AU12" s="37">
        <f t="shared" ca="1" si="99"/>
        <v>1.3380327523779374</v>
      </c>
      <c r="AV12" s="37">
        <f t="shared" ca="1" si="100"/>
        <v>0.2047239894353787</v>
      </c>
      <c r="AW12" s="37">
        <f t="shared" ca="1" si="101"/>
        <v>0.40627436928133193</v>
      </c>
      <c r="AX12" s="37">
        <f t="shared" ca="1" si="102"/>
        <v>0.85983993498694589</v>
      </c>
      <c r="AY12" s="37">
        <f t="shared" ca="1" si="103"/>
        <v>0.20313718464066596</v>
      </c>
      <c r="AZ12" s="37">
        <f t="shared" ca="1" si="104"/>
        <v>5.1495998374673642</v>
      </c>
      <c r="BA12" s="37">
        <f t="shared" ca="1" si="105"/>
        <v>0.79684875887924322</v>
      </c>
      <c r="BB12" s="37">
        <f t="shared" ca="1" si="106"/>
        <v>2.2394295104445177</v>
      </c>
      <c r="BC12" s="37">
        <f t="shared" ca="1" si="107"/>
        <v>0.39842437943962161</v>
      </c>
      <c r="BD12" s="37">
        <f t="shared" ca="1" si="108"/>
        <v>0.62553355270300304</v>
      </c>
      <c r="BE12" s="37">
        <f t="shared" ca="1" si="109"/>
        <v>0.74806074343864282</v>
      </c>
      <c r="BF12" s="37">
        <f t="shared" ca="1" si="110"/>
        <v>4.5367974568087481</v>
      </c>
      <c r="BG12" s="37">
        <f t="shared" ca="1" si="111"/>
        <v>2.7999942555084871</v>
      </c>
      <c r="BH12" s="37">
        <f t="shared" ca="1" si="112"/>
        <v>0.75905356082963482</v>
      </c>
      <c r="BI12" s="37">
        <f t="shared" ca="1" si="113"/>
        <v>1.0425559211716717</v>
      </c>
      <c r="BJ12" s="37">
        <f t="shared" ca="1" si="114"/>
        <v>0.56749435709138429</v>
      </c>
      <c r="BK12" s="37">
        <f t="shared" ca="1" si="115"/>
        <v>1.9619975380750658</v>
      </c>
      <c r="BL12" s="37">
        <f t="shared" ca="1" si="116"/>
        <v>2.7527502579464769</v>
      </c>
      <c r="BM12" s="37">
        <f t="shared" ca="1" si="117"/>
        <v>0.16377919154830295</v>
      </c>
      <c r="BN12" s="37">
        <f t="shared" ca="1" si="118"/>
        <v>0.3869279707441256</v>
      </c>
      <c r="BO12" s="37">
        <f t="shared" ca="1" si="119"/>
        <v>0.1461727889477808</v>
      </c>
      <c r="BP12" s="37">
        <f t="shared" ca="1" si="120"/>
        <v>1.570627950427546</v>
      </c>
      <c r="BQ12" s="37">
        <f t="shared" ca="1" si="121"/>
        <v>4.0503853909830312</v>
      </c>
      <c r="BR12" s="37">
        <f t="shared" ca="1" si="122"/>
        <v>0.42519597805809423</v>
      </c>
      <c r="BS12" s="37">
        <f t="shared" ca="1" si="123"/>
        <v>0.61048635384073147</v>
      </c>
      <c r="BT12" s="37">
        <f t="shared" ca="1" si="124"/>
        <v>0.5245023603420369</v>
      </c>
      <c r="BU12" s="37">
        <f t="shared" ca="1" si="125"/>
        <v>3.2493974974419069</v>
      </c>
      <c r="BV12" s="37">
        <f t="shared" ca="1" si="126"/>
        <v>2.8188918545332911</v>
      </c>
      <c r="BW12" s="37">
        <f t="shared" ca="1" si="127"/>
        <v>0.46614077594516995</v>
      </c>
      <c r="BX12" s="37">
        <f t="shared" ca="1" si="128"/>
        <v>2.0907375340117498</v>
      </c>
      <c r="BY12" s="37">
        <f t="shared" ca="1" si="129"/>
        <v>1.9457415153204969</v>
      </c>
      <c r="BZ12" s="37">
        <f t="shared" ca="1" si="130"/>
        <v>4.9456494169882514</v>
      </c>
      <c r="CA12" s="37">
        <f t="shared" ca="1" si="131"/>
        <v>1.9457415153204969</v>
      </c>
      <c r="CB12" s="37">
        <f t="shared" ca="1" si="132"/>
        <v>2.9270006987421677</v>
      </c>
      <c r="CC12" s="37">
        <f t="shared" ca="1" si="133"/>
        <v>6.71180217749282</v>
      </c>
      <c r="CD12" s="37">
        <f t="shared" ca="1" si="134"/>
        <v>2.9270006987421677</v>
      </c>
      <c r="CE12" s="37">
        <f t="shared" ca="1" si="135"/>
        <v>1.287399959366841</v>
      </c>
    </row>
    <row r="13" spans="1:83" x14ac:dyDescent="0.25">
      <c r="A13" t="str">
        <f>PLANTILLA!D16</f>
        <v>Julio Calle</v>
      </c>
      <c r="B13">
        <f>PLANTILLA!E16</f>
        <v>17</v>
      </c>
      <c r="C13" s="33">
        <f ca="1">PLANTILLA!F16</f>
        <v>107</v>
      </c>
      <c r="D13" s="220" t="str">
        <f>PLANTILLA!G16</f>
        <v>POT</v>
      </c>
      <c r="E13" s="30">
        <f>PLANTILLA!M16</f>
        <v>43046</v>
      </c>
      <c r="F13" s="47">
        <f>PLANTILLA!Q16</f>
        <v>6</v>
      </c>
      <c r="G13" s="48">
        <f t="shared" si="1"/>
        <v>0.92582009977255142</v>
      </c>
      <c r="H13" s="48">
        <f t="shared" si="2"/>
        <v>0.99928545900129484</v>
      </c>
      <c r="I13" s="51">
        <f t="shared" ca="1" si="3"/>
        <v>0.55097316501933968</v>
      </c>
      <c r="J13" s="39">
        <f>PLANTILLA!I16</f>
        <v>0.5</v>
      </c>
      <c r="K13" s="46">
        <f>PLANTILLA!X16</f>
        <v>0</v>
      </c>
      <c r="L13" s="46">
        <f>PLANTILLA!Y16</f>
        <v>3</v>
      </c>
      <c r="M13" s="46">
        <f>PLANTILLA!Z16</f>
        <v>4</v>
      </c>
      <c r="N13" s="46">
        <f>PLANTILLA!AA16</f>
        <v>4</v>
      </c>
      <c r="O13" s="46">
        <f>PLANTILLA!AB16</f>
        <v>3.0151111111111111</v>
      </c>
      <c r="P13" s="46">
        <f>PLANTILLA!AC16</f>
        <v>4.235294117647058</v>
      </c>
      <c r="Q13" s="46">
        <f>PLANTILLA!AD16</f>
        <v>1.3</v>
      </c>
      <c r="R13" s="46">
        <f t="shared" si="70"/>
        <v>1.5037777777777777</v>
      </c>
      <c r="S13" s="46">
        <f t="shared" si="71"/>
        <v>0.25076470588235289</v>
      </c>
      <c r="T13" s="46">
        <f t="shared" si="72"/>
        <v>0.15900000000000003</v>
      </c>
      <c r="U13" s="46">
        <f t="shared" ca="1" si="73"/>
        <v>1.34206866615431</v>
      </c>
      <c r="V13" s="46">
        <f t="shared" ca="1" si="74"/>
        <v>1.4485640389517782</v>
      </c>
      <c r="W13" s="37">
        <f t="shared" ca="1" si="75"/>
        <v>0.95860065810900952</v>
      </c>
      <c r="X13" s="37">
        <f t="shared" ca="1" si="76"/>
        <v>1.4681333901703679</v>
      </c>
      <c r="Y13" s="37">
        <f t="shared" ca="1" si="77"/>
        <v>0.95860065810900952</v>
      </c>
      <c r="Z13" s="37">
        <f t="shared" ca="1" si="78"/>
        <v>1.5999265251075245</v>
      </c>
      <c r="AA13" s="37">
        <f t="shared" ca="1" si="79"/>
        <v>3.1495998374673646</v>
      </c>
      <c r="AB13" s="37">
        <f t="shared" ca="1" si="80"/>
        <v>0.79996326255376227</v>
      </c>
      <c r="AC13" s="37">
        <f t="shared" ca="1" si="81"/>
        <v>1.458489509982974</v>
      </c>
      <c r="AD13" s="37">
        <f t="shared" ca="1" si="82"/>
        <v>1.1720391986252796</v>
      </c>
      <c r="AE13" s="37">
        <f t="shared" ca="1" si="83"/>
        <v>2.2771606824889044</v>
      </c>
      <c r="AF13" s="37">
        <f t="shared" ca="1" si="84"/>
        <v>0.58601959931263981</v>
      </c>
      <c r="AG13" s="37">
        <f t="shared" ca="1" si="85"/>
        <v>2.3593212661489287</v>
      </c>
      <c r="AH13" s="37">
        <f t="shared" ca="1" si="86"/>
        <v>2.8976318504699754</v>
      </c>
      <c r="AI13" s="37">
        <f t="shared" ca="1" si="87"/>
        <v>1.4520116711110012</v>
      </c>
      <c r="AJ13" s="37">
        <f t="shared" ca="1" si="88"/>
        <v>0.6929831728570498</v>
      </c>
      <c r="AK13" s="37">
        <f t="shared" ca="1" si="89"/>
        <v>2.4399647044308099</v>
      </c>
      <c r="AL13" s="37">
        <f t="shared" ca="1" si="90"/>
        <v>2.3747982774503931</v>
      </c>
      <c r="AM13" s="37">
        <f t="shared" ca="1" si="91"/>
        <v>2.4831503940738862</v>
      </c>
      <c r="AN13" s="37">
        <f t="shared" ca="1" si="92"/>
        <v>0.24208317285704994</v>
      </c>
      <c r="AO13" s="37">
        <f t="shared" ca="1" si="93"/>
        <v>0.47617275319060093</v>
      </c>
      <c r="AP13" s="37">
        <f t="shared" ca="1" si="94"/>
        <v>0.85039195611618845</v>
      </c>
      <c r="AQ13" s="37">
        <f t="shared" ca="1" si="95"/>
        <v>1.8708623034556144</v>
      </c>
      <c r="AR13" s="37">
        <f t="shared" ca="1" si="96"/>
        <v>0.42519597805809423</v>
      </c>
      <c r="AS13" s="37">
        <f t="shared" ca="1" si="97"/>
        <v>3.9172222465691915</v>
      </c>
      <c r="AT13" s="37">
        <f t="shared" ca="1" si="98"/>
        <v>0.41141242331520189</v>
      </c>
      <c r="AU13" s="37">
        <f t="shared" ca="1" si="99"/>
        <v>1.138351968064212</v>
      </c>
      <c r="AV13" s="37">
        <f t="shared" ca="1" si="100"/>
        <v>0.20570621165760095</v>
      </c>
      <c r="AW13" s="37">
        <f t="shared" ca="1" si="101"/>
        <v>0.59527436928133193</v>
      </c>
      <c r="AX13" s="37">
        <f t="shared" ca="1" si="102"/>
        <v>1.259839934986946</v>
      </c>
      <c r="AY13" s="37">
        <f t="shared" ca="1" si="103"/>
        <v>0.29763718464066596</v>
      </c>
      <c r="AZ13" s="37">
        <f t="shared" ca="1" si="104"/>
        <v>4.1495998374673642</v>
      </c>
      <c r="BA13" s="37">
        <f t="shared" ca="1" si="105"/>
        <v>0.80067186999035445</v>
      </c>
      <c r="BB13" s="37">
        <f t="shared" ca="1" si="106"/>
        <v>1.9999941640392891</v>
      </c>
      <c r="BC13" s="37">
        <f t="shared" ca="1" si="107"/>
        <v>0.40033593499517722</v>
      </c>
      <c r="BD13" s="37">
        <f t="shared" ca="1" si="108"/>
        <v>0.91653355270300307</v>
      </c>
      <c r="BE13" s="37">
        <f t="shared" ca="1" si="109"/>
        <v>1.0960607434386429</v>
      </c>
      <c r="BF13" s="37">
        <f t="shared" ca="1" si="110"/>
        <v>3.6557974568087479</v>
      </c>
      <c r="BG13" s="37">
        <f t="shared" ca="1" si="111"/>
        <v>3.3787542555084866</v>
      </c>
      <c r="BH13" s="37">
        <f t="shared" ca="1" si="112"/>
        <v>0.76269533860741268</v>
      </c>
      <c r="BI13" s="37">
        <f t="shared" ca="1" si="113"/>
        <v>1.5275559211716718</v>
      </c>
      <c r="BJ13" s="37">
        <f t="shared" ca="1" si="114"/>
        <v>0.83149435709138431</v>
      </c>
      <c r="BK13" s="37">
        <f t="shared" ca="1" si="115"/>
        <v>1.5809975380750658</v>
      </c>
      <c r="BL13" s="37">
        <f t="shared" ca="1" si="116"/>
        <v>3.4287875912798098</v>
      </c>
      <c r="BM13" s="37">
        <f t="shared" ca="1" si="117"/>
        <v>0.16456496932608075</v>
      </c>
      <c r="BN13" s="37">
        <f t="shared" ca="1" si="118"/>
        <v>0.5669279707441256</v>
      </c>
      <c r="BO13" s="37">
        <f t="shared" ca="1" si="119"/>
        <v>0.2141727889477808</v>
      </c>
      <c r="BP13" s="37">
        <f t="shared" ca="1" si="120"/>
        <v>1.2656279504275461</v>
      </c>
      <c r="BQ13" s="37">
        <f t="shared" ca="1" si="121"/>
        <v>5.0547071687608085</v>
      </c>
      <c r="BR13" s="37">
        <f t="shared" ca="1" si="122"/>
        <v>0.42723597805809432</v>
      </c>
      <c r="BS13" s="37">
        <f t="shared" ca="1" si="123"/>
        <v>0.8944863538407315</v>
      </c>
      <c r="BT13" s="37">
        <f t="shared" ca="1" si="124"/>
        <v>0.76850236034203689</v>
      </c>
      <c r="BU13" s="37">
        <f t="shared" ca="1" si="125"/>
        <v>2.6183974974419066</v>
      </c>
      <c r="BV13" s="37">
        <f t="shared" ca="1" si="126"/>
        <v>3.5238082989777353</v>
      </c>
      <c r="BW13" s="37">
        <f t="shared" ca="1" si="127"/>
        <v>0.46837722038961443</v>
      </c>
      <c r="BX13" s="37">
        <f t="shared" ca="1" si="128"/>
        <v>1.6847375340117499</v>
      </c>
      <c r="BY13" s="37">
        <f t="shared" ca="1" si="129"/>
        <v>1.9456016460394512</v>
      </c>
      <c r="BZ13" s="37">
        <f t="shared" ca="1" si="130"/>
        <v>4.2748312209098209</v>
      </c>
      <c r="CA13" s="37">
        <f t="shared" ca="1" si="131"/>
        <v>1.9456016460394512</v>
      </c>
      <c r="CB13" s="37">
        <f t="shared" ca="1" si="132"/>
        <v>2.679788934036285</v>
      </c>
      <c r="CC13" s="37">
        <f t="shared" ca="1" si="133"/>
        <v>5.5526722951398799</v>
      </c>
      <c r="CD13" s="37">
        <f t="shared" ca="1" si="134"/>
        <v>2.679788934036285</v>
      </c>
      <c r="CE13" s="37">
        <f t="shared" ca="1" si="135"/>
        <v>1.037399959366841</v>
      </c>
    </row>
    <row r="14" spans="1:83" x14ac:dyDescent="0.25">
      <c r="A14" t="str">
        <f>PLANTILLA!D18</f>
        <v>Enrique Cubas</v>
      </c>
      <c r="B14">
        <f>PLANTILLA!E18</f>
        <v>17</v>
      </c>
      <c r="C14" s="33">
        <f ca="1">PLANTILLA!F18</f>
        <v>108</v>
      </c>
      <c r="D14" s="220" t="str">
        <f>PLANTILLA!G18</f>
        <v>RAP</v>
      </c>
      <c r="E14" s="30">
        <f>PLANTILLA!M18</f>
        <v>43046</v>
      </c>
      <c r="F14" s="47">
        <f>PLANTILLA!Q18</f>
        <v>6</v>
      </c>
      <c r="G14" s="48">
        <f t="shared" si="1"/>
        <v>0.92582009977255142</v>
      </c>
      <c r="H14" s="48">
        <f t="shared" si="2"/>
        <v>0.99928545900129484</v>
      </c>
      <c r="I14" s="51">
        <f t="shared" ca="1" si="3"/>
        <v>0.55097316501933968</v>
      </c>
      <c r="J14" s="39">
        <f>PLANTILLA!I18</f>
        <v>1.5</v>
      </c>
      <c r="K14" s="46">
        <f>PLANTILLA!X18</f>
        <v>0</v>
      </c>
      <c r="L14" s="46">
        <f>PLANTILLA!Y18</f>
        <v>2</v>
      </c>
      <c r="M14" s="46">
        <f>PLANTILLA!Z18</f>
        <v>5.7</v>
      </c>
      <c r="N14" s="46">
        <f>PLANTILLA!AA18</f>
        <v>5.5</v>
      </c>
      <c r="O14" s="46">
        <f>PLANTILLA!AB18</f>
        <v>6</v>
      </c>
      <c r="P14" s="46">
        <f>PLANTILLA!AC18</f>
        <v>6</v>
      </c>
      <c r="Q14" s="46">
        <f>PLANTILLA!AD18</f>
        <v>5</v>
      </c>
      <c r="R14" s="46">
        <f t="shared" si="70"/>
        <v>2.125</v>
      </c>
      <c r="S14" s="46">
        <f t="shared" si="71"/>
        <v>0.45</v>
      </c>
      <c r="T14" s="46">
        <f t="shared" si="72"/>
        <v>0.22999999999999998</v>
      </c>
      <c r="U14" s="46">
        <f t="shared" ca="1" si="73"/>
        <v>5.3565742988436336</v>
      </c>
      <c r="V14" s="46">
        <f t="shared" ca="1" si="74"/>
        <v>5.7816273466189836</v>
      </c>
      <c r="W14" s="37">
        <f t="shared" ca="1" si="75"/>
        <v>1.2379697986026965</v>
      </c>
      <c r="X14" s="37">
        <f t="shared" ca="1" si="76"/>
        <v>1.8644181099611468</v>
      </c>
      <c r="Y14" s="37">
        <f t="shared" ca="1" si="77"/>
        <v>1.2379697986026965</v>
      </c>
      <c r="Z14" s="37">
        <f t="shared" ca="1" si="78"/>
        <v>1.4121859483546522</v>
      </c>
      <c r="AA14" s="37">
        <f t="shared" ca="1" si="79"/>
        <v>2.7857615104269144</v>
      </c>
      <c r="AB14" s="37">
        <f t="shared" ca="1" si="80"/>
        <v>0.70609297417732608</v>
      </c>
      <c r="AC14" s="37">
        <f t="shared" ca="1" si="81"/>
        <v>2.0144959881473468</v>
      </c>
      <c r="AD14" s="37">
        <f t="shared" ca="1" si="82"/>
        <v>1.0345083110039894</v>
      </c>
      <c r="AE14" s="37">
        <f t="shared" ca="1" si="83"/>
        <v>2.0141055720386589</v>
      </c>
      <c r="AF14" s="37">
        <f t="shared" ca="1" si="84"/>
        <v>0.51725415550199472</v>
      </c>
      <c r="AG14" s="37">
        <f t="shared" ca="1" si="85"/>
        <v>3.2587435102383551</v>
      </c>
      <c r="AH14" s="37">
        <f t="shared" ca="1" si="86"/>
        <v>2.5629005895927612</v>
      </c>
      <c r="AI14" s="37">
        <f t="shared" ca="1" si="87"/>
        <v>1.3013826037162548</v>
      </c>
      <c r="AJ14" s="37">
        <f t="shared" ca="1" si="88"/>
        <v>1.0831221722412949</v>
      </c>
      <c r="AK14" s="37">
        <f t="shared" ca="1" si="89"/>
        <v>3.6960277681310254</v>
      </c>
      <c r="AL14" s="37">
        <f t="shared" ca="1" si="90"/>
        <v>2.1004641788618934</v>
      </c>
      <c r="AM14" s="37">
        <f t="shared" ca="1" si="91"/>
        <v>2.2255528585292472</v>
      </c>
      <c r="AN14" s="37">
        <f t="shared" ca="1" si="92"/>
        <v>0.9662221722412947</v>
      </c>
      <c r="AO14" s="37">
        <f t="shared" ca="1" si="93"/>
        <v>0.8382993150029513</v>
      </c>
      <c r="AP14" s="37">
        <f t="shared" ca="1" si="94"/>
        <v>0.75215560781526691</v>
      </c>
      <c r="AQ14" s="37">
        <f t="shared" ca="1" si="95"/>
        <v>1.6547423371935872</v>
      </c>
      <c r="AR14" s="37">
        <f t="shared" ca="1" si="96"/>
        <v>0.37607780390763346</v>
      </c>
      <c r="AS14" s="37">
        <f t="shared" ca="1" si="97"/>
        <v>6.1225588658430077</v>
      </c>
      <c r="AT14" s="37">
        <f t="shared" ca="1" si="98"/>
        <v>0.88214899635549882</v>
      </c>
      <c r="AU14" s="37">
        <f t="shared" ca="1" si="99"/>
        <v>1.9882281225550855</v>
      </c>
      <c r="AV14" s="37">
        <f t="shared" ca="1" si="100"/>
        <v>0.44107449817774941</v>
      </c>
      <c r="AW14" s="37">
        <f t="shared" ca="1" si="101"/>
        <v>0.52650892547068684</v>
      </c>
      <c r="AX14" s="37">
        <f t="shared" ca="1" si="102"/>
        <v>1.1143046041707658</v>
      </c>
      <c r="AY14" s="37">
        <f t="shared" ca="1" si="103"/>
        <v>0.26325446273534342</v>
      </c>
      <c r="AZ14" s="37">
        <f t="shared" ca="1" si="104"/>
        <v>6.4857615104269151</v>
      </c>
      <c r="BA14" s="37">
        <f t="shared" ca="1" si="105"/>
        <v>1.7167976621380092</v>
      </c>
      <c r="BB14" s="37">
        <f t="shared" ca="1" si="106"/>
        <v>3.7389545922452299</v>
      </c>
      <c r="BC14" s="37">
        <f t="shared" ca="1" si="107"/>
        <v>0.85839883106900461</v>
      </c>
      <c r="BD14" s="37">
        <f t="shared" ca="1" si="108"/>
        <v>0.81065659953423208</v>
      </c>
      <c r="BE14" s="37">
        <f t="shared" ca="1" si="109"/>
        <v>0.96944500562856617</v>
      </c>
      <c r="BF14" s="37">
        <f t="shared" ca="1" si="110"/>
        <v>5.7139558906861119</v>
      </c>
      <c r="BG14" s="37">
        <f t="shared" ca="1" si="111"/>
        <v>5.7455419827695255</v>
      </c>
      <c r="BH14" s="37">
        <f t="shared" ca="1" si="112"/>
        <v>1.6353685240128861</v>
      </c>
      <c r="BI14" s="37">
        <f t="shared" ca="1" si="113"/>
        <v>1.3510943325570535</v>
      </c>
      <c r="BJ14" s="37">
        <f t="shared" ca="1" si="114"/>
        <v>0.7354410387527055</v>
      </c>
      <c r="BK14" s="37">
        <f t="shared" ca="1" si="115"/>
        <v>2.4710751354726548</v>
      </c>
      <c r="BL14" s="37">
        <f t="shared" ca="1" si="116"/>
        <v>5.5942555601131234</v>
      </c>
      <c r="BM14" s="37">
        <f t="shared" ca="1" si="117"/>
        <v>0.3528595985421995</v>
      </c>
      <c r="BN14" s="37">
        <f t="shared" ca="1" si="118"/>
        <v>0.50143707187684461</v>
      </c>
      <c r="BO14" s="37">
        <f t="shared" ca="1" si="119"/>
        <v>0.18943178270903019</v>
      </c>
      <c r="BP14" s="37">
        <f t="shared" ca="1" si="120"/>
        <v>1.9781572606802091</v>
      </c>
      <c r="BQ14" s="37">
        <f t="shared" ca="1" si="121"/>
        <v>8.2264893024090107</v>
      </c>
      <c r="BR14" s="37">
        <f t="shared" ca="1" si="122"/>
        <v>0.91607780390763349</v>
      </c>
      <c r="BS14" s="37">
        <f t="shared" ca="1" si="123"/>
        <v>0.79115626896124358</v>
      </c>
      <c r="BT14" s="37">
        <f t="shared" ca="1" si="124"/>
        <v>0.67972580854416709</v>
      </c>
      <c r="BU14" s="37">
        <f t="shared" ca="1" si="125"/>
        <v>4.0925155130793831</v>
      </c>
      <c r="BV14" s="37">
        <f t="shared" ca="1" si="126"/>
        <v>5.7222565518320883</v>
      </c>
      <c r="BW14" s="37">
        <f t="shared" ca="1" si="127"/>
        <v>1.0042927035431832</v>
      </c>
      <c r="BX14" s="37">
        <f t="shared" ca="1" si="128"/>
        <v>2.6332191732333277</v>
      </c>
      <c r="BY14" s="37">
        <f t="shared" ca="1" si="129"/>
        <v>3.4633817469324222</v>
      </c>
      <c r="BZ14" s="37">
        <f t="shared" ca="1" si="130"/>
        <v>7.6407674607407046</v>
      </c>
      <c r="CA14" s="37">
        <f t="shared" ca="1" si="131"/>
        <v>3.4633817469324222</v>
      </c>
      <c r="CB14" s="37">
        <f t="shared" ca="1" si="132"/>
        <v>4.1170294209959675</v>
      </c>
      <c r="CC14" s="37">
        <f t="shared" ca="1" si="133"/>
        <v>9.2897075077744447</v>
      </c>
      <c r="CD14" s="37">
        <f t="shared" ca="1" si="134"/>
        <v>4.1170294209959675</v>
      </c>
      <c r="CE14" s="37">
        <f t="shared" ca="1" si="135"/>
        <v>1.6214403776067288</v>
      </c>
    </row>
    <row r="15" spans="1:83" x14ac:dyDescent="0.25">
      <c r="A15" t="str">
        <f>PLANTILLA!D19</f>
        <v>J. G. Peñuela</v>
      </c>
      <c r="B15">
        <f>PLANTILLA!E19</f>
        <v>17</v>
      </c>
      <c r="C15" s="33">
        <f ca="1">PLANTILLA!F19</f>
        <v>108</v>
      </c>
      <c r="D15" s="220" t="str">
        <f>PLANTILLA!G19</f>
        <v>IMP</v>
      </c>
      <c r="E15" s="30">
        <f>PLANTILLA!M19</f>
        <v>43054</v>
      </c>
      <c r="F15" s="47">
        <f>PLANTILLA!Q19</f>
        <v>6</v>
      </c>
      <c r="G15" s="48">
        <f t="shared" si="1"/>
        <v>0.92582009977255142</v>
      </c>
      <c r="H15" s="48">
        <f t="shared" si="2"/>
        <v>0.99928545900129484</v>
      </c>
      <c r="I15" s="51">
        <f t="shared" ca="1" si="3"/>
        <v>0.52892523551245385</v>
      </c>
      <c r="J15" s="39">
        <f>PLANTILLA!I19</f>
        <v>1.4</v>
      </c>
      <c r="K15" s="46">
        <f>PLANTILLA!X19</f>
        <v>0</v>
      </c>
      <c r="L15" s="46">
        <f>PLANTILLA!Y19</f>
        <v>3</v>
      </c>
      <c r="M15" s="46">
        <f>PLANTILLA!Z19</f>
        <v>5</v>
      </c>
      <c r="N15" s="46">
        <f>PLANTILLA!AA19</f>
        <v>4</v>
      </c>
      <c r="O15" s="46">
        <f>PLANTILLA!AB19</f>
        <v>5</v>
      </c>
      <c r="P15" s="46">
        <f>PLANTILLA!AC19</f>
        <v>6.2516666666666669</v>
      </c>
      <c r="Q15" s="46">
        <f>PLANTILLA!AD19</f>
        <v>3</v>
      </c>
      <c r="R15" s="46">
        <f t="shared" si="70"/>
        <v>2</v>
      </c>
      <c r="S15" s="46">
        <f t="shared" si="71"/>
        <v>0.40258333333333329</v>
      </c>
      <c r="T15" s="46">
        <f t="shared" si="72"/>
        <v>0.21000000000000002</v>
      </c>
      <c r="U15" s="46">
        <f t="shared" ca="1" si="73"/>
        <v>3.4475342770602726</v>
      </c>
      <c r="V15" s="46">
        <f t="shared" ca="1" si="74"/>
        <v>3.7211018353578962</v>
      </c>
      <c r="W15" s="37">
        <f t="shared" ca="1" si="75"/>
        <v>1.4598447641318415</v>
      </c>
      <c r="X15" s="37">
        <f t="shared" ca="1" si="76"/>
        <v>2.2093775377940519</v>
      </c>
      <c r="Y15" s="37">
        <f t="shared" ca="1" si="77"/>
        <v>1.4598447641318415</v>
      </c>
      <c r="Z15" s="37">
        <f t="shared" ca="1" si="78"/>
        <v>1.8972056115492877</v>
      </c>
      <c r="AA15" s="37">
        <f t="shared" ca="1" si="79"/>
        <v>3.7237626164167716</v>
      </c>
      <c r="AB15" s="37">
        <f t="shared" ca="1" si="80"/>
        <v>0.94860280577464384</v>
      </c>
      <c r="AC15" s="37">
        <f t="shared" ca="1" si="81"/>
        <v>1.8142971671655821</v>
      </c>
      <c r="AD15" s="37">
        <f t="shared" ca="1" si="82"/>
        <v>1.3898134131116875</v>
      </c>
      <c r="AE15" s="37">
        <f t="shared" ca="1" si="83"/>
        <v>2.6922803716693258</v>
      </c>
      <c r="AF15" s="37">
        <f t="shared" ca="1" si="84"/>
        <v>0.69490670655584375</v>
      </c>
      <c r="AG15" s="37">
        <f t="shared" ca="1" si="85"/>
        <v>2.9348924762972657</v>
      </c>
      <c r="AH15" s="37">
        <f t="shared" ca="1" si="86"/>
        <v>3.42586160710343</v>
      </c>
      <c r="AI15" s="37">
        <f t="shared" ca="1" si="87"/>
        <v>1.6837895484751304</v>
      </c>
      <c r="AJ15" s="37">
        <f t="shared" ca="1" si="88"/>
        <v>0.95586835694160088</v>
      </c>
      <c r="AK15" s="37">
        <f t="shared" ca="1" si="89"/>
        <v>2.7775724184530617</v>
      </c>
      <c r="AL15" s="37">
        <f t="shared" ca="1" si="90"/>
        <v>2.8077170127782458</v>
      </c>
      <c r="AM15" s="37">
        <f t="shared" ca="1" si="91"/>
        <v>2.8795241553632667</v>
      </c>
      <c r="AN15" s="37">
        <f t="shared" ca="1" si="92"/>
        <v>0.62186835694160092</v>
      </c>
      <c r="AO15" s="37">
        <f t="shared" ca="1" si="93"/>
        <v>0.78444363352803015</v>
      </c>
      <c r="AP15" s="37">
        <f t="shared" ca="1" si="94"/>
        <v>1.0054159064325283</v>
      </c>
      <c r="AQ15" s="37">
        <f t="shared" ca="1" si="95"/>
        <v>2.2119149941515621</v>
      </c>
      <c r="AR15" s="37">
        <f t="shared" ca="1" si="96"/>
        <v>0.50270795321626416</v>
      </c>
      <c r="AS15" s="37">
        <f t="shared" ca="1" si="97"/>
        <v>5.403231909897432</v>
      </c>
      <c r="AT15" s="37">
        <f t="shared" ca="1" si="98"/>
        <v>0.74408914013418037</v>
      </c>
      <c r="AU15" s="37">
        <f t="shared" ca="1" si="99"/>
        <v>1.8936007799434473</v>
      </c>
      <c r="AV15" s="37">
        <f t="shared" ca="1" si="100"/>
        <v>0.37204457006709019</v>
      </c>
      <c r="AW15" s="37">
        <f t="shared" ca="1" si="101"/>
        <v>0.70379113450276987</v>
      </c>
      <c r="AX15" s="37">
        <f t="shared" ca="1" si="102"/>
        <v>1.4895050465667088</v>
      </c>
      <c r="AY15" s="37">
        <f t="shared" ca="1" si="103"/>
        <v>0.35189556725138493</v>
      </c>
      <c r="AZ15" s="37">
        <f t="shared" ca="1" si="104"/>
        <v>5.7237626164167716</v>
      </c>
      <c r="BA15" s="37">
        <f t="shared" ca="1" si="105"/>
        <v>1.4481119419534432</v>
      </c>
      <c r="BB15" s="37">
        <f t="shared" ca="1" si="106"/>
        <v>3.4166432016456412</v>
      </c>
      <c r="BC15" s="37">
        <f t="shared" ca="1" si="107"/>
        <v>0.72405597097672159</v>
      </c>
      <c r="BD15" s="37">
        <f t="shared" ca="1" si="108"/>
        <v>1.0836149213772805</v>
      </c>
      <c r="BE15" s="37">
        <f t="shared" ca="1" si="109"/>
        <v>1.2958693905130365</v>
      </c>
      <c r="BF15" s="37">
        <f t="shared" ca="1" si="110"/>
        <v>5.0426348650631763</v>
      </c>
      <c r="BG15" s="37">
        <f t="shared" ca="1" si="111"/>
        <v>4.5144249659945102</v>
      </c>
      <c r="BH15" s="37">
        <f t="shared" ca="1" si="112"/>
        <v>1.3794267905564419</v>
      </c>
      <c r="BI15" s="37">
        <f t="shared" ca="1" si="113"/>
        <v>1.8060248689621341</v>
      </c>
      <c r="BJ15" s="37">
        <f t="shared" ca="1" si="114"/>
        <v>0.98307333073402781</v>
      </c>
      <c r="BK15" s="37">
        <f t="shared" ca="1" si="115"/>
        <v>2.18075355685479</v>
      </c>
      <c r="BL15" s="37">
        <f t="shared" ca="1" si="116"/>
        <v>4.3295685267482593</v>
      </c>
      <c r="BM15" s="37">
        <f t="shared" ca="1" si="117"/>
        <v>0.29763565605367209</v>
      </c>
      <c r="BN15" s="37">
        <f t="shared" ca="1" si="118"/>
        <v>0.67027727095501888</v>
      </c>
      <c r="BO15" s="37">
        <f t="shared" ca="1" si="119"/>
        <v>0.25321585791634049</v>
      </c>
      <c r="BP15" s="37">
        <f t="shared" ca="1" si="120"/>
        <v>1.7457475980071153</v>
      </c>
      <c r="BQ15" s="37">
        <f t="shared" ca="1" si="121"/>
        <v>6.3607587247119683</v>
      </c>
      <c r="BR15" s="37">
        <f t="shared" ca="1" si="122"/>
        <v>0.77270795321626418</v>
      </c>
      <c r="BS15" s="37">
        <f t="shared" ca="1" si="123"/>
        <v>1.057548583062363</v>
      </c>
      <c r="BT15" s="37">
        <f t="shared" ca="1" si="124"/>
        <v>0.90859807840569229</v>
      </c>
      <c r="BU15" s="37">
        <f t="shared" ca="1" si="125"/>
        <v>3.6116942109589831</v>
      </c>
      <c r="BV15" s="37">
        <f t="shared" ca="1" si="126"/>
        <v>4.4207675416930101</v>
      </c>
      <c r="BW15" s="37">
        <f t="shared" ca="1" si="127"/>
        <v>0.84711686722968216</v>
      </c>
      <c r="BX15" s="37">
        <f t="shared" ca="1" si="128"/>
        <v>2.3238476222652094</v>
      </c>
      <c r="BY15" s="37">
        <f t="shared" ca="1" si="129"/>
        <v>2.9970419898198042</v>
      </c>
      <c r="BZ15" s="37">
        <f t="shared" ca="1" si="130"/>
        <v>7.1746783727519512</v>
      </c>
      <c r="CA15" s="37">
        <f t="shared" ca="1" si="131"/>
        <v>2.9970419898198042</v>
      </c>
      <c r="CB15" s="37">
        <f t="shared" ca="1" si="132"/>
        <v>3.8480741100276488</v>
      </c>
      <c r="CC15" s="37">
        <f t="shared" ca="1" si="133"/>
        <v>9.0874976885412266</v>
      </c>
      <c r="CD15" s="37">
        <f t="shared" ca="1" si="134"/>
        <v>3.8480741100276488</v>
      </c>
      <c r="CE15" s="37">
        <f t="shared" ca="1" si="135"/>
        <v>1.4309406541041929</v>
      </c>
    </row>
    <row r="16" spans="1:83" x14ac:dyDescent="0.25">
      <c r="A16" t="str">
        <f>PLANTILLA!D20</f>
        <v>Paulo Beltrán</v>
      </c>
      <c r="B16">
        <f>PLANTILLA!E20</f>
        <v>18</v>
      </c>
      <c r="C16" s="33">
        <f ca="1">PLANTILLA!F20</f>
        <v>4</v>
      </c>
      <c r="D16" s="220" t="str">
        <f>PLANTILLA!G20</f>
        <v>RAP</v>
      </c>
      <c r="E16" s="30">
        <f>PLANTILLA!M20</f>
        <v>43046</v>
      </c>
      <c r="F16" s="47">
        <f>PLANTILLA!Q20</f>
        <v>6</v>
      </c>
      <c r="G16" s="48">
        <f t="shared" si="1"/>
        <v>0.92582009977255142</v>
      </c>
      <c r="H16" s="48">
        <f t="shared" si="2"/>
        <v>0.99928545900129484</v>
      </c>
      <c r="I16" s="51">
        <f t="shared" ca="1" si="3"/>
        <v>0.55097316501933968</v>
      </c>
      <c r="J16" s="39">
        <f>PLANTILLA!I20</f>
        <v>1.1000000000000001</v>
      </c>
      <c r="K16" s="46">
        <f>PLANTILLA!X20</f>
        <v>0</v>
      </c>
      <c r="L16" s="46">
        <f>PLANTILLA!Y20</f>
        <v>4</v>
      </c>
      <c r="M16" s="46">
        <f>PLANTILLA!Z20</f>
        <v>2</v>
      </c>
      <c r="N16" s="46">
        <f>PLANTILLA!AA20</f>
        <v>5</v>
      </c>
      <c r="O16" s="46">
        <f>PLANTILLA!AB20</f>
        <v>4.25</v>
      </c>
      <c r="P16" s="46">
        <f>PLANTILLA!AC20</f>
        <v>4.4196078431372534</v>
      </c>
      <c r="Q16" s="46">
        <f>PLANTILLA!AD20</f>
        <v>4</v>
      </c>
      <c r="R16" s="46">
        <f t="shared" si="70"/>
        <v>1.9375</v>
      </c>
      <c r="S16" s="46">
        <f t="shared" si="71"/>
        <v>0.34098039215686271</v>
      </c>
      <c r="T16" s="46">
        <f t="shared" si="72"/>
        <v>0.27999999999999997</v>
      </c>
      <c r="U16" s="46">
        <f t="shared" ca="1" si="73"/>
        <v>4.2644786695711314</v>
      </c>
      <c r="V16" s="46">
        <f t="shared" ca="1" si="74"/>
        <v>4.6028721192924369</v>
      </c>
      <c r="W16" s="37">
        <f t="shared" ca="1" si="75"/>
        <v>1.6331806585860575</v>
      </c>
      <c r="X16" s="37">
        <f t="shared" ca="1" si="76"/>
        <v>2.482556964758992</v>
      </c>
      <c r="Y16" s="37">
        <f t="shared" ca="1" si="77"/>
        <v>1.6331806585860575</v>
      </c>
      <c r="Z16" s="37">
        <f t="shared" ca="1" si="78"/>
        <v>2.3515133295132022</v>
      </c>
      <c r="AA16" s="37">
        <f t="shared" ca="1" si="79"/>
        <v>4.606163411896973</v>
      </c>
      <c r="AB16" s="37">
        <f t="shared" ca="1" si="80"/>
        <v>1.1757566647566011</v>
      </c>
      <c r="AC16" s="37">
        <f t="shared" ca="1" si="81"/>
        <v>1.091151640697221</v>
      </c>
      <c r="AD16" s="37">
        <f t="shared" ca="1" si="82"/>
        <v>1.7226202297596716</v>
      </c>
      <c r="AE16" s="37">
        <f t="shared" ca="1" si="83"/>
        <v>3.3302561468015113</v>
      </c>
      <c r="AF16" s="37">
        <f t="shared" ca="1" si="84"/>
        <v>0.86131011487983578</v>
      </c>
      <c r="AG16" s="37">
        <f t="shared" ca="1" si="85"/>
        <v>1.7650982423043282</v>
      </c>
      <c r="AH16" s="37">
        <f t="shared" ca="1" si="86"/>
        <v>4.2376703389452155</v>
      </c>
      <c r="AI16" s="37">
        <f t="shared" ca="1" si="87"/>
        <v>2.0550289909248591</v>
      </c>
      <c r="AJ16" s="37">
        <f t="shared" ca="1" si="88"/>
        <v>0.43522928978679454</v>
      </c>
      <c r="AK16" s="37">
        <f t="shared" ca="1" si="89"/>
        <v>3.2964240861954197</v>
      </c>
      <c r="AL16" s="37">
        <f t="shared" ca="1" si="90"/>
        <v>3.4730472125703176</v>
      </c>
      <c r="AM16" s="37">
        <f t="shared" ca="1" si="91"/>
        <v>3.5143974047700488</v>
      </c>
      <c r="AN16" s="37">
        <f t="shared" ca="1" si="92"/>
        <v>0.7692292897867945</v>
      </c>
      <c r="AO16" s="37">
        <f t="shared" ca="1" si="93"/>
        <v>0.73257506262632821</v>
      </c>
      <c r="AP16" s="37">
        <f t="shared" ca="1" si="94"/>
        <v>1.2436641212121828</v>
      </c>
      <c r="AQ16" s="37">
        <f t="shared" ca="1" si="95"/>
        <v>2.7360610666668017</v>
      </c>
      <c r="AR16" s="37">
        <f t="shared" ca="1" si="96"/>
        <v>0.62183206060609142</v>
      </c>
      <c r="AS16" s="37">
        <f t="shared" ca="1" si="97"/>
        <v>2.4602182608307426</v>
      </c>
      <c r="AT16" s="37">
        <f t="shared" ca="1" si="98"/>
        <v>0.63130124354660655</v>
      </c>
      <c r="AU16" s="37">
        <f t="shared" ca="1" si="99"/>
        <v>1.4521980365485578</v>
      </c>
      <c r="AV16" s="37">
        <f t="shared" ca="1" si="100"/>
        <v>0.31565062177330327</v>
      </c>
      <c r="AW16" s="37">
        <f t="shared" ca="1" si="101"/>
        <v>0.8705648848485279</v>
      </c>
      <c r="AX16" s="37">
        <f t="shared" ca="1" si="102"/>
        <v>1.8424653647587892</v>
      </c>
      <c r="AY16" s="37">
        <f t="shared" ca="1" si="103"/>
        <v>0.43528244242426395</v>
      </c>
      <c r="AZ16" s="37">
        <f t="shared" ca="1" si="104"/>
        <v>2.606163411896973</v>
      </c>
      <c r="BA16" s="37">
        <f t="shared" ca="1" si="105"/>
        <v>1.2286093432099341</v>
      </c>
      <c r="BB16" s="37">
        <f t="shared" ca="1" si="106"/>
        <v>2.7113636870140554</v>
      </c>
      <c r="BC16" s="37">
        <f t="shared" ca="1" si="107"/>
        <v>0.61430467160496705</v>
      </c>
      <c r="BD16" s="37">
        <f t="shared" ca="1" si="108"/>
        <v>1.340393552862019</v>
      </c>
      <c r="BE16" s="37">
        <f t="shared" ca="1" si="109"/>
        <v>1.6029448673401465</v>
      </c>
      <c r="BF16" s="37">
        <f t="shared" ca="1" si="110"/>
        <v>2.2960299658812331</v>
      </c>
      <c r="BG16" s="37">
        <f t="shared" ca="1" si="111"/>
        <v>4.7476292731764085</v>
      </c>
      <c r="BH16" s="37">
        <f t="shared" ca="1" si="112"/>
        <v>1.1703353822671705</v>
      </c>
      <c r="BI16" s="37">
        <f t="shared" ca="1" si="113"/>
        <v>2.233989254770032</v>
      </c>
      <c r="BJ16" s="37">
        <f t="shared" ca="1" si="114"/>
        <v>1.216027140740801</v>
      </c>
      <c r="BK16" s="37">
        <f t="shared" ca="1" si="115"/>
        <v>0.99294825993274671</v>
      </c>
      <c r="BL16" s="37">
        <f t="shared" ca="1" si="116"/>
        <v>4.7490368219979544</v>
      </c>
      <c r="BM16" s="37">
        <f t="shared" ca="1" si="117"/>
        <v>0.25252049741864258</v>
      </c>
      <c r="BN16" s="37">
        <f t="shared" ca="1" si="118"/>
        <v>0.82910941414145511</v>
      </c>
      <c r="BO16" s="37">
        <f t="shared" ca="1" si="119"/>
        <v>0.31321911200899416</v>
      </c>
      <c r="BP16" s="37">
        <f t="shared" ca="1" si="120"/>
        <v>0.79487984062857675</v>
      </c>
      <c r="BQ16" s="37">
        <f t="shared" ca="1" si="121"/>
        <v>6.995026147699507</v>
      </c>
      <c r="BR16" s="37">
        <f t="shared" ca="1" si="122"/>
        <v>0.65558206060609137</v>
      </c>
      <c r="BS16" s="37">
        <f t="shared" ca="1" si="123"/>
        <v>1.3081504089787401</v>
      </c>
      <c r="BT16" s="37">
        <f t="shared" ca="1" si="124"/>
        <v>1.1239038725028614</v>
      </c>
      <c r="BU16" s="37">
        <f t="shared" ca="1" si="125"/>
        <v>1.6444891129069901</v>
      </c>
      <c r="BV16" s="37">
        <f t="shared" ca="1" si="126"/>
        <v>4.8727662536477903</v>
      </c>
      <c r="BW16" s="37">
        <f t="shared" ca="1" si="127"/>
        <v>0.71871218496075195</v>
      </c>
      <c r="BX16" s="37">
        <f t="shared" ca="1" si="128"/>
        <v>1.058102345230171</v>
      </c>
      <c r="BY16" s="37">
        <f t="shared" ca="1" si="129"/>
        <v>2.6596013336767541</v>
      </c>
      <c r="BZ16" s="37">
        <f t="shared" ca="1" si="130"/>
        <v>5.5669213743450099</v>
      </c>
      <c r="CA16" s="37">
        <f t="shared" ca="1" si="131"/>
        <v>2.6596013336767541</v>
      </c>
      <c r="CB16" s="37">
        <f t="shared" ca="1" si="132"/>
        <v>3.2593221585529903</v>
      </c>
      <c r="CC16" s="37">
        <f t="shared" ca="1" si="133"/>
        <v>6.8176955540242092</v>
      </c>
      <c r="CD16" s="37">
        <f t="shared" ca="1" si="134"/>
        <v>3.2593221585529903</v>
      </c>
      <c r="CE16" s="37">
        <f t="shared" ca="1" si="135"/>
        <v>0.65154085297424325</v>
      </c>
    </row>
    <row r="17" spans="1:83" x14ac:dyDescent="0.25">
      <c r="A17" t="str">
        <f>PLANTILLA!D22</f>
        <v>Nicolás Eans</v>
      </c>
      <c r="B17">
        <f>PLANTILLA!E22</f>
        <v>18</v>
      </c>
      <c r="C17" s="33">
        <f ca="1">PLANTILLA!F22</f>
        <v>37</v>
      </c>
      <c r="D17" s="220" t="str">
        <f>PLANTILLA!G22</f>
        <v>TEC</v>
      </c>
      <c r="E17" s="30">
        <f>PLANTILLA!M22</f>
        <v>43046</v>
      </c>
      <c r="F17" s="47">
        <f>PLANTILLA!Q22</f>
        <v>5</v>
      </c>
      <c r="G17" s="48">
        <f t="shared" si="1"/>
        <v>0.84515425472851657</v>
      </c>
      <c r="H17" s="48">
        <f t="shared" si="2"/>
        <v>0.92504826128926143</v>
      </c>
      <c r="I17" s="51">
        <f t="shared" ca="1" si="3"/>
        <v>0.55097316501933968</v>
      </c>
      <c r="J17" s="39">
        <f>PLANTILLA!I22</f>
        <v>0.5</v>
      </c>
      <c r="K17" s="46">
        <f>PLANTILLA!X22</f>
        <v>0</v>
      </c>
      <c r="L17" s="46">
        <f>PLANTILLA!Y22</f>
        <v>5</v>
      </c>
      <c r="M17" s="46">
        <f>PLANTILLA!Z22</f>
        <v>2</v>
      </c>
      <c r="N17" s="46">
        <f>PLANTILLA!AA22</f>
        <v>3</v>
      </c>
      <c r="O17" s="46">
        <f>PLANTILLA!AB22</f>
        <v>5</v>
      </c>
      <c r="P17" s="46">
        <f>PLANTILLA!AC22</f>
        <v>6.3478260869565233</v>
      </c>
      <c r="Q17" s="46">
        <f>PLANTILLA!AD22</f>
        <v>3</v>
      </c>
      <c r="R17" s="46">
        <f t="shared" si="70"/>
        <v>2.25</v>
      </c>
      <c r="S17" s="46">
        <f t="shared" si="71"/>
        <v>0.40739130434782622</v>
      </c>
      <c r="T17" s="46">
        <f t="shared" si="72"/>
        <v>0.28999999999999998</v>
      </c>
      <c r="U17" s="46">
        <f t="shared" ca="1" si="73"/>
        <v>2.6618977033277873</v>
      </c>
      <c r="V17" s="46">
        <f t="shared" ca="1" si="74"/>
        <v>2.9135318534061261</v>
      </c>
      <c r="W17" s="37">
        <f t="shared" ca="1" si="75"/>
        <v>1.5106006581090092</v>
      </c>
      <c r="X17" s="37">
        <f t="shared" ca="1" si="76"/>
        <v>2.3181333901703676</v>
      </c>
      <c r="Y17" s="37">
        <f t="shared" ca="1" si="77"/>
        <v>1.5106006581090092</v>
      </c>
      <c r="Z17" s="37">
        <f t="shared" ca="1" si="78"/>
        <v>2.6319265251075241</v>
      </c>
      <c r="AA17" s="37">
        <f t="shared" ca="1" si="79"/>
        <v>5.1495998374673642</v>
      </c>
      <c r="AB17" s="37">
        <f t="shared" ca="1" si="80"/>
        <v>1.3159632625537621</v>
      </c>
      <c r="AC17" s="37">
        <f t="shared" ca="1" si="81"/>
        <v>0.98248950998297413</v>
      </c>
      <c r="AD17" s="37">
        <f t="shared" ca="1" si="82"/>
        <v>1.9280391986252794</v>
      </c>
      <c r="AE17" s="37">
        <f t="shared" ca="1" si="83"/>
        <v>3.7231606824889041</v>
      </c>
      <c r="AF17" s="37">
        <f t="shared" ca="1" si="84"/>
        <v>0.9640195993126397</v>
      </c>
      <c r="AG17" s="37">
        <f t="shared" ca="1" si="85"/>
        <v>1.5893212661489289</v>
      </c>
      <c r="AH17" s="37">
        <f t="shared" ca="1" si="86"/>
        <v>4.7376318504699748</v>
      </c>
      <c r="AI17" s="37">
        <f t="shared" ca="1" si="87"/>
        <v>2.280011671111001</v>
      </c>
      <c r="AJ17" s="37">
        <f t="shared" ca="1" si="88"/>
        <v>0.35898317285704989</v>
      </c>
      <c r="AK17" s="37">
        <f t="shared" ca="1" si="89"/>
        <v>1.8519647044308103</v>
      </c>
      <c r="AL17" s="37">
        <f t="shared" ca="1" si="90"/>
        <v>3.8827982774503926</v>
      </c>
      <c r="AM17" s="37">
        <f t="shared" ca="1" si="91"/>
        <v>3.8991503940738856</v>
      </c>
      <c r="AN17" s="37">
        <f t="shared" ca="1" si="92"/>
        <v>0.52598317285704987</v>
      </c>
      <c r="AO17" s="37">
        <f t="shared" ca="1" si="93"/>
        <v>0.69108475319060092</v>
      </c>
      <c r="AP17" s="37">
        <f t="shared" ca="1" si="94"/>
        <v>1.3903919561161884</v>
      </c>
      <c r="AQ17" s="37">
        <f t="shared" ca="1" si="95"/>
        <v>3.0588623034556144</v>
      </c>
      <c r="AR17" s="37">
        <f t="shared" ca="1" si="96"/>
        <v>0.69519597805809419</v>
      </c>
      <c r="AS17" s="37">
        <f t="shared" ca="1" si="97"/>
        <v>2.029222246569192</v>
      </c>
      <c r="AT17" s="37">
        <f t="shared" ca="1" si="98"/>
        <v>0.66944797887075735</v>
      </c>
      <c r="AU17" s="37">
        <f t="shared" ca="1" si="99"/>
        <v>1.7420066654214161</v>
      </c>
      <c r="AV17" s="37">
        <f t="shared" ca="1" si="100"/>
        <v>0.33472398943537868</v>
      </c>
      <c r="AW17" s="37">
        <f t="shared" ca="1" si="101"/>
        <v>0.97327436928133182</v>
      </c>
      <c r="AX17" s="37">
        <f t="shared" ca="1" si="102"/>
        <v>2.0598399349869458</v>
      </c>
      <c r="AY17" s="37">
        <f t="shared" ca="1" si="103"/>
        <v>0.48663718464066591</v>
      </c>
      <c r="AZ17" s="37">
        <f t="shared" ca="1" si="104"/>
        <v>2.1495998374673646</v>
      </c>
      <c r="BA17" s="37">
        <f t="shared" ca="1" si="105"/>
        <v>1.3028487588792432</v>
      </c>
      <c r="BB17" s="37">
        <f t="shared" ca="1" si="106"/>
        <v>3.1204729887053877</v>
      </c>
      <c r="BC17" s="37">
        <f t="shared" ca="1" si="107"/>
        <v>0.65142437943962161</v>
      </c>
      <c r="BD17" s="37">
        <f t="shared" ca="1" si="108"/>
        <v>1.4985335527030028</v>
      </c>
      <c r="BE17" s="37">
        <f t="shared" ca="1" si="109"/>
        <v>1.7920607434386426</v>
      </c>
      <c r="BF17" s="37">
        <f t="shared" ca="1" si="110"/>
        <v>1.8937974568087483</v>
      </c>
      <c r="BG17" s="37">
        <f t="shared" ca="1" si="111"/>
        <v>3.429994255508487</v>
      </c>
      <c r="BH17" s="37">
        <f t="shared" ca="1" si="112"/>
        <v>1.2410535608296347</v>
      </c>
      <c r="BI17" s="37">
        <f t="shared" ca="1" si="113"/>
        <v>2.4975559211716716</v>
      </c>
      <c r="BJ17" s="37">
        <f t="shared" ca="1" si="114"/>
        <v>1.3594943570913842</v>
      </c>
      <c r="BK17" s="37">
        <f t="shared" ca="1" si="115"/>
        <v>0.81899753807506592</v>
      </c>
      <c r="BL17" s="37">
        <f t="shared" ca="1" si="116"/>
        <v>3.1547502579464766</v>
      </c>
      <c r="BM17" s="37">
        <f t="shared" ca="1" si="117"/>
        <v>0.26777919154830293</v>
      </c>
      <c r="BN17" s="37">
        <f t="shared" ca="1" si="118"/>
        <v>0.92692797074412547</v>
      </c>
      <c r="BO17" s="37">
        <f t="shared" ca="1" si="119"/>
        <v>0.35017278894778081</v>
      </c>
      <c r="BP17" s="37">
        <f t="shared" ca="1" si="120"/>
        <v>0.65562795042754618</v>
      </c>
      <c r="BQ17" s="37">
        <f t="shared" ca="1" si="121"/>
        <v>4.6223853909830304</v>
      </c>
      <c r="BR17" s="37">
        <f t="shared" ca="1" si="122"/>
        <v>0.69519597805809419</v>
      </c>
      <c r="BS17" s="37">
        <f t="shared" ca="1" si="123"/>
        <v>1.4624863538407313</v>
      </c>
      <c r="BT17" s="37">
        <f t="shared" ca="1" si="124"/>
        <v>1.2565023603420369</v>
      </c>
      <c r="BU17" s="37">
        <f t="shared" ca="1" si="125"/>
        <v>1.3563974974419071</v>
      </c>
      <c r="BV17" s="37">
        <f t="shared" ca="1" si="126"/>
        <v>3.2048918545332912</v>
      </c>
      <c r="BW17" s="37">
        <f t="shared" ca="1" si="127"/>
        <v>0.76214077594516982</v>
      </c>
      <c r="BX17" s="37">
        <f t="shared" ca="1" si="128"/>
        <v>0.87273753401175014</v>
      </c>
      <c r="BY17" s="37">
        <f t="shared" ca="1" si="129"/>
        <v>2.9660834153613642</v>
      </c>
      <c r="BZ17" s="37">
        <f t="shared" ca="1" si="130"/>
        <v>6.5842320256839049</v>
      </c>
      <c r="CA17" s="37">
        <f t="shared" ca="1" si="131"/>
        <v>2.9660834153613642</v>
      </c>
      <c r="CB17" s="37">
        <f t="shared" ca="1" si="132"/>
        <v>3.30802678569869</v>
      </c>
      <c r="CC17" s="37">
        <f t="shared" ca="1" si="133"/>
        <v>8.3976282644493452</v>
      </c>
      <c r="CD17" s="37">
        <f t="shared" ca="1" si="134"/>
        <v>3.30802678569869</v>
      </c>
      <c r="CE17" s="37">
        <f t="shared" ca="1" si="135"/>
        <v>0.53739995936684115</v>
      </c>
    </row>
    <row r="18" spans="1:83" x14ac:dyDescent="0.25">
      <c r="A18" t="str">
        <f>PLANTILLA!D23</f>
        <v>Noel Fuster</v>
      </c>
      <c r="B18">
        <f>PLANTILLA!E23</f>
        <v>17</v>
      </c>
      <c r="C18" s="33">
        <f ca="1">PLANTILLA!F23</f>
        <v>105</v>
      </c>
      <c r="D18" s="220" t="str">
        <f>PLANTILLA!G23</f>
        <v>IMP</v>
      </c>
      <c r="E18" s="30">
        <f>PLANTILLA!M23</f>
        <v>43046</v>
      </c>
      <c r="F18" s="47">
        <f>PLANTILLA!Q23</f>
        <v>7</v>
      </c>
      <c r="G18" s="48">
        <f t="shared" si="1"/>
        <v>1</v>
      </c>
      <c r="H18" s="48">
        <f t="shared" si="2"/>
        <v>1</v>
      </c>
      <c r="I18" s="51">
        <f t="shared" ca="1" si="3"/>
        <v>0.55097316501933968</v>
      </c>
      <c r="J18" s="39">
        <f>PLANTILLA!I23</f>
        <v>0.5</v>
      </c>
      <c r="K18" s="46">
        <f>PLANTILLA!X23</f>
        <v>0</v>
      </c>
      <c r="L18" s="46">
        <f>PLANTILLA!Y23</f>
        <v>4</v>
      </c>
      <c r="M18" s="46">
        <f>PLANTILLA!Z23</f>
        <v>2</v>
      </c>
      <c r="N18" s="46">
        <f>PLANTILLA!AA23</f>
        <v>2</v>
      </c>
      <c r="O18" s="46">
        <f>PLANTILLA!AB23</f>
        <v>3.0896666666666666</v>
      </c>
      <c r="P18" s="46">
        <f>PLANTILLA!AC23</f>
        <v>5.3027777777777771</v>
      </c>
      <c r="Q18" s="46">
        <f>PLANTILLA!AD23</f>
        <v>2.5</v>
      </c>
      <c r="R18" s="46">
        <f t="shared" ref="R18:R19" si="136">((2*(O18+1))+(L18+1))/8</f>
        <v>1.6474166666666665</v>
      </c>
      <c r="S18" s="46">
        <f t="shared" ref="S18:S19" si="137">(0.5*P18+ 0.3*Q18)/10</f>
        <v>0.34013888888888888</v>
      </c>
      <c r="T18" s="46">
        <f t="shared" ref="T18:T19" si="138">(0.4*L18+0.3*Q18)/10</f>
        <v>0.23500000000000001</v>
      </c>
      <c r="U18" s="46">
        <f t="shared" ref="U18:U19" ca="1" si="139">IF(TODAY()-E18&gt;335,(Q18+1+(LOG(J18)*4/3))*(F18/7)^0.5,(Q18+((TODAY()-E18)^0.5)/(336^0.5)+(LOG(J18)*4/3))*(F18/7)^0.5)</f>
        <v>2.6495998374673646</v>
      </c>
      <c r="V18" s="46">
        <f t="shared" ref="V18:V19" ca="1" si="140">IF(F18=7,U18,IF(TODAY()-E18&gt;335,(Q18+1+(LOG(J18)*4/3))*((F18+0.99)/7)^0.5,(Q18+((TODAY()-E18)^0.5)/(336^0.5)+(LOG(J18)*4/3))*((F18+0.99)/7)^0.5))</f>
        <v>2.6495998374673646</v>
      </c>
      <c r="W18" s="37">
        <f t="shared" ref="W18:W19" ca="1" si="141">IF(TODAY()-E18&gt;335,((K18+1+(LOG(J18)*4/3))*0.597)+((L18+1+(LOG(J18)*4/3))*0.276),((K18+(((TODAY()-E18)^0.5)/(336^0.5))+(LOG(J18)*4/3))*0.597)+((L18+(((TODAY()-E18)^0.5)/(336^0.5))+(LOG(J18)*4/3))*0.276))</f>
        <v>1.2346006581090092</v>
      </c>
      <c r="X18" s="37">
        <f t="shared" ref="X18:X19" ca="1" si="142">IF(TODAY()-E18&gt;335,((K18+1+(LOG(J18)*4/3))*0.866)+((L18+1+(LOG(J18)*4/3))*0.425),((K18+(((TODAY()-E18)^0.5)/(336^0.5))+(LOG(J18)*4/3))*0.866)+((L18+(((TODAY()-E18)^0.5)/(336^0.5))+(LOG(J18)*4/3))*0.425))</f>
        <v>1.8931333901703677</v>
      </c>
      <c r="Y18" s="37">
        <f t="shared" ref="Y18:Y19" ca="1" si="143">W18</f>
        <v>1.2346006581090092</v>
      </c>
      <c r="Z18" s="37">
        <f t="shared" ref="Z18:Z19" ca="1" si="144">IF(TODAY()-E18&gt;335,((L18+1+(LOG(J18)*4/3))*0.516),((L18+(((TODAY()-E18)^0.5)/(336^0.516))+(LOG(J18)*4/3))*0.516))</f>
        <v>2.1159265251075241</v>
      </c>
      <c r="AA18" s="37">
        <f t="shared" ref="AA18:AA19" ca="1" si="145">IF(TODAY()-E18&gt;335,((L18+1+(LOG(J18)*4/3))*1),((L18+(((TODAY()-E18)^0.5)/(336^0.5))+(LOG(J18)*4/3))*1))</f>
        <v>4.1495998374673642</v>
      </c>
      <c r="AB18" s="37">
        <f t="shared" ref="AB18:AB19" ca="1" si="146">Z18/2</f>
        <v>1.0579632625537621</v>
      </c>
      <c r="AC18" s="37">
        <f t="shared" ref="AC18:AC19" ca="1" si="147">IF(TODAY()-E18&gt;335,((M18+1+(LOG(J18)*4/3))*0.238),((M18+(((TODAY()-E18)^0.5)/(336^0.238))+(LOG(J18)*4/3))*0.238))</f>
        <v>0.98248950998297413</v>
      </c>
      <c r="AD18" s="37">
        <f t="shared" ref="AD18:AD19" ca="1" si="148">IF(TODAY()-E18&gt;335,((L18+1+(LOG(J18)*4/3))*0.378),((L18+(((TODAY()-E18)^0.5)/(336^0.516))+(LOG(J18)*4/3))*0.378))</f>
        <v>1.5500391986252793</v>
      </c>
      <c r="AE18" s="37">
        <f t="shared" ref="AE18:AE19" ca="1" si="149">IF(TODAY()-E18&gt;335,((L18+1+(LOG(J18)*4/3))*0.723),((L18+(((TODAY()-E18)^0.5)/(336^0.5))+(LOG(J18)*4/3))*0.723))</f>
        <v>3.0001606824889042</v>
      </c>
      <c r="AF18" s="37">
        <f t="shared" ref="AF18:AF19" ca="1" si="150">AD18/2</f>
        <v>0.77501959931263964</v>
      </c>
      <c r="AG18" s="37">
        <f t="shared" ref="AG18:AG19" ca="1" si="151">IF(TODAY()-E18&gt;335,((M18+1+(LOG(J18)*4/3))*0.385),((M18+(((TODAY()-E18)^0.5)/(336^0.238))+(LOG(J18)*4/3))*0.385))</f>
        <v>1.5893212661489289</v>
      </c>
      <c r="AH18" s="37">
        <f t="shared" ref="AH18:AH19" ca="1" si="152">IF(TODAY()-E18&gt;335,((L18+1+(LOG(J18)*4/3))*0.92),((L18+(((TODAY()-E18)^0.5)/(336^0.5))+(LOG(J18)*4/3))*0.92))</f>
        <v>3.8176318504699753</v>
      </c>
      <c r="AI18" s="37">
        <f t="shared" ref="AI18:AI19" ca="1" si="153">IF(TODAY()-E18&gt;335,((L18+1+(LOG(J18)*4/3))*0.414),((L18+(((TODAY()-E18)^0.5)/(336^0.414))+(LOG(J18)*4/3))*0.414))</f>
        <v>1.8660116711110009</v>
      </c>
      <c r="AJ18" s="37">
        <f t="shared" ref="AJ18:AJ19" ca="1" si="154">IF(TODAY()-E18&gt;335,((M18+1+(LOG(J18)*4/3))*0.167),((M18+(((TODAY()-E18)^0.5)/(336^0.5))+(LOG(J18)*4/3))*0.167))</f>
        <v>0.35898317285704989</v>
      </c>
      <c r="AK18" s="37">
        <f t="shared" ref="AK18:AK19" ca="1" si="155">IF(TODAY()-E18&gt;335,((N18+1+(LOG(J18)*4/3))*0.588),((N18+(((TODAY()-E18)^0.5)/(336^0.5))+(LOG(J18)*4/3))*0.588))</f>
        <v>1.2639647044308102</v>
      </c>
      <c r="AL18" s="37">
        <f t="shared" ref="AL18:AL19" ca="1" si="156">IF(TODAY()-E18&gt;335,((L18+1+(LOG(J18)*4/3))*0.754),((L18+(((TODAY()-E18)^0.5)/(336^0.5))+(LOG(J18)*4/3))*0.754))</f>
        <v>3.1287982774503926</v>
      </c>
      <c r="AM18" s="37">
        <f t="shared" ref="AM18:AM19" ca="1" si="157">IF(TODAY()-E18&gt;335,((L18+1+(LOG(J18)*4/3))*0.708),((L18+(((TODAY()-E18)^0.5)/(336^0.414))+(LOG(J18)*4/3))*0.708))</f>
        <v>3.1911503940738855</v>
      </c>
      <c r="AN18" s="37">
        <f t="shared" ref="AN18:AN19" ca="1" si="158">IF(TODAY()-E18&gt;335,((Q18+1+(LOG(J18)*4/3))*0.167),((Q18+(((TODAY()-E18)^0.5)/(336^0.5))+(LOG(J18)*4/3))*0.167))</f>
        <v>0.44248317285704991</v>
      </c>
      <c r="AO18" s="37">
        <f t="shared" ref="AO18:AO19" ca="1" si="159">IF(TODAY()-E18&gt;335,((R18+1+(LOG(J18)*4/3))*0.288),((R18+(((TODAY()-E18)^0.5)/(336^0.5))+(LOG(J18)*4/3))*0.288))</f>
        <v>0.51754075319060089</v>
      </c>
      <c r="AP18" s="37">
        <f t="shared" ref="AP18:AP19" ca="1" si="160">IF(TODAY()-E18&gt;335,((L18+1+(LOG(J18)*4/3))*0.27),((L18+(((TODAY()-E18)^0.5)/(336^0.5))+(LOG(J18)*4/3))*0.27))</f>
        <v>1.1203919561161884</v>
      </c>
      <c r="AQ18" s="37">
        <f t="shared" ref="AQ18:AQ19" ca="1" si="161">IF(TODAY()-E18&gt;335,((L18+1+(LOG(J18)*4/3))*0.594),((L18+(((TODAY()-E18)^0.5)/(336^0.5))+(LOG(J18)*4/3))*0.594))</f>
        <v>2.4648623034556141</v>
      </c>
      <c r="AR18" s="37">
        <f t="shared" ref="AR18:AR19" ca="1" si="162">AP18/2</f>
        <v>0.56019597805809418</v>
      </c>
      <c r="AS18" s="37">
        <f t="shared" ref="AS18:AS19" ca="1" si="163">IF(TODAY()-E18&gt;335,((M18+1+(LOG(J18)*4/3))*0.944),((M18+(((TODAY()-E18)^0.5)/(336^0.5))+(LOG(J18)*4/3))*0.944))</f>
        <v>2.029222246569192</v>
      </c>
      <c r="AT18" s="37">
        <f t="shared" ref="AT18:AT19" ca="1" si="164">IF(TODAY()-E18&gt;335,((O18+1+(LOG(J18)*4/3))*0.13),((O18+(((TODAY()-E18)^0.5)/(336^0.5))+(LOG(J18)*4/3))*0.13))</f>
        <v>0.4211046455374241</v>
      </c>
      <c r="AU18" s="37">
        <f t="shared" ref="AU18:AU19" ca="1" si="165">IF(TODAY()-E18&gt;335,((P18+1+(LOG(J18)*4/3))*0.173)+((O18+1+(LOG(J18)*4/3))*0.12),((P18+(((TODAY()-E18)^0.5)/(336^0.5))+(LOG(J18)*4/3))*0.173)+((O18+(((TODAY()-E18)^0.5)/(336^0.5))+(LOG(J18)*4/3))*0.12))</f>
        <v>1.3319733079334932</v>
      </c>
      <c r="AV18" s="37">
        <f t="shared" ref="AV18:AV19" ca="1" si="166">AT18/2</f>
        <v>0.21055232276871205</v>
      </c>
      <c r="AW18" s="37">
        <f t="shared" ref="AW18:AW19" ca="1" si="167">IF(TODAY()-E18&gt;335,((L18+1+(LOG(J18)*4/3))*0.189),((L18+(((TODAY()-E18)^0.5)/(336^0.5))+(LOG(J18)*4/3))*0.189))</f>
        <v>0.78427436928133187</v>
      </c>
      <c r="AX18" s="37">
        <f t="shared" ref="AX18:AX19" ca="1" si="168">IF(TODAY()-E18&gt;335,((L18+1+(LOG(J18)*4/3))*0.4),((L18+(((TODAY()-E18)^0.5)/(336^0.5))+(LOG(J18)*4/3))*0.4))</f>
        <v>1.6598399349869457</v>
      </c>
      <c r="AY18" s="37">
        <f t="shared" ref="AY18:AY19" ca="1" si="169">AW18/2</f>
        <v>0.39213718464066594</v>
      </c>
      <c r="AZ18" s="37">
        <f t="shared" ref="AZ18:AZ19" ca="1" si="170">IF(TODAY()-E18&gt;335,((M18+1+(LOG(J18)*4/3))*1),((M18+(((TODAY()-E18)^0.5)/(336^0.5))+(LOG(J18)*4/3))*1))</f>
        <v>2.1495998374673646</v>
      </c>
      <c r="BA18" s="37">
        <f t="shared" ref="BA18:BA19" ca="1" si="171">IF(TODAY()-E18&gt;335,((O18+1+(LOG(J18)*4/3))*0.253),((O18+(((TODAY()-E18)^0.5)/(336^0.5))+(LOG(J18)*4/3))*0.253))</f>
        <v>0.81953442554591005</v>
      </c>
      <c r="BB18" s="37">
        <f t="shared" ref="BB18:BB19" ca="1" si="172">IF(TODAY()-E18&gt;335,((P18+1+(LOG(J18)*4/3))*0.21)+((O18+1+(LOG(J18)*4/3))*0.341),((P18+(((TODAY()-E18)^0.5)/(336^0.5))+(LOG(J18)*4/3))*0.21)+((O18+(((TODAY()-E18)^0.5)/(336^0.5))+(LOG(J18)*4/3))*0.341))</f>
        <v>2.2495891771111847</v>
      </c>
      <c r="BC18" s="37">
        <f t="shared" ref="BC18:BC19" ca="1" si="173">BA18/2</f>
        <v>0.40976721277295503</v>
      </c>
      <c r="BD18" s="37">
        <f t="shared" ref="BD18:BD19" ca="1" si="174">IF(TODAY()-E18&gt;335,((L18+1+(LOG(J18)*4/3))*0.291),((L18+(((TODAY()-E18)^0.5)/(336^0.5))+(LOG(J18)*4/3))*0.291))</f>
        <v>1.2075335527030029</v>
      </c>
      <c r="BE18" s="37">
        <f t="shared" ref="BE18:BE19" ca="1" si="175">IF(TODAY()-E18&gt;335,((L18+1+(LOG(J18)*4/3))*0.348),((L18+(((TODAY()-E18)^0.5)/(336^0.5))+(LOG(J18)*4/3))*0.348))</f>
        <v>1.4440607434386425</v>
      </c>
      <c r="BF18" s="37">
        <f t="shared" ref="BF18:BF19" ca="1" si="176">IF(TODAY()-E18&gt;335,((M18+1+(LOG(J18)*4/3))*0.881),((M18+(((TODAY()-E18)^0.5)/(336^0.5))+(LOG(J18)*4/3))*0.881))</f>
        <v>1.8937974568087483</v>
      </c>
      <c r="BG18" s="37">
        <f t="shared" ref="BG18:BG19" ca="1" si="177">IF(TODAY()-E18&gt;335,((N18+1+(LOG(J18)*4/3))*0.574)+((O18+1+(LOG(J18)*4/3))*0.315),((N18+(((TODAY()-E18)^0.5)/(336^0.5))+(LOG(J18)*4/3))*0.574)+((O18+(((TODAY()-E18)^0.5)/(336^0.5))+(LOG(J18)*4/3))*0.315))</f>
        <v>2.2542392555084874</v>
      </c>
      <c r="BH18" s="37">
        <f t="shared" ref="BH18:BH19" ca="1" si="178">IF(TODAY()-E18&gt;335,((O18+1+(LOG(J18)*4/3))*0.241),((O18+(((TODAY()-E18)^0.5)/(336^0.5))+(LOG(J18)*4/3))*0.241))</f>
        <v>0.78066322749630157</v>
      </c>
      <c r="BI18" s="37">
        <f t="shared" ref="BI18:BI19" ca="1" si="179">IF(TODAY()-E18&gt;335,((L18+1+(LOG(J18)*4/3))*0.485),((L18+(((TODAY()-E18)^0.5)/(336^0.5))+(LOG(J18)*4/3))*0.485))</f>
        <v>2.0125559211716717</v>
      </c>
      <c r="BJ18" s="37">
        <f t="shared" ref="BJ18:BJ19" ca="1" si="180">IF(TODAY()-E18&gt;335,((L18+1+(LOG(J18)*4/3))*0.264),((L18+(((TODAY()-E18)^0.5)/(336^0.5))+(LOG(J18)*4/3))*0.264))</f>
        <v>1.0954943570913842</v>
      </c>
      <c r="BK18" s="37">
        <f t="shared" ref="BK18:BK19" ca="1" si="181">IF(TODAY()-E18&gt;335,((M18+1+(LOG(J18)*4/3))*0.381),((M18+(((TODAY()-E18)^0.5)/(336^0.5))+(LOG(J18)*4/3))*0.381))</f>
        <v>0.81899753807506592</v>
      </c>
      <c r="BL18" s="37">
        <f t="shared" ref="BL18:BL19" ca="1" si="182">IF(TODAY()-E18&gt;335,((N18+1+(LOG(J18)*4/3))*0.673)+((O18+1+(LOG(J18)*4/3))*0.201),((N18+(((TODAY()-E18)^0.5)/(336^0.5))+(LOG(J18)*4/3))*0.673)+((O18+(((TODAY()-E18)^0.5)/(336^0.5))+(LOG(J18)*4/3))*0.201))</f>
        <v>2.0977732579464767</v>
      </c>
      <c r="BM18" s="37">
        <f t="shared" ref="BM18:BM19" ca="1" si="183">IF(TODAY()-E18&gt;335,((O18+1+(LOG(J18)*4/3))*0.052),((O18+(((TODAY()-E18)^0.5)/(336^0.5))+(LOG(J18)*4/3))*0.052))</f>
        <v>0.16844185821496963</v>
      </c>
      <c r="BN18" s="37">
        <f t="shared" ref="BN18:BN19" ca="1" si="184">IF(TODAY()-E18&gt;335,((L18+1+(LOG(J18)*4/3))*0.18),((L18+(((TODAY()-E18)^0.5)/(336^0.5))+(LOG(J18)*4/3))*0.18))</f>
        <v>0.74692797074412554</v>
      </c>
      <c r="BO18" s="37">
        <f t="shared" ref="BO18:BO19" ca="1" si="185">IF(TODAY()-E18&gt;335,((L18+1+(LOG(J18)*4/3))*0.068),((L18+(((TODAY()-E18)^0.5)/(336^0.5))+(LOG(J18)*4/3))*0.068))</f>
        <v>0.28217278894778081</v>
      </c>
      <c r="BP18" s="37">
        <f t="shared" ref="BP18:BP19" ca="1" si="186">IF(TODAY()-E18&gt;335,((M18+1+(LOG(J18)*4/3))*0.305),((M18+(((TODAY()-E18)^0.5)/(336^0.5))+(LOG(J18)*4/3))*0.305))</f>
        <v>0.65562795042754618</v>
      </c>
      <c r="BQ18" s="37">
        <f t="shared" ref="BQ18:BQ19" ca="1" si="187">IF(TODAY()-E18&gt;335,((N18+1+(LOG(J18)*4/3))*1)+((O18+1+(LOG(J18)*4/3))*0.286),((N18+(((TODAY()-E18)^0.5)/(336^0.5))+(LOG(J18)*4/3))*1)+((O18+(((TODAY()-E18)^0.5)/(336^0.5))+(LOG(J18)*4/3))*0.286))</f>
        <v>3.0760300576496977</v>
      </c>
      <c r="BR18" s="37">
        <f t="shared" ref="BR18:BR19" ca="1" si="188">IF(TODAY()-E18&gt;335,((O18+1+(LOG(J18)*4/3))*0.135),((O18+(((TODAY()-E18)^0.5)/(336^0.5))+(LOG(J18)*4/3))*0.135))</f>
        <v>0.43730097805809431</v>
      </c>
      <c r="BS18" s="37">
        <f t="shared" ref="BS18:BS19" ca="1" si="189">IF(TODAY()-E18&gt;335,((L18+1+(LOG(J18)*4/3))*0.284),((L18+(((TODAY()-E18)^0.5)/(336^0.5))+(LOG(J18)*4/3))*0.284))</f>
        <v>1.1784863538407313</v>
      </c>
      <c r="BT18" s="37">
        <f t="shared" ref="BT18:BT19" ca="1" si="190">IF(TODAY()-E18&gt;335,((L18+1+(LOG(J18)*4/3))*0.244),((L18+(((TODAY()-E18)^0.5)/(336^0.5))+(LOG(J18)*4/3))*0.244))</f>
        <v>1.0125023603420369</v>
      </c>
      <c r="BU18" s="37">
        <f t="shared" ref="BU18:BU19" ca="1" si="191">IF(TODAY()-E18&gt;335,((M18+1+(LOG(J18)*4/3))*0.631),((M18+(((TODAY()-E18)^0.5)/(336^0.5))+(LOG(J18)*4/3))*0.631))</f>
        <v>1.3563974974419071</v>
      </c>
      <c r="BV18" s="37">
        <f t="shared" ref="BV18:BV19" ca="1" si="192">IF(TODAY()-E18&gt;335,((N18+1+(LOG(J18)*4/3))*0.702)+((O18+1+(LOG(J18)*4/3))*0.193),((N18+(((TODAY()-E18)^0.5)/(336^0.5))+(LOG(J18)*4/3))*0.702)+((O18+(((TODAY()-E18)^0.5)/(336^0.5))+(LOG(J18)*4/3))*0.193))</f>
        <v>2.1341975211999578</v>
      </c>
      <c r="BW18" s="37">
        <f t="shared" ref="BW18:BW19" ca="1" si="193">IF(TODAY()-E18&gt;335,((O18+1+(LOG(J18)*4/3))*0.148),((O18+(((TODAY()-E18)^0.5)/(336^0.5))+(LOG(J18)*4/3))*0.148))</f>
        <v>0.47941144261183666</v>
      </c>
      <c r="BX18" s="37">
        <f t="shared" ref="BX18:BX19" ca="1" si="194">IF(TODAY()-E18&gt;335,((M18+1+(LOG(J18)*4/3))*0.406),((M18+(((TODAY()-E18)^0.5)/(336^0.5))+(LOG(J18)*4/3))*0.406))</f>
        <v>0.87273753401175014</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1.8118109597649414</v>
      </c>
      <c r="BZ18" s="37">
        <f t="shared" ref="BZ18:BZ19" ca="1" si="196">IF(D18="TEC",IF(TODAY()-E18&gt;335,((O18+1+(LOG(J18)*4/3))*0.543)+((P18+1+(LOG(J18)*4/3))*0.583),((O18+(((TODAY()-E18)^0.5)/(336^0.5))+(LOG(J18)*4/3))*0.543)+((P18+(((TODAY()-E18)^0.5)/(336^0.5))+(LOG(J18)*4/3))*0.583)),IF(TODAY()-E18&gt;335,((O18+1+(LOG(J18)*4/3))*0.543)+((P18+1+(LOG(J18)*4/3))*0.583),((O18+(((TODAY()-E18)^0.5)/(336^0.5))+(LOG(J18)*4/3))*0.543)+((P18+(((TODAY()-E18)^0.5)/(336^0.5))+(LOG(J18)*4/3))*0.583)))</f>
        <v>4.9376578614326965</v>
      </c>
      <c r="CA18" s="37">
        <f t="shared" ref="CA18:CA19" ca="1" si="197">BY18</f>
        <v>1.8118109597649414</v>
      </c>
      <c r="CB18" s="37">
        <f t="shared" ref="CB18:CB19" ca="1" si="198">IF(TODAY()-E18&gt;335,((P18+1+(LOG(J18)*4/3))*0.26)+((N18+1+(LOG(J18)*4/3))*0.221)+((O18+1+(LOG(J18)*4/3))*0.142),((P18+(((TODAY()-E18)^0.5)/(336^0.5))+(LOG(J18)*4/3))*0.26)+((N18+(((TODAY()-E18)^0.5)/(336^0.5))+(LOG(J18)*4/3))*0.221)+((P18+(((TODAY()-E18)^0.5)/(336^0.5))+(LOG(J18)*4/3))*0.142))</f>
        <v>2.6669173654088345</v>
      </c>
      <c r="CC18" s="37">
        <f t="shared" ref="CC18:CC19" ca="1" si="199">IF(TODAY()-E18&gt;335,((P18+1+(LOG(J18)*4/3))*1)+((O18+1+(LOG(J18)*4/3))*0.369),((P18+(((TODAY()-E18)^0.5)/(336^0.5))+(LOG(J18)*4/3))*1)+((O18+(((TODAY()-E18)^0.5)/(336^0.5))+(LOG(J18)*4/3))*0.369))</f>
        <v>6.6476669552705987</v>
      </c>
      <c r="CD18" s="37">
        <f t="shared" ref="CD18:CD19" ca="1" si="200">CB18</f>
        <v>2.6669173654088345</v>
      </c>
      <c r="CE18" s="37">
        <f t="shared" ref="CE18:CE19" ca="1" si="201">IF(TODAY()-E18&gt;335,((M18+1+(LOG(J18)*4/3))*0.25),((M18+(((TODAY()-E18)^0.5)/(336^0.5))+(LOG(J18)*4/3))*0.25))</f>
        <v>0.53739995936684115</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4" t="s">
        <v>203</v>
      </c>
      <c r="B1" s="234"/>
      <c r="C1" s="234"/>
      <c r="D1" s="234"/>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5" t="s">
        <v>204</v>
      </c>
      <c r="B2" s="236" t="s">
        <v>205</v>
      </c>
      <c r="C2" s="236" t="s">
        <v>206</v>
      </c>
      <c r="D2" s="236"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5"/>
      <c r="B3" s="236"/>
      <c r="C3" s="236"/>
      <c r="D3" s="236"/>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ht="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ht="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ht="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ht="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ht="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ht="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ht="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ht="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ht="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ht="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ht="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ht="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ht="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ht="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ht="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7"/>
      <c r="U1" s="237"/>
      <c r="V1" s="237"/>
      <c r="W1" s="139"/>
      <c r="X1" s="237" t="s">
        <v>169</v>
      </c>
      <c r="Y1" s="237"/>
      <c r="Z1" s="114">
        <f>T2+U2+V2+W2+X2+Y2+Z2</f>
        <v>39</v>
      </c>
      <c r="AA1" s="32">
        <f>Z1/16</f>
        <v>2.4375</v>
      </c>
      <c r="AC1" s="65"/>
      <c r="AD1" s="65"/>
      <c r="AE1" s="65"/>
      <c r="AF1" s="65"/>
      <c r="AG1" s="65"/>
      <c r="AH1" s="65"/>
      <c r="AI1" s="65"/>
      <c r="AJ1" s="65"/>
    </row>
    <row r="2" spans="1:36" x14ac:dyDescent="0.25">
      <c r="A2" s="140"/>
      <c r="B2" s="140"/>
      <c r="C2" s="141"/>
      <c r="D2" s="142">
        <f ca="1">TODAY()</f>
        <v>43148</v>
      </c>
      <c r="G2" s="65"/>
      <c r="H2" s="143"/>
      <c r="I2" s="143"/>
      <c r="J2" s="144"/>
      <c r="K2" s="144"/>
      <c r="L2" s="143"/>
      <c r="M2" s="145"/>
      <c r="N2" s="143"/>
      <c r="O2" s="143"/>
      <c r="P2" s="143"/>
      <c r="Q2" s="143"/>
      <c r="R2" s="143"/>
      <c r="S2" s="143"/>
      <c r="T2" s="148">
        <v>0</v>
      </c>
      <c r="U2" s="149">
        <v>0</v>
      </c>
      <c r="V2" s="149">
        <v>0</v>
      </c>
      <c r="W2" s="148">
        <v>29</v>
      </c>
      <c r="X2" s="150">
        <v>-1</v>
      </c>
      <c r="Y2" s="150">
        <v>11</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10.508928571428571</v>
      </c>
      <c r="D4" s="28" t="str">
        <f>PLANTILLA!D4</f>
        <v>Alberto Ercilla</v>
      </c>
      <c r="E4" s="16">
        <f>PLANTILLA!E4</f>
        <v>22</v>
      </c>
      <c r="F4" s="17">
        <f ca="1">PLANTILLA!F4</f>
        <v>55</v>
      </c>
      <c r="G4" s="18" t="str">
        <f>PLANTILLA!G4</f>
        <v>IMP</v>
      </c>
      <c r="H4" s="4">
        <f>PLANTILLA!H4</f>
        <v>4</v>
      </c>
      <c r="I4" s="27">
        <f>PLANTILLA!I4</f>
        <v>2.4</v>
      </c>
      <c r="J4" s="19">
        <f>PLANTILLA!O4</f>
        <v>6</v>
      </c>
      <c r="K4" s="6">
        <f t="shared" ref="K4" si="0">(H4)*(H4)*(I4)</f>
        <v>38.4</v>
      </c>
      <c r="L4" s="6">
        <f t="shared" ref="L4" si="1">(H4+1)*(H4+1)*I4</f>
        <v>60</v>
      </c>
      <c r="M4" s="21">
        <f>PLANTILLA!X4</f>
        <v>0</v>
      </c>
      <c r="N4" s="21">
        <f>PLANTILLA!Y4</f>
        <v>7</v>
      </c>
      <c r="O4" s="21">
        <f>PLANTILLA!Z4</f>
        <v>2</v>
      </c>
      <c r="P4" s="21">
        <f>PLANTILLA!AA4</f>
        <v>5</v>
      </c>
      <c r="Q4" s="21">
        <f>PLANTILLA!AB4</f>
        <v>7.0305555555555559</v>
      </c>
      <c r="R4" s="21">
        <f>PLANTILLA!AC4</f>
        <v>5.2857142857142847</v>
      </c>
      <c r="S4" s="21">
        <f>PLANTILLA!AD4</f>
        <v>4</v>
      </c>
      <c r="T4" s="155">
        <v>0</v>
      </c>
      <c r="U4" s="155">
        <v>0</v>
      </c>
      <c r="V4" s="155">
        <v>0</v>
      </c>
      <c r="W4" s="155">
        <v>0.13</v>
      </c>
      <c r="X4" s="155">
        <v>0</v>
      </c>
      <c r="Y4" s="155">
        <f t="shared" ref="Y4:Y18" si="2">0.17</f>
        <v>0.17</v>
      </c>
      <c r="Z4" s="155">
        <v>0</v>
      </c>
      <c r="AA4" s="153">
        <v>20</v>
      </c>
      <c r="AB4" s="154">
        <v>56</v>
      </c>
      <c r="AC4" s="25">
        <f t="shared" ref="AC4:AC18" si="3">I4+$AC$2</f>
        <v>2.4</v>
      </c>
      <c r="AD4" s="156">
        <f>M4</f>
        <v>0</v>
      </c>
      <c r="AE4" s="156">
        <f>N4</f>
        <v>7</v>
      </c>
      <c r="AF4" s="156">
        <f>O4</f>
        <v>2</v>
      </c>
      <c r="AG4" s="156">
        <v>5</v>
      </c>
      <c r="AH4" s="156">
        <f>Q4</f>
        <v>7.0305555555555559</v>
      </c>
      <c r="AI4" s="156">
        <f>4+4/17</f>
        <v>4.2352941176470589</v>
      </c>
      <c r="AJ4" s="156">
        <f>S4+(Z$2/7)</f>
        <v>4</v>
      </c>
    </row>
    <row r="5" spans="1:36" ht="16.5" customHeight="1" x14ac:dyDescent="0.25">
      <c r="A5" s="15" t="str">
        <f>PLANTILLA!A5</f>
        <v>#28</v>
      </c>
      <c r="B5" s="15" t="str">
        <f>PLANTILLA!B5</f>
        <v>CEN</v>
      </c>
      <c r="C5" s="121">
        <f ca="1">PLANTILLA!C5</f>
        <v>15.026785714285714</v>
      </c>
      <c r="D5" s="28" t="str">
        <f>PLANTILLA!D5</f>
        <v>Marc Dolz</v>
      </c>
      <c r="E5" s="16">
        <f>PLANTILLA!E5</f>
        <v>17</v>
      </c>
      <c r="F5" s="17">
        <f ca="1">PLANTILLA!F5</f>
        <v>109</v>
      </c>
      <c r="G5" s="18" t="str">
        <f>PLANTILLA!G5</f>
        <v>POT</v>
      </c>
      <c r="H5" s="4">
        <f>PLANTILLA!H5</f>
        <v>3</v>
      </c>
      <c r="I5" s="27">
        <f>PLANTILLA!I5</f>
        <v>1</v>
      </c>
      <c r="J5" s="19">
        <f>PLANTILLA!O5</f>
        <v>4</v>
      </c>
      <c r="K5" s="6">
        <f t="shared" ref="K5:K18" si="4">(H5)*(H5)*(I5)</f>
        <v>9</v>
      </c>
      <c r="L5" s="6">
        <f t="shared" ref="L5:L18" si="5">(H5+1)*(H5+1)*I5</f>
        <v>16</v>
      </c>
      <c r="M5" s="21">
        <f>PLANTILLA!X5</f>
        <v>0</v>
      </c>
      <c r="N5" s="21">
        <f>PLANTILLA!Y5</f>
        <v>4</v>
      </c>
      <c r="O5" s="21">
        <f>PLANTILLA!Z5</f>
        <v>4</v>
      </c>
      <c r="P5" s="21">
        <f>PLANTILLA!AA5</f>
        <v>3</v>
      </c>
      <c r="Q5" s="21">
        <f>PLANTILLA!AB5</f>
        <v>4.2926666666666664</v>
      </c>
      <c r="R5" s="21">
        <f>PLANTILLA!AC5</f>
        <v>3.2666666666666675</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4.2301666666666664</v>
      </c>
      <c r="AI5" s="156">
        <v>8</v>
      </c>
      <c r="AJ5" s="156">
        <f>S5+(Z$2/4)</f>
        <v>0.4</v>
      </c>
    </row>
    <row r="6" spans="1:36" ht="16.5" customHeight="1" x14ac:dyDescent="0.25">
      <c r="A6" s="15" t="str">
        <f>PLANTILLA!A6</f>
        <v>#4</v>
      </c>
      <c r="B6" s="15" t="str">
        <f>PLANTILLA!B6</f>
        <v>CEN</v>
      </c>
      <c r="C6" s="121">
        <f ca="1">PLANTILLA!C6</f>
        <v>15.5</v>
      </c>
      <c r="D6" s="28" t="str">
        <f>PLANTILLA!D6</f>
        <v>Manuel Parejo</v>
      </c>
      <c r="E6" s="16">
        <f>PLANTILLA!E6</f>
        <v>17</v>
      </c>
      <c r="F6" s="17">
        <f ca="1">PLANTILLA!F6</f>
        <v>56</v>
      </c>
      <c r="G6" s="18">
        <f>PLANTILLA!G6</f>
        <v>0</v>
      </c>
      <c r="H6" s="4">
        <f>PLANTILLA!H6</f>
        <v>1</v>
      </c>
      <c r="I6" s="27">
        <f>PLANTILLA!I6</f>
        <v>1.3</v>
      </c>
      <c r="J6" s="19">
        <f>PLANTILLA!O6</f>
        <v>3.8</v>
      </c>
      <c r="K6" s="6">
        <f t="shared" si="4"/>
        <v>1.3</v>
      </c>
      <c r="L6" s="6">
        <f t="shared" si="5"/>
        <v>5.2</v>
      </c>
      <c r="M6" s="21">
        <f>PLANTILLA!X6</f>
        <v>0</v>
      </c>
      <c r="N6" s="21">
        <f>PLANTILLA!Y6</f>
        <v>5</v>
      </c>
      <c r="O6" s="21">
        <f>PLANTILLA!Z6</f>
        <v>6.7</v>
      </c>
      <c r="P6" s="21">
        <f>PLANTILLA!AA6</f>
        <v>3</v>
      </c>
      <c r="Q6" s="21">
        <f>PLANTILLA!AB6</f>
        <v>3</v>
      </c>
      <c r="R6" s="21">
        <f>PLANTILLA!AC6</f>
        <v>3.3925925925925937</v>
      </c>
      <c r="S6" s="21">
        <f>PLANTILLA!AD6</f>
        <v>2</v>
      </c>
      <c r="T6" s="155">
        <v>0</v>
      </c>
      <c r="U6" s="155">
        <v>0</v>
      </c>
      <c r="V6" s="155">
        <v>0</v>
      </c>
      <c r="W6" s="155">
        <v>1</v>
      </c>
      <c r="X6" s="155">
        <v>0</v>
      </c>
      <c r="Y6" s="155">
        <v>1</v>
      </c>
      <c r="Z6" s="155">
        <v>0</v>
      </c>
      <c r="AA6" s="153">
        <v>20</v>
      </c>
      <c r="AB6" s="154">
        <v>69</v>
      </c>
      <c r="AC6" s="25">
        <f t="shared" si="3"/>
        <v>1.3</v>
      </c>
      <c r="AD6" s="156">
        <f t="shared" si="6"/>
        <v>0</v>
      </c>
      <c r="AE6" s="156">
        <f t="shared" si="7"/>
        <v>5</v>
      </c>
      <c r="AF6" s="156">
        <f t="shared" si="8"/>
        <v>6.7</v>
      </c>
      <c r="AG6" s="156">
        <f>13+1/6</f>
        <v>13.166666666666666</v>
      </c>
      <c r="AH6" s="156">
        <f>Q6+(X$2/7)</f>
        <v>2.8571428571428572</v>
      </c>
      <c r="AI6" s="156">
        <v>9</v>
      </c>
      <c r="AJ6" s="156">
        <f>S6+(Z$2/3)</f>
        <v>2</v>
      </c>
    </row>
    <row r="7" spans="1:36" ht="16.5" customHeight="1" x14ac:dyDescent="0.25">
      <c r="A7" s="15" t="str">
        <f>PLANTILLA!A7</f>
        <v>#5</v>
      </c>
      <c r="B7" s="15" t="str">
        <f>PLANTILLA!B7</f>
        <v>LAT</v>
      </c>
      <c r="C7" s="121">
        <f ca="1">PLANTILLA!C7</f>
        <v>15</v>
      </c>
      <c r="D7" s="28" t="str">
        <f>PLANTILLA!D7</f>
        <v>Valeri Gomis</v>
      </c>
      <c r="E7" s="16">
        <f>PLANTILLA!E7</f>
        <v>18</v>
      </c>
      <c r="F7" s="17">
        <f ca="1">PLANTILLA!F7</f>
        <v>0</v>
      </c>
      <c r="G7" s="18" t="str">
        <f>PLANTILLA!G7</f>
        <v>IMP</v>
      </c>
      <c r="H7" s="4">
        <f>PLANTILLA!H7</f>
        <v>6</v>
      </c>
      <c r="I7" s="27">
        <f>PLANTILLA!I7</f>
        <v>1.5</v>
      </c>
      <c r="J7" s="19">
        <f>PLANTILLA!O7</f>
        <v>5</v>
      </c>
      <c r="K7" s="6">
        <f t="shared" si="4"/>
        <v>54</v>
      </c>
      <c r="L7" s="6">
        <f t="shared" si="5"/>
        <v>73.5</v>
      </c>
      <c r="M7" s="21">
        <f>PLANTILLA!X7</f>
        <v>0</v>
      </c>
      <c r="N7" s="21">
        <f>PLANTILLA!Y7</f>
        <v>6</v>
      </c>
      <c r="O7" s="21">
        <f>PLANTILLA!Z7</f>
        <v>3</v>
      </c>
      <c r="P7" s="21">
        <f>PLANTILLA!AA7</f>
        <v>3</v>
      </c>
      <c r="Q7" s="21">
        <f>PLANTILLA!AB7</f>
        <v>6.0000000000000009</v>
      </c>
      <c r="R7" s="21">
        <f>PLANTILLA!AC7</f>
        <v>5.66</v>
      </c>
      <c r="S7" s="21">
        <f>PLANTILLA!AD7</f>
        <v>3</v>
      </c>
      <c r="T7" s="155">
        <v>0</v>
      </c>
      <c r="U7" s="155">
        <v>0</v>
      </c>
      <c r="V7" s="155">
        <v>0</v>
      </c>
      <c r="W7" s="155">
        <v>0.13</v>
      </c>
      <c r="X7" s="155">
        <v>0</v>
      </c>
      <c r="Y7" s="155">
        <v>0.17</v>
      </c>
      <c r="Z7" s="155">
        <v>0</v>
      </c>
      <c r="AA7" s="153">
        <v>20</v>
      </c>
      <c r="AB7" s="154">
        <v>103</v>
      </c>
      <c r="AC7" s="25">
        <f t="shared" si="3"/>
        <v>1.5</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#6</v>
      </c>
      <c r="B8" s="15" t="str">
        <f>PLANTILLA!B8</f>
        <v>LAT</v>
      </c>
      <c r="C8" s="121">
        <f ca="1">PLANTILLA!C8</f>
        <v>14.910714285714286</v>
      </c>
      <c r="D8" s="28" t="str">
        <f>PLANTILLA!D8</f>
        <v>J. G. de Minaya</v>
      </c>
      <c r="E8" s="16">
        <f>PLANTILLA!E8</f>
        <v>18</v>
      </c>
      <c r="F8" s="17">
        <f ca="1">PLANTILLA!F8</f>
        <v>10</v>
      </c>
      <c r="G8" s="18" t="str">
        <f>PLANTILLA!G8</f>
        <v>TEC</v>
      </c>
      <c r="H8" s="4">
        <f>PLANTILLA!H8</f>
        <v>0</v>
      </c>
      <c r="I8" s="27">
        <f>PLANTILLA!I8</f>
        <v>1.7</v>
      </c>
      <c r="J8" s="19">
        <f>PLANTILLA!O8</f>
        <v>3.5</v>
      </c>
      <c r="K8" s="6">
        <f t="shared" si="4"/>
        <v>0</v>
      </c>
      <c r="L8" s="6">
        <f t="shared" si="5"/>
        <v>1.7</v>
      </c>
      <c r="M8" s="21">
        <f>PLANTILLA!X8</f>
        <v>0</v>
      </c>
      <c r="N8" s="21">
        <f>PLANTILLA!Y8</f>
        <v>6</v>
      </c>
      <c r="O8" s="21">
        <f>PLANTILLA!Z8</f>
        <v>5</v>
      </c>
      <c r="P8" s="21">
        <f>PLANTILLA!AA8</f>
        <v>6</v>
      </c>
      <c r="Q8" s="21">
        <f>PLANTILLA!AB8</f>
        <v>6.2</v>
      </c>
      <c r="R8" s="21">
        <f>PLANTILLA!AC8</f>
        <v>6.75</v>
      </c>
      <c r="S8" s="21">
        <f>PLANTILLA!AD8</f>
        <v>0</v>
      </c>
      <c r="T8" s="155">
        <v>0</v>
      </c>
      <c r="U8" s="155">
        <v>0</v>
      </c>
      <c r="V8" s="155">
        <v>0</v>
      </c>
      <c r="W8" s="155">
        <v>0.13</v>
      </c>
      <c r="X8" s="155">
        <v>0</v>
      </c>
      <c r="Y8" s="155">
        <f t="shared" si="2"/>
        <v>0.17</v>
      </c>
      <c r="Z8" s="155">
        <v>0</v>
      </c>
      <c r="AA8" s="153">
        <v>20</v>
      </c>
      <c r="AB8" s="154">
        <v>55</v>
      </c>
      <c r="AC8" s="25">
        <f t="shared" si="3"/>
        <v>1.7</v>
      </c>
      <c r="AD8" s="156">
        <f t="shared" si="6"/>
        <v>0</v>
      </c>
      <c r="AE8" s="156">
        <f t="shared" si="7"/>
        <v>6</v>
      </c>
      <c r="AF8" s="156">
        <f t="shared" si="8"/>
        <v>5</v>
      </c>
      <c r="AG8" s="156">
        <f>5+14/18</f>
        <v>5.7777777777777777</v>
      </c>
      <c r="AH8" s="156">
        <f>Q8+(X$2/14)</f>
        <v>6.128571428571429</v>
      </c>
      <c r="AI8" s="156">
        <f>4+4/17</f>
        <v>4.2352941176470589</v>
      </c>
      <c r="AJ8" s="156">
        <f>S8+(Z$2/1)</f>
        <v>0</v>
      </c>
    </row>
    <row r="9" spans="1:36" ht="16.5" customHeight="1" x14ac:dyDescent="0.25">
      <c r="A9" s="15" t="str">
        <f>PLANTILLA!A9</f>
        <v>#20</v>
      </c>
      <c r="B9" s="15" t="str">
        <f>PLANTILLA!B9</f>
        <v>LAT</v>
      </c>
      <c r="C9" s="121">
        <f ca="1">PLANTILLA!C9</f>
        <v>14.607142857142858</v>
      </c>
      <c r="D9" s="28" t="str">
        <f>PLANTILLA!D9</f>
        <v>Roberto Montero</v>
      </c>
      <c r="E9" s="16">
        <f>PLANTILLA!E9</f>
        <v>18</v>
      </c>
      <c r="F9" s="17">
        <f ca="1">PLANTILLA!F9</f>
        <v>44</v>
      </c>
      <c r="G9" s="18" t="str">
        <f>PLANTILLA!G9</f>
        <v>TEC</v>
      </c>
      <c r="H9" s="4">
        <f>PLANTILLA!H9</f>
        <v>2</v>
      </c>
      <c r="I9" s="27">
        <f>PLANTILLA!I9</f>
        <v>0.5</v>
      </c>
      <c r="J9" s="19">
        <f>PLANTILLA!O9</f>
        <v>5.2</v>
      </c>
      <c r="K9" s="6">
        <f t="shared" si="4"/>
        <v>2</v>
      </c>
      <c r="L9" s="6">
        <f t="shared" si="5"/>
        <v>4.5</v>
      </c>
      <c r="M9" s="21">
        <f>PLANTILLA!X9</f>
        <v>0</v>
      </c>
      <c r="N9" s="21">
        <f>PLANTILLA!Y9</f>
        <v>6</v>
      </c>
      <c r="O9" s="21">
        <f>PLANTILLA!Z9</f>
        <v>4</v>
      </c>
      <c r="P9" s="21">
        <f>PLANTILLA!AA9</f>
        <v>4</v>
      </c>
      <c r="Q9" s="21">
        <f>PLANTILLA!AB9</f>
        <v>3.5528</v>
      </c>
      <c r="R9" s="21">
        <f>PLANTILLA!AC9</f>
        <v>4.0666666666666673</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3.3527999999999998</v>
      </c>
      <c r="AI9" s="156">
        <v>9</v>
      </c>
      <c r="AJ9" s="156">
        <f>S9+(Z$2/1)</f>
        <v>6</v>
      </c>
    </row>
    <row r="10" spans="1:36" ht="16.5" customHeight="1" x14ac:dyDescent="0.25">
      <c r="A10" s="15" t="str">
        <f>PLANTILLA!A10</f>
        <v>#23</v>
      </c>
      <c r="B10" s="15" t="str">
        <f>PLANTILLA!B10</f>
        <v>LAT</v>
      </c>
      <c r="C10" s="121">
        <f ca="1">PLANTILLA!C10</f>
        <v>15.035714285714286</v>
      </c>
      <c r="D10" s="28" t="str">
        <f>PLANTILLA!D10</f>
        <v>Eckardt Hägerling</v>
      </c>
      <c r="E10" s="16">
        <f>PLANTILLA!E10</f>
        <v>17</v>
      </c>
      <c r="F10" s="17">
        <f ca="1">PLANTILLA!F10</f>
        <v>108</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3</v>
      </c>
      <c r="R10" s="21">
        <f>PLANTILLA!AC10</f>
        <v>4.2633333333333336</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2.9375</v>
      </c>
      <c r="AI10" s="156">
        <f>5+18/19</f>
        <v>5.9473684210526319</v>
      </c>
      <c r="AJ10" s="156">
        <f>S10+(Z$2/5)</f>
        <v>3</v>
      </c>
    </row>
    <row r="11" spans="1:36" ht="16.5" customHeight="1" x14ac:dyDescent="0.25">
      <c r="A11" s="15" t="str">
        <f>PLANTILLA!A12</f>
        <v>#3</v>
      </c>
      <c r="B11" s="15" t="str">
        <f>PLANTILLA!B12</f>
        <v>LAT</v>
      </c>
      <c r="C11" s="121">
        <f ca="1">PLANTILLA!C12</f>
        <v>15.348214285714286</v>
      </c>
      <c r="D11" s="28" t="str">
        <f>PLANTILLA!D12</f>
        <v>Will Duffill</v>
      </c>
      <c r="E11" s="16">
        <f>PLANTILLA!E12</f>
        <v>17</v>
      </c>
      <c r="F11" s="17">
        <f ca="1">PLANTILLA!F12</f>
        <v>73</v>
      </c>
      <c r="G11" s="18" t="str">
        <f>PLANTILLA!G12</f>
        <v>RAP</v>
      </c>
      <c r="H11" s="4">
        <f>PLANTILLA!H12</f>
        <v>3</v>
      </c>
      <c r="I11" s="27">
        <f>PLANTILLA!I12</f>
        <v>1.3</v>
      </c>
      <c r="J11" s="19">
        <f>PLANTILLA!O12</f>
        <v>3.7</v>
      </c>
      <c r="K11" s="6">
        <f t="shared" ref="K11" si="9">(H11)*(H11)*(I11)</f>
        <v>11.700000000000001</v>
      </c>
      <c r="L11" s="6">
        <f t="shared" ref="L11" si="10">(H11+1)*(H11+1)*I11</f>
        <v>20.8</v>
      </c>
      <c r="M11" s="21">
        <f>PLANTILLA!X12</f>
        <v>0</v>
      </c>
      <c r="N11" s="21">
        <f>PLANTILLA!Y12</f>
        <v>6</v>
      </c>
      <c r="O11" s="21">
        <f>PLANTILLA!Z12</f>
        <v>3</v>
      </c>
      <c r="P11" s="21">
        <f>PLANTILLA!AA12</f>
        <v>3</v>
      </c>
      <c r="Q11" s="21">
        <f>PLANTILLA!AB12</f>
        <v>7</v>
      </c>
      <c r="R11" s="21">
        <f>PLANTILLA!AC12</f>
        <v>5</v>
      </c>
      <c r="S11" s="21">
        <f>PLANTILLA!AD12</f>
        <v>3</v>
      </c>
      <c r="T11" s="155">
        <v>0</v>
      </c>
      <c r="U11" s="155">
        <v>0</v>
      </c>
      <c r="V11" s="155">
        <v>0</v>
      </c>
      <c r="W11" s="155">
        <v>0.13</v>
      </c>
      <c r="X11" s="155">
        <v>0</v>
      </c>
      <c r="Y11" s="155">
        <f t="shared" si="2"/>
        <v>0.17</v>
      </c>
      <c r="Z11" s="155">
        <v>0</v>
      </c>
      <c r="AA11" s="153">
        <v>20</v>
      </c>
      <c r="AB11" s="154">
        <v>85</v>
      </c>
      <c r="AC11" s="25">
        <f t="shared" ref="AC11" si="11">I11+$AC$2</f>
        <v>1.3</v>
      </c>
      <c r="AD11" s="156">
        <f t="shared" ref="AD11" si="12">M11</f>
        <v>0</v>
      </c>
      <c r="AE11" s="156">
        <f t="shared" ref="AE11" si="13">N11</f>
        <v>6</v>
      </c>
      <c r="AF11" s="156">
        <f t="shared" ref="AF11" si="14">O11</f>
        <v>3</v>
      </c>
      <c r="AG11" s="156">
        <f>5</f>
        <v>5</v>
      </c>
      <c r="AH11" s="156">
        <f>Q11+(X$2/16)</f>
        <v>6.9375</v>
      </c>
      <c r="AI11" s="156">
        <f>5+18/19</f>
        <v>5.9473684210526319</v>
      </c>
      <c r="AJ11" s="156">
        <f>S11+(Z$2/5)</f>
        <v>3</v>
      </c>
    </row>
    <row r="12" spans="1:36" ht="16.5" customHeight="1" x14ac:dyDescent="0.25">
      <c r="A12" s="15" t="str">
        <f>PLANTILLA!A13</f>
        <v>#7</v>
      </c>
      <c r="B12" s="15" t="str">
        <f>PLANTILLA!B13</f>
        <v>LAT</v>
      </c>
      <c r="C12" s="121">
        <f ca="1">PLANTILLA!C13</f>
        <v>15.223214285714286</v>
      </c>
      <c r="D12" s="28" t="str">
        <f>PLANTILLA!D13</f>
        <v>Raul Riquelme</v>
      </c>
      <c r="E12" s="16">
        <f>PLANTILLA!E13</f>
        <v>17</v>
      </c>
      <c r="F12" s="17">
        <f ca="1">PLANTILLA!F13</f>
        <v>87</v>
      </c>
      <c r="G12" s="18" t="str">
        <f>PLANTILLA!G13</f>
        <v>RAP</v>
      </c>
      <c r="H12" s="4">
        <f>PLANTILLA!H13</f>
        <v>6</v>
      </c>
      <c r="I12" s="27">
        <f>PLANTILLA!I13</f>
        <v>1.3</v>
      </c>
      <c r="J12" s="19">
        <f>PLANTILLA!O13</f>
        <v>3.5</v>
      </c>
      <c r="K12" s="6">
        <f t="shared" si="4"/>
        <v>46.800000000000004</v>
      </c>
      <c r="L12" s="6">
        <f t="shared" si="5"/>
        <v>63.7</v>
      </c>
      <c r="M12" s="21">
        <f>PLANTILLA!X13</f>
        <v>0</v>
      </c>
      <c r="N12" s="21">
        <f>PLANTILLA!Y13</f>
        <v>6</v>
      </c>
      <c r="O12" s="21">
        <f>PLANTILLA!Z13</f>
        <v>3</v>
      </c>
      <c r="P12" s="21">
        <f>PLANTILLA!AA13</f>
        <v>3</v>
      </c>
      <c r="Q12" s="21">
        <f>PLANTILLA!AB13</f>
        <v>3.33</v>
      </c>
      <c r="R12" s="21">
        <f>PLANTILLA!AC13</f>
        <v>6.0464425770308123</v>
      </c>
      <c r="S12" s="21">
        <f>PLANTILLA!AD13</f>
        <v>4</v>
      </c>
      <c r="T12" s="155">
        <v>0</v>
      </c>
      <c r="U12" s="155">
        <v>0</v>
      </c>
      <c r="V12" s="155">
        <v>0</v>
      </c>
      <c r="W12" s="155">
        <v>0.13</v>
      </c>
      <c r="X12" s="155">
        <v>0</v>
      </c>
      <c r="Y12" s="155">
        <f t="shared" si="2"/>
        <v>0.17</v>
      </c>
      <c r="Z12" s="155">
        <v>0</v>
      </c>
      <c r="AA12" s="153">
        <v>20</v>
      </c>
      <c r="AB12" s="154">
        <v>54</v>
      </c>
      <c r="AC12" s="25">
        <f t="shared" si="3"/>
        <v>1.3</v>
      </c>
      <c r="AD12" s="156">
        <f t="shared" si="6"/>
        <v>0</v>
      </c>
      <c r="AE12" s="156">
        <f t="shared" si="7"/>
        <v>6</v>
      </c>
      <c r="AF12" s="156">
        <f t="shared" si="8"/>
        <v>3</v>
      </c>
      <c r="AG12" s="156">
        <f>5+14/18</f>
        <v>5.7777777777777777</v>
      </c>
      <c r="AH12" s="156">
        <f>Q12+(X$2/9)</f>
        <v>3.2188888888888889</v>
      </c>
      <c r="AI12" s="156">
        <f>5+2/20</f>
        <v>5.0999999999999996</v>
      </c>
      <c r="AJ12" s="156">
        <f>S12+(Z$2/3)</f>
        <v>4</v>
      </c>
    </row>
    <row r="13" spans="1:36" ht="16.5" customHeight="1" x14ac:dyDescent="0.25">
      <c r="A13" s="15" t="str">
        <f>PLANTILLA!A14</f>
        <v>#21</v>
      </c>
      <c r="B13" s="15" t="str">
        <f>PLANTILLA!B14</f>
        <v>MED</v>
      </c>
      <c r="C13" s="121">
        <f ca="1">PLANTILLA!C14</f>
        <v>14.669642857142858</v>
      </c>
      <c r="D13" s="28" t="str">
        <f>PLANTILLA!D14</f>
        <v>Fernando Gazón</v>
      </c>
      <c r="E13" s="16">
        <f>PLANTILLA!E14</f>
        <v>18</v>
      </c>
      <c r="F13" s="17">
        <f ca="1">PLANTILLA!F14</f>
        <v>37</v>
      </c>
      <c r="G13" s="18" t="str">
        <f>PLANTILLA!G14</f>
        <v>IMP</v>
      </c>
      <c r="H13" s="4">
        <f>PLANTILLA!H14</f>
        <v>3</v>
      </c>
      <c r="I13" s="27">
        <f>PLANTILLA!I14</f>
        <v>1.1000000000000001</v>
      </c>
      <c r="J13" s="19">
        <f>PLANTILLA!O14</f>
        <v>5</v>
      </c>
      <c r="K13" s="6">
        <f t="shared" si="4"/>
        <v>9.9</v>
      </c>
      <c r="L13" s="6">
        <f t="shared" si="5"/>
        <v>17.600000000000001</v>
      </c>
      <c r="M13" s="21">
        <f>PLANTILLA!X14</f>
        <v>0</v>
      </c>
      <c r="N13" s="21">
        <f>PLANTILLA!Y14</f>
        <v>3</v>
      </c>
      <c r="O13" s="21">
        <f>PLANTILLA!Z14</f>
        <v>6</v>
      </c>
      <c r="P13" s="21">
        <f>PLANTILLA!AA14</f>
        <v>3</v>
      </c>
      <c r="Q13" s="21">
        <f>PLANTILLA!AB14</f>
        <v>4.25</v>
      </c>
      <c r="R13" s="21">
        <f>PLANTILLA!AC14</f>
        <v>5.2660849673202605</v>
      </c>
      <c r="S13" s="21">
        <f>PLANTILLA!AD14</f>
        <v>3</v>
      </c>
      <c r="T13" s="155">
        <v>0</v>
      </c>
      <c r="U13" s="155">
        <v>0</v>
      </c>
      <c r="V13" s="155">
        <v>0</v>
      </c>
      <c r="W13" s="155">
        <v>1</v>
      </c>
      <c r="X13" s="155">
        <v>0</v>
      </c>
      <c r="Y13" s="155">
        <v>1</v>
      </c>
      <c r="Z13" s="155">
        <v>0</v>
      </c>
      <c r="AA13" s="153">
        <v>20</v>
      </c>
      <c r="AB13" s="154">
        <v>55</v>
      </c>
      <c r="AC13" s="25">
        <f t="shared" si="3"/>
        <v>1.1000000000000001</v>
      </c>
      <c r="AD13" s="156">
        <f t="shared" si="6"/>
        <v>0</v>
      </c>
      <c r="AE13" s="156">
        <f t="shared" si="7"/>
        <v>3</v>
      </c>
      <c r="AF13" s="156">
        <f t="shared" si="8"/>
        <v>6</v>
      </c>
      <c r="AG13" s="156">
        <f>12+5/6</f>
        <v>12.833333333333334</v>
      </c>
      <c r="AH13" s="156">
        <f>Q13+(X$2/6)</f>
        <v>4.083333333333333</v>
      </c>
      <c r="AI13" s="156">
        <f>8+2/4</f>
        <v>8.5</v>
      </c>
      <c r="AJ13" s="156">
        <f>S13+(Z$2/2.5)</f>
        <v>3</v>
      </c>
    </row>
    <row r="14" spans="1:36" ht="16.5" customHeight="1" x14ac:dyDescent="0.25">
      <c r="A14" s="15" t="str">
        <f>PLANTILLA!A15</f>
        <v>#26</v>
      </c>
      <c r="B14" s="15" t="str">
        <f>PLANTILLA!B15</f>
        <v>MED</v>
      </c>
      <c r="C14" s="121">
        <f ca="1">PLANTILLA!C15</f>
        <v>14.776785714285714</v>
      </c>
      <c r="D14" s="28" t="str">
        <f>PLANTILLA!D15</f>
        <v>Roberto Abenoza</v>
      </c>
      <c r="E14" s="16">
        <f>PLANTILLA!E15</f>
        <v>18</v>
      </c>
      <c r="F14" s="17">
        <f ca="1">PLANTILLA!F15</f>
        <v>25</v>
      </c>
      <c r="G14" s="18" t="str">
        <f>PLANTILLA!G15</f>
        <v>CAB</v>
      </c>
      <c r="H14" s="4">
        <f>PLANTILLA!H15</f>
        <v>4</v>
      </c>
      <c r="I14" s="27">
        <f>PLANTILLA!I15</f>
        <v>0.5</v>
      </c>
      <c r="J14" s="19">
        <f>PLANTILLA!O15</f>
        <v>5</v>
      </c>
      <c r="K14" s="6">
        <f t="shared" si="4"/>
        <v>8</v>
      </c>
      <c r="L14" s="6">
        <f t="shared" si="5"/>
        <v>12.5</v>
      </c>
      <c r="M14" s="21">
        <f>PLANTILLA!X15</f>
        <v>0</v>
      </c>
      <c r="N14" s="21">
        <f>PLANTILLA!Y15</f>
        <v>2</v>
      </c>
      <c r="O14" s="21">
        <f>PLANTILLA!Z15</f>
        <v>5</v>
      </c>
      <c r="P14" s="21">
        <f>PLANTILLA!AA15</f>
        <v>3</v>
      </c>
      <c r="Q14" s="21">
        <f>PLANTILLA!AB15</f>
        <v>3</v>
      </c>
      <c r="R14" s="21">
        <f>PLANTILLA!AC15</f>
        <v>5.3999999999999986</v>
      </c>
      <c r="S14" s="21">
        <f>PLANTILLA!AD15</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2.9375</v>
      </c>
      <c r="AI14" s="156">
        <f>8+2/4</f>
        <v>8.5</v>
      </c>
      <c r="AJ14" s="156">
        <f>S14+(Z$2/2)</f>
        <v>5</v>
      </c>
    </row>
    <row r="15" spans="1:36" ht="16.5" customHeight="1" x14ac:dyDescent="0.25">
      <c r="A15" s="15" t="str">
        <f>PLANTILLA!A16</f>
        <v>#29</v>
      </c>
      <c r="B15" s="15" t="str">
        <f>PLANTILLA!B16</f>
        <v>MED</v>
      </c>
      <c r="C15" s="121">
        <f ca="1">PLANTILLA!C16</f>
        <v>15.044642857142858</v>
      </c>
      <c r="D15" s="28" t="str">
        <f>PLANTILLA!D16</f>
        <v>Julio Calle</v>
      </c>
      <c r="E15" s="16">
        <f>PLANTILLA!E16</f>
        <v>17</v>
      </c>
      <c r="F15" s="17">
        <f ca="1">PLANTILLA!F16</f>
        <v>107</v>
      </c>
      <c r="G15" s="18" t="str">
        <f>PLANTILLA!G16</f>
        <v>POT</v>
      </c>
      <c r="H15" s="4">
        <f>PLANTILLA!H16</f>
        <v>3</v>
      </c>
      <c r="I15" s="27">
        <f>PLANTILLA!I16</f>
        <v>0.5</v>
      </c>
      <c r="J15" s="19">
        <f>PLANTILLA!O16</f>
        <v>4</v>
      </c>
      <c r="K15" s="6">
        <f t="shared" si="4"/>
        <v>4.5</v>
      </c>
      <c r="L15" s="6">
        <f t="shared" si="5"/>
        <v>8</v>
      </c>
      <c r="M15" s="21">
        <f>PLANTILLA!X16</f>
        <v>0</v>
      </c>
      <c r="N15" s="21">
        <f>PLANTILLA!Y16</f>
        <v>3</v>
      </c>
      <c r="O15" s="21">
        <f>PLANTILLA!Z16</f>
        <v>4</v>
      </c>
      <c r="P15" s="21">
        <f>PLANTILLA!AA16</f>
        <v>4</v>
      </c>
      <c r="Q15" s="21">
        <f>PLANTILLA!AB16</f>
        <v>3.0151111111111111</v>
      </c>
      <c r="R15" s="21">
        <f>PLANTILLA!AC16</f>
        <v>4.235294117647058</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2.9317777777777776</v>
      </c>
      <c r="AI15" s="156">
        <f>5+2/20</f>
        <v>5.0999999999999996</v>
      </c>
      <c r="AJ15" s="156">
        <f>S15+(Z$2/2)</f>
        <v>1.3</v>
      </c>
    </row>
    <row r="16" spans="1:36" ht="16.5" customHeight="1" x14ac:dyDescent="0.25">
      <c r="A16" s="15" t="str">
        <f>PLANTILLA!A18</f>
        <v>#8</v>
      </c>
      <c r="B16" s="15" t="str">
        <f>PLANTILLA!B18</f>
        <v>EXT</v>
      </c>
      <c r="C16" s="121">
        <f ca="1">PLANTILLA!C18</f>
        <v>15.035714285714286</v>
      </c>
      <c r="D16" s="28" t="str">
        <f>PLANTILLA!D18</f>
        <v>Enrique Cubas</v>
      </c>
      <c r="E16" s="16">
        <f>PLANTILLA!E18</f>
        <v>17</v>
      </c>
      <c r="F16" s="17">
        <f ca="1">PLANTILLA!F18</f>
        <v>108</v>
      </c>
      <c r="G16" s="18" t="str">
        <f>PLANTILLA!G18</f>
        <v>RAP</v>
      </c>
      <c r="H16" s="4">
        <f>PLANTILLA!H18</f>
        <v>1</v>
      </c>
      <c r="I16" s="27">
        <f>PLANTILLA!I18</f>
        <v>1.5</v>
      </c>
      <c r="J16" s="19">
        <f>PLANTILLA!O18</f>
        <v>5</v>
      </c>
      <c r="K16" s="6">
        <f t="shared" si="4"/>
        <v>1.5</v>
      </c>
      <c r="L16" s="6">
        <f t="shared" si="5"/>
        <v>6</v>
      </c>
      <c r="M16" s="21">
        <f>PLANTILLA!X18</f>
        <v>0</v>
      </c>
      <c r="N16" s="21">
        <f>PLANTILLA!Y18</f>
        <v>2</v>
      </c>
      <c r="O16" s="21">
        <f>PLANTILLA!Z18</f>
        <v>5.7</v>
      </c>
      <c r="P16" s="21">
        <f>PLANTILLA!AA18</f>
        <v>5.5</v>
      </c>
      <c r="Q16" s="21">
        <f>PLANTILLA!AB18</f>
        <v>6</v>
      </c>
      <c r="R16" s="21">
        <f>PLANTILLA!AC18</f>
        <v>6</v>
      </c>
      <c r="S16" s="21">
        <f>PLANTILLA!AD18</f>
        <v>5</v>
      </c>
      <c r="T16" s="155">
        <v>0</v>
      </c>
      <c r="U16" s="155">
        <v>0</v>
      </c>
      <c r="V16" s="155">
        <v>0</v>
      </c>
      <c r="W16" s="155">
        <v>0.5</v>
      </c>
      <c r="X16" s="155">
        <v>0</v>
      </c>
      <c r="Y16" s="155">
        <f t="shared" si="2"/>
        <v>0.17</v>
      </c>
      <c r="Z16" s="155">
        <v>0</v>
      </c>
      <c r="AA16" s="153">
        <v>20</v>
      </c>
      <c r="AB16" s="154">
        <v>53</v>
      </c>
      <c r="AC16" s="25">
        <f t="shared" si="3"/>
        <v>1.5</v>
      </c>
      <c r="AD16" s="156">
        <f t="shared" si="6"/>
        <v>0</v>
      </c>
      <c r="AE16" s="156">
        <f t="shared" si="7"/>
        <v>2</v>
      </c>
      <c r="AF16" s="156">
        <f t="shared" si="8"/>
        <v>5.7</v>
      </c>
      <c r="AG16" s="156">
        <f>5</f>
        <v>5</v>
      </c>
      <c r="AH16" s="156">
        <f>Q16+(X$2/13)</f>
        <v>5.9230769230769234</v>
      </c>
      <c r="AI16" s="156">
        <f>5+19/20</f>
        <v>5.95</v>
      </c>
      <c r="AJ16" s="156">
        <f>S16+(Z$2/3)</f>
        <v>5</v>
      </c>
    </row>
    <row r="17" spans="1:36" ht="16.5" customHeight="1" x14ac:dyDescent="0.25">
      <c r="A17" s="15" t="str">
        <f>PLANTILLA!A19</f>
        <v>#11</v>
      </c>
      <c r="B17" s="15" t="str">
        <f>PLANTILLA!B19</f>
        <v>EXT</v>
      </c>
      <c r="C17" s="121">
        <f ca="1">PLANTILLA!C19</f>
        <v>15.035714285714286</v>
      </c>
      <c r="D17" s="28" t="str">
        <f>PLANTILLA!D19</f>
        <v>J. G. Peñuela</v>
      </c>
      <c r="E17" s="16">
        <f>PLANTILLA!E19</f>
        <v>17</v>
      </c>
      <c r="F17" s="17">
        <f ca="1">PLANTILLA!F19</f>
        <v>108</v>
      </c>
      <c r="G17" s="18" t="str">
        <f>PLANTILLA!G19</f>
        <v>IMP</v>
      </c>
      <c r="H17" s="4">
        <f>PLANTILLA!H19</f>
        <v>6</v>
      </c>
      <c r="I17" s="27">
        <f>PLANTILLA!I19</f>
        <v>1.4</v>
      </c>
      <c r="J17" s="19">
        <f>PLANTILLA!O19</f>
        <v>4.7</v>
      </c>
      <c r="K17" s="6">
        <f t="shared" si="4"/>
        <v>50.4</v>
      </c>
      <c r="L17" s="6">
        <f t="shared" si="5"/>
        <v>68.599999999999994</v>
      </c>
      <c r="M17" s="21">
        <f>PLANTILLA!X19</f>
        <v>0</v>
      </c>
      <c r="N17" s="21">
        <f>PLANTILLA!Y19</f>
        <v>3</v>
      </c>
      <c r="O17" s="21">
        <f>PLANTILLA!Z19</f>
        <v>5</v>
      </c>
      <c r="P17" s="21">
        <f>PLANTILLA!AA19</f>
        <v>4</v>
      </c>
      <c r="Q17" s="21">
        <f>PLANTILLA!AB19</f>
        <v>5</v>
      </c>
      <c r="R17" s="21">
        <f>PLANTILLA!AC19</f>
        <v>6.2516666666666669</v>
      </c>
      <c r="S17" s="21">
        <f>PLANTILLA!AD19</f>
        <v>3</v>
      </c>
      <c r="T17" s="155">
        <v>0</v>
      </c>
      <c r="U17" s="155">
        <v>0</v>
      </c>
      <c r="V17" s="155">
        <v>0</v>
      </c>
      <c r="W17" s="155">
        <v>0.5</v>
      </c>
      <c r="X17" s="155">
        <v>0</v>
      </c>
      <c r="Y17" s="155">
        <f t="shared" si="2"/>
        <v>0.17</v>
      </c>
      <c r="Z17" s="155">
        <v>0</v>
      </c>
      <c r="AA17" s="153">
        <v>20</v>
      </c>
      <c r="AB17" s="154">
        <v>96</v>
      </c>
      <c r="AC17" s="25">
        <f t="shared" si="3"/>
        <v>1.4</v>
      </c>
      <c r="AD17" s="156">
        <f t="shared" si="6"/>
        <v>0</v>
      </c>
      <c r="AE17" s="156">
        <f t="shared" si="7"/>
        <v>3</v>
      </c>
      <c r="AF17" s="156">
        <f t="shared" si="8"/>
        <v>5</v>
      </c>
      <c r="AG17" s="156">
        <f>5</f>
        <v>5</v>
      </c>
      <c r="AH17" s="156">
        <f>Q17+(X$2/13)</f>
        <v>4.9230769230769234</v>
      </c>
      <c r="AI17" s="156">
        <f>6+19/23</f>
        <v>6.8260869565217392</v>
      </c>
      <c r="AJ17" s="156">
        <f>S17+(Z$2/3)</f>
        <v>3</v>
      </c>
    </row>
    <row r="18" spans="1:36" ht="16.5" customHeight="1" x14ac:dyDescent="0.25">
      <c r="A18" s="15" t="str">
        <f>PLANTILLA!A20</f>
        <v>#24</v>
      </c>
      <c r="B18" s="15" t="str">
        <f>PLANTILLA!B20</f>
        <v>EXT</v>
      </c>
      <c r="C18" s="121">
        <f ca="1">PLANTILLA!C20</f>
        <v>14.964285714285714</v>
      </c>
      <c r="D18" s="28" t="str">
        <f>PLANTILLA!D20</f>
        <v>Paulo Beltrán</v>
      </c>
      <c r="E18" s="16">
        <f>PLANTILLA!E20</f>
        <v>18</v>
      </c>
      <c r="F18" s="17">
        <f ca="1">PLANTILLA!F20</f>
        <v>4</v>
      </c>
      <c r="G18" s="18" t="str">
        <f>PLANTILLA!G20</f>
        <v>RAP</v>
      </c>
      <c r="H18" s="4">
        <f>PLANTILLA!H20</f>
        <v>3</v>
      </c>
      <c r="I18" s="27">
        <f>PLANTILLA!I20</f>
        <v>1.1000000000000001</v>
      </c>
      <c r="J18" s="19">
        <f>PLANTILLA!O20</f>
        <v>5</v>
      </c>
      <c r="K18" s="6">
        <f t="shared" si="4"/>
        <v>9.9</v>
      </c>
      <c r="L18" s="6">
        <f t="shared" si="5"/>
        <v>17.600000000000001</v>
      </c>
      <c r="M18" s="21">
        <f>PLANTILLA!X20</f>
        <v>0</v>
      </c>
      <c r="N18" s="21">
        <f>PLANTILLA!Y20</f>
        <v>4</v>
      </c>
      <c r="O18" s="21">
        <f>PLANTILLA!Z20</f>
        <v>2</v>
      </c>
      <c r="P18" s="21">
        <f>PLANTILLA!AA20</f>
        <v>5</v>
      </c>
      <c r="Q18" s="21">
        <f>PLANTILLA!AB20</f>
        <v>4.25</v>
      </c>
      <c r="R18" s="21">
        <f>PLANTILLA!AC20</f>
        <v>4.4196078431372534</v>
      </c>
      <c r="S18" s="21">
        <f>PLANTILLA!AD20</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4.1730769230769234</v>
      </c>
      <c r="AI18" s="156">
        <f>5+19/20</f>
        <v>5.95</v>
      </c>
      <c r="AJ18" s="156">
        <f>S18+(Z$2/3)</f>
        <v>4</v>
      </c>
    </row>
    <row r="19" spans="1:36" ht="16.5" customHeight="1" x14ac:dyDescent="0.25">
      <c r="A19" s="15" t="str">
        <f>PLANTILLA!A21</f>
        <v>#22</v>
      </c>
      <c r="B19" s="15" t="str">
        <f>PLANTILLA!B21</f>
        <v>DAV</v>
      </c>
      <c r="C19" s="121">
        <f ca="1">PLANTILLA!C21</f>
        <v>15.053571428571429</v>
      </c>
      <c r="D19" s="28" t="str">
        <f>PLANTILLA!D21</f>
        <v>Santiago Serra</v>
      </c>
      <c r="E19" s="16">
        <f>PLANTILLA!E21</f>
        <v>17</v>
      </c>
      <c r="F19" s="17">
        <f ca="1">PLANTILLA!F21</f>
        <v>106</v>
      </c>
      <c r="G19" s="18"/>
      <c r="H19" s="4">
        <f>PLANTILLA!H21</f>
        <v>4</v>
      </c>
      <c r="I19" s="27">
        <f>PLANTILLA!I21</f>
        <v>1.1000000000000001</v>
      </c>
      <c r="J19" s="19">
        <f>PLANTILLA!O21</f>
        <v>5</v>
      </c>
      <c r="K19" s="6">
        <f t="shared" ref="K19" si="15">(H19)*(H19)*(I19)</f>
        <v>17.600000000000001</v>
      </c>
      <c r="L19" s="6">
        <f t="shared" ref="L19" si="16">(H19+1)*(H19+1)*I19</f>
        <v>27.500000000000004</v>
      </c>
      <c r="M19" s="21">
        <f>PLANTILLA!X21</f>
        <v>1</v>
      </c>
      <c r="N19" s="21">
        <f>PLANTILLA!Y21</f>
        <v>4</v>
      </c>
      <c r="O19" s="21">
        <f>PLANTILLA!Z21</f>
        <v>2</v>
      </c>
      <c r="P19" s="21">
        <f>PLANTILLA!AA21</f>
        <v>3</v>
      </c>
      <c r="Q19" s="21">
        <f>PLANTILLA!AB21</f>
        <v>5</v>
      </c>
      <c r="R19" s="21">
        <f>PLANTILLA!AC21</f>
        <v>5.352777777777777</v>
      </c>
      <c r="S19" s="21">
        <f>PLANTILLA!AD21</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4.9230769230769234</v>
      </c>
      <c r="AI19" s="156">
        <v>10</v>
      </c>
      <c r="AJ19" s="156">
        <f>S19+(Z$2/3)</f>
        <v>6</v>
      </c>
    </row>
    <row r="20" spans="1:36" ht="16.5" customHeight="1" x14ac:dyDescent="0.25">
      <c r="A20" s="15" t="str">
        <f>PLANTILLA!A22</f>
        <v>#25</v>
      </c>
      <c r="B20" s="15" t="str">
        <f>PLANTILLA!B22</f>
        <v>DAV</v>
      </c>
      <c r="C20" s="121">
        <f ca="1">PLANTILLA!C22</f>
        <v>14.669642857142858</v>
      </c>
      <c r="D20" s="28" t="str">
        <f>PLANTILLA!D22</f>
        <v>Nicolás Eans</v>
      </c>
      <c r="E20" s="16">
        <f>PLANTILLA!E22</f>
        <v>18</v>
      </c>
      <c r="F20" s="17">
        <f ca="1">PLANTILLA!F22</f>
        <v>37</v>
      </c>
      <c r="G20" s="18"/>
      <c r="H20" s="4">
        <f>PLANTILLA!H22</f>
        <v>3</v>
      </c>
      <c r="I20" s="27">
        <f>PLANTILLA!I22</f>
        <v>0.5</v>
      </c>
      <c r="J20" s="19">
        <f>PLANTILLA!O22</f>
        <v>5</v>
      </c>
      <c r="K20" s="6">
        <f t="shared" ref="K20:K21" si="21">(H20)*(H20)*(I20)</f>
        <v>4.5</v>
      </c>
      <c r="L20" s="6">
        <f t="shared" ref="L20:L21" si="22">(H20+1)*(H20+1)*I20</f>
        <v>8</v>
      </c>
      <c r="M20" s="21">
        <f>PLANTILLA!X22</f>
        <v>0</v>
      </c>
      <c r="N20" s="21">
        <f>PLANTILLA!Y22</f>
        <v>5</v>
      </c>
      <c r="O20" s="21">
        <f>PLANTILLA!Z22</f>
        <v>2</v>
      </c>
      <c r="P20" s="21">
        <f>PLANTILLA!AA22</f>
        <v>3</v>
      </c>
      <c r="Q20" s="21">
        <f>PLANTILLA!AB22</f>
        <v>5</v>
      </c>
      <c r="R20" s="21">
        <f>PLANTILLA!AC22</f>
        <v>6.3478260869565233</v>
      </c>
      <c r="S20" s="21">
        <f>PLANTILLA!AD22</f>
        <v>3</v>
      </c>
      <c r="T20" s="155">
        <v>0</v>
      </c>
      <c r="U20" s="155">
        <v>0</v>
      </c>
      <c r="V20" s="155">
        <v>0</v>
      </c>
      <c r="W20" s="155">
        <v>0.5</v>
      </c>
      <c r="X20" s="155">
        <v>0</v>
      </c>
      <c r="Y20" s="155">
        <v>1</v>
      </c>
      <c r="Z20" s="155">
        <v>0</v>
      </c>
      <c r="AA20" s="153">
        <v>20</v>
      </c>
      <c r="AB20" s="154">
        <v>54</v>
      </c>
      <c r="AC20" s="25">
        <f t="shared" ref="AC20:AC21" si="23">I20+$AC$2</f>
        <v>0.5</v>
      </c>
      <c r="AD20" s="156">
        <f t="shared" ref="AD20:AD21" si="24">M20</f>
        <v>0</v>
      </c>
      <c r="AE20" s="156">
        <f t="shared" ref="AE20:AE21" si="25">N20</f>
        <v>5</v>
      </c>
      <c r="AF20" s="156">
        <f t="shared" ref="AF20:AF21" si="26">O20</f>
        <v>2</v>
      </c>
      <c r="AG20" s="156">
        <v>11</v>
      </c>
      <c r="AH20" s="156">
        <f t="shared" ref="AH20:AH21" si="27">Q20+(X$2/13)</f>
        <v>4.9230769230769234</v>
      </c>
      <c r="AI20" s="156">
        <v>11</v>
      </c>
      <c r="AJ20" s="156">
        <f t="shared" ref="AJ20:AJ21" si="28">S20+(Z$2/3)</f>
        <v>3</v>
      </c>
    </row>
    <row r="21" spans="1:36" ht="16.5" customHeight="1" x14ac:dyDescent="0.25">
      <c r="A21" s="15" t="str">
        <f>PLANTILLA!A23</f>
        <v>#27</v>
      </c>
      <c r="B21" s="15" t="str">
        <f>PLANTILLA!B23</f>
        <v>DAV</v>
      </c>
      <c r="C21" s="121">
        <f ca="1">PLANTILLA!C23</f>
        <v>15.0625</v>
      </c>
      <c r="D21" s="28" t="str">
        <f>PLANTILLA!D23</f>
        <v>Noel Fuster</v>
      </c>
      <c r="E21" s="16">
        <f>PLANTILLA!E23</f>
        <v>17</v>
      </c>
      <c r="F21" s="17">
        <f ca="1">PLANTILLA!F23</f>
        <v>105</v>
      </c>
      <c r="G21" s="18"/>
      <c r="H21" s="4">
        <f>PLANTILLA!H23</f>
        <v>4</v>
      </c>
      <c r="I21" s="27">
        <f>PLANTILLA!I23</f>
        <v>0.5</v>
      </c>
      <c r="J21" s="19">
        <f>PLANTILLA!O23</f>
        <v>5</v>
      </c>
      <c r="K21" s="6">
        <f t="shared" si="21"/>
        <v>8</v>
      </c>
      <c r="L21" s="6">
        <f t="shared" si="22"/>
        <v>12.5</v>
      </c>
      <c r="M21" s="21">
        <f>PLANTILLA!X23</f>
        <v>0</v>
      </c>
      <c r="N21" s="21">
        <f>PLANTILLA!Y23</f>
        <v>4</v>
      </c>
      <c r="O21" s="21">
        <f>PLANTILLA!Z23</f>
        <v>2</v>
      </c>
      <c r="P21" s="21">
        <f>PLANTILLA!AA23</f>
        <v>2</v>
      </c>
      <c r="Q21" s="21">
        <f>PLANTILLA!AB23</f>
        <v>3.0896666666666666</v>
      </c>
      <c r="R21" s="21">
        <f>PLANTILLA!AC23</f>
        <v>5.3027777777777771</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3.0127435897435895</v>
      </c>
      <c r="AI21" s="156">
        <v>12</v>
      </c>
      <c r="AJ21" s="156">
        <f t="shared" si="28"/>
        <v>2.5</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2018-02-17T10:11:49Z</dcterms:modified>
</cp:coreProperties>
</file>