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Filthy-OBIWAN" sheetId="456" r:id="rId1"/>
    <sheet name="OBIWAN-Antioch" sheetId="457" r:id="rId2"/>
    <sheet name="SIMULADOR_v3" sheetId="446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C6" i="457" l="1"/>
  <c r="BF48" i="457"/>
  <c r="BF47" i="457"/>
  <c r="BF46" i="457"/>
  <c r="BE45" i="457"/>
  <c r="BE44" i="457"/>
  <c r="BF45" i="457" s="1"/>
  <c r="BD44" i="457"/>
  <c r="BE43" i="457"/>
  <c r="BD43" i="457"/>
  <c r="BC43" i="457"/>
  <c r="BF42" i="457"/>
  <c r="BE42" i="457"/>
  <c r="BD42" i="457"/>
  <c r="BC42" i="457"/>
  <c r="BF41" i="457"/>
  <c r="BE41" i="457"/>
  <c r="BD41" i="457"/>
  <c r="BC41" i="457"/>
  <c r="BF40" i="457"/>
  <c r="BE40" i="457"/>
  <c r="BD40" i="457"/>
  <c r="BC40" i="457"/>
  <c r="BC39" i="457"/>
  <c r="AS38" i="457"/>
  <c r="AR38" i="457"/>
  <c r="AQ38" i="457"/>
  <c r="AP38" i="457"/>
  <c r="AO38" i="457"/>
  <c r="AN38" i="457"/>
  <c r="AM38" i="457"/>
  <c r="AL38" i="457"/>
  <c r="AK38" i="457"/>
  <c r="AJ38" i="457"/>
  <c r="AI38" i="457"/>
  <c r="AH38" i="457"/>
  <c r="AG38" i="457"/>
  <c r="AF38" i="457"/>
  <c r="AE38" i="457"/>
  <c r="AD38" i="457"/>
  <c r="AC38" i="457"/>
  <c r="AB38" i="457"/>
  <c r="AA38" i="457"/>
  <c r="Z38" i="457"/>
  <c r="Y38" i="457"/>
  <c r="X38" i="457"/>
  <c r="W38" i="457"/>
  <c r="V38" i="457"/>
  <c r="U38" i="457"/>
  <c r="T38" i="457"/>
  <c r="S38" i="457"/>
  <c r="R38" i="457"/>
  <c r="Q38" i="457"/>
  <c r="P38" i="457"/>
  <c r="O38" i="457"/>
  <c r="N38" i="457"/>
  <c r="M38" i="457"/>
  <c r="L38" i="457"/>
  <c r="K38" i="457"/>
  <c r="J38" i="457"/>
  <c r="I38" i="457"/>
  <c r="H38" i="457"/>
  <c r="G38" i="457"/>
  <c r="BH36" i="457"/>
  <c r="BH42" i="457" s="1"/>
  <c r="BH47" i="457" s="1"/>
  <c r="BH52" i="457" s="1"/>
  <c r="BH55" i="457" s="1"/>
  <c r="BH57" i="457" s="1"/>
  <c r="BL13" i="457" s="1"/>
  <c r="BF34" i="457"/>
  <c r="BH33" i="457"/>
  <c r="BH39" i="457" s="1"/>
  <c r="BH44" i="457" s="1"/>
  <c r="BF33" i="457"/>
  <c r="C33" i="457"/>
  <c r="B33" i="457"/>
  <c r="C32" i="457"/>
  <c r="B32" i="457"/>
  <c r="BE31" i="457"/>
  <c r="BF32" i="457" s="1"/>
  <c r="BH30" i="457"/>
  <c r="BH37" i="457" s="1"/>
  <c r="BH43" i="457" s="1"/>
  <c r="BH48" i="457" s="1"/>
  <c r="BH53" i="457" s="1"/>
  <c r="BH56" i="457" s="1"/>
  <c r="BH58" i="457" s="1"/>
  <c r="BH59" i="457" s="1"/>
  <c r="BE30" i="457"/>
  <c r="BD30" i="457"/>
  <c r="E30" i="457"/>
  <c r="D30" i="457"/>
  <c r="BH29" i="457"/>
  <c r="BE29" i="457"/>
  <c r="BD29" i="457"/>
  <c r="BC29" i="457"/>
  <c r="C29" i="457"/>
  <c r="B29" i="457"/>
  <c r="BH28" i="457"/>
  <c r="BH35" i="457" s="1"/>
  <c r="BH41" i="457" s="1"/>
  <c r="BH46" i="457" s="1"/>
  <c r="BH51" i="457" s="1"/>
  <c r="BH54" i="457" s="1"/>
  <c r="BL12" i="457" s="1"/>
  <c r="BP47" i="457" s="1"/>
  <c r="BF28" i="457"/>
  <c r="BE28" i="457"/>
  <c r="BD28" i="457"/>
  <c r="BC28" i="457"/>
  <c r="BH27" i="457"/>
  <c r="BH34" i="457" s="1"/>
  <c r="BH40" i="457" s="1"/>
  <c r="BH45" i="457" s="1"/>
  <c r="BH50" i="457" s="1"/>
  <c r="BF27" i="457"/>
  <c r="BE27" i="457"/>
  <c r="BD27" i="457"/>
  <c r="BC27" i="457"/>
  <c r="C27" i="457"/>
  <c r="B27" i="457"/>
  <c r="BH26" i="457"/>
  <c r="BF26" i="457"/>
  <c r="BE26" i="457"/>
  <c r="BD26" i="457"/>
  <c r="BC26" i="457"/>
  <c r="E26" i="457"/>
  <c r="E27" i="457" s="1"/>
  <c r="D26" i="457"/>
  <c r="C26" i="457"/>
  <c r="B26" i="457"/>
  <c r="BH25" i="457"/>
  <c r="BH32" i="457" s="1"/>
  <c r="BH38" i="457" s="1"/>
  <c r="BC25" i="457"/>
  <c r="E25" i="457"/>
  <c r="D25" i="457"/>
  <c r="C25" i="457"/>
  <c r="B25" i="457"/>
  <c r="BH24" i="457"/>
  <c r="BH31" i="457" s="1"/>
  <c r="BP23" i="457"/>
  <c r="BP29" i="457" s="1"/>
  <c r="BP36" i="457" s="1"/>
  <c r="BP44" i="457" s="1"/>
  <c r="BH23" i="457"/>
  <c r="B22" i="457"/>
  <c r="C22" i="457" s="1"/>
  <c r="B21" i="457"/>
  <c r="B20" i="457"/>
  <c r="AO19" i="457"/>
  <c r="AL19" i="457"/>
  <c r="AK19" i="457"/>
  <c r="AH19" i="457"/>
  <c r="AG19" i="457"/>
  <c r="AN19" i="457" s="1"/>
  <c r="Z19" i="457"/>
  <c r="P19" i="457"/>
  <c r="AO18" i="457"/>
  <c r="AL18" i="457"/>
  <c r="AK18" i="457"/>
  <c r="AH18" i="457"/>
  <c r="AG18" i="457"/>
  <c r="P18" i="457"/>
  <c r="AO17" i="457"/>
  <c r="AL17" i="457"/>
  <c r="AK17" i="457"/>
  <c r="AH17" i="457"/>
  <c r="AG17" i="457"/>
  <c r="Z17" i="457"/>
  <c r="Z18" i="457" s="1"/>
  <c r="P17" i="457"/>
  <c r="AK16" i="457"/>
  <c r="AG16" i="457"/>
  <c r="AN16" i="457" s="1"/>
  <c r="C16" i="457"/>
  <c r="B16" i="457"/>
  <c r="BP15" i="457"/>
  <c r="BP19" i="457" s="1"/>
  <c r="BP25" i="457" s="1"/>
  <c r="BP32" i="457" s="1"/>
  <c r="BP40" i="457" s="1"/>
  <c r="AK15" i="457"/>
  <c r="AG15" i="457"/>
  <c r="AN15" i="457" s="1"/>
  <c r="Z15" i="457"/>
  <c r="P15" i="457"/>
  <c r="AL14" i="457"/>
  <c r="AG14" i="457" s="1"/>
  <c r="AN14" i="457" s="1"/>
  <c r="AH14" i="457"/>
  <c r="AK14" i="457" s="1"/>
  <c r="Z14" i="457"/>
  <c r="P14" i="457"/>
  <c r="AK13" i="457"/>
  <c r="AG13" i="457"/>
  <c r="AN13" i="457" s="1"/>
  <c r="Z13" i="457"/>
  <c r="P13" i="457"/>
  <c r="AO12" i="457"/>
  <c r="AL12" i="457"/>
  <c r="AK12" i="457"/>
  <c r="AH12" i="457"/>
  <c r="AG12" i="457"/>
  <c r="Z12" i="457"/>
  <c r="P12" i="457"/>
  <c r="BL11" i="457"/>
  <c r="BP38" i="457" s="1"/>
  <c r="BP46" i="457" s="1"/>
  <c r="AO11" i="457"/>
  <c r="AL11" i="457"/>
  <c r="AK11" i="457"/>
  <c r="AH11" i="457"/>
  <c r="AG11" i="457"/>
  <c r="AN11" i="457" s="1"/>
  <c r="Z11" i="457"/>
  <c r="P11" i="457"/>
  <c r="BL10" i="457"/>
  <c r="BP30" i="457" s="1"/>
  <c r="BP37" i="457" s="1"/>
  <c r="BP45" i="457" s="1"/>
  <c r="AO10" i="457"/>
  <c r="AL10" i="457"/>
  <c r="AK10" i="457"/>
  <c r="AH10" i="457"/>
  <c r="AG10" i="457"/>
  <c r="Z10" i="457"/>
  <c r="P10" i="457"/>
  <c r="BP9" i="457"/>
  <c r="BP12" i="457" s="1"/>
  <c r="BP16" i="457" s="1"/>
  <c r="BP20" i="457" s="1"/>
  <c r="BP26" i="457" s="1"/>
  <c r="BP33" i="457" s="1"/>
  <c r="BP41" i="457" s="1"/>
  <c r="BL9" i="457"/>
  <c r="AL9" i="457"/>
  <c r="AK9" i="457"/>
  <c r="AH9" i="457"/>
  <c r="AG9" i="457"/>
  <c r="Z9" i="457"/>
  <c r="P9" i="457"/>
  <c r="BP8" i="457"/>
  <c r="BP11" i="457" s="1"/>
  <c r="BL8" i="457"/>
  <c r="BP18" i="457" s="1"/>
  <c r="BP22" i="457" s="1"/>
  <c r="BP28" i="457" s="1"/>
  <c r="BP35" i="457" s="1"/>
  <c r="BP43" i="457" s="1"/>
  <c r="AO8" i="457"/>
  <c r="AL8" i="457"/>
  <c r="AK8" i="457"/>
  <c r="AH8" i="457"/>
  <c r="AG8" i="457"/>
  <c r="Z8" i="457"/>
  <c r="P8" i="457"/>
  <c r="BL7" i="457"/>
  <c r="BP13" i="457" s="1"/>
  <c r="BP17" i="457" s="1"/>
  <c r="BP21" i="457" s="1"/>
  <c r="BP27" i="457" s="1"/>
  <c r="BP34" i="457" s="1"/>
  <c r="BP42" i="457" s="1"/>
  <c r="AL7" i="457"/>
  <c r="AK7" i="457"/>
  <c r="AH7" i="457"/>
  <c r="AG7" i="457"/>
  <c r="Z7" i="457"/>
  <c r="P7" i="457"/>
  <c r="BP6" i="457"/>
  <c r="BL6" i="457"/>
  <c r="AO6" i="457"/>
  <c r="AL6" i="457"/>
  <c r="AK6" i="457"/>
  <c r="AH6" i="457"/>
  <c r="AG6" i="457"/>
  <c r="Z6" i="457"/>
  <c r="P6" i="457"/>
  <c r="BP5" i="457"/>
  <c r="BP7" i="457" s="1"/>
  <c r="BP10" i="457" s="1"/>
  <c r="BP14" i="457" s="1"/>
  <c r="BH49" i="457" s="1"/>
  <c r="BP24" i="457" s="1"/>
  <c r="BP31" i="457" s="1"/>
  <c r="BP39" i="457" s="1"/>
  <c r="BL14" i="457" s="1"/>
  <c r="AO5" i="457"/>
  <c r="AL5" i="457"/>
  <c r="AK5" i="457"/>
  <c r="AH5" i="457"/>
  <c r="AG5" i="457"/>
  <c r="Z5" i="457"/>
  <c r="P5" i="457"/>
  <c r="AM3" i="457"/>
  <c r="D3" i="457"/>
  <c r="K1" i="457"/>
  <c r="AN6" i="457" l="1"/>
  <c r="AN5" i="457"/>
  <c r="AN8" i="457"/>
  <c r="D27" i="457"/>
  <c r="D23" i="457"/>
  <c r="K2" i="457"/>
  <c r="K3" i="457"/>
  <c r="G2" i="457"/>
  <c r="B31" i="457"/>
  <c r="W25" i="457" s="1"/>
  <c r="AN9" i="457"/>
  <c r="G3" i="457"/>
  <c r="G1" i="457"/>
  <c r="BF30" i="457"/>
  <c r="BF29" i="457"/>
  <c r="C31" i="457"/>
  <c r="W39" i="457" s="1"/>
  <c r="AN7" i="457"/>
  <c r="AN10" i="457"/>
  <c r="AN12" i="457"/>
  <c r="AN17" i="457"/>
  <c r="AN18" i="457"/>
  <c r="B23" i="457"/>
  <c r="C23" i="457" s="1"/>
  <c r="BF31" i="457"/>
  <c r="E23" i="457"/>
  <c r="BF44" i="457"/>
  <c r="BF43" i="457"/>
  <c r="BF48" i="456"/>
  <c r="BF47" i="456"/>
  <c r="BF46" i="456"/>
  <c r="BE45" i="456"/>
  <c r="BE44" i="456"/>
  <c r="BF45" i="456" s="1"/>
  <c r="BD44" i="456"/>
  <c r="BE43" i="456"/>
  <c r="BF44" i="456" s="1"/>
  <c r="BD43" i="456"/>
  <c r="BC43" i="456"/>
  <c r="BF42" i="456"/>
  <c r="BE42" i="456"/>
  <c r="BF43" i="456" s="1"/>
  <c r="BD42" i="456"/>
  <c r="BC42" i="456"/>
  <c r="BF41" i="456"/>
  <c r="BE41" i="456"/>
  <c r="BD41" i="456"/>
  <c r="BC41" i="456"/>
  <c r="BF40" i="456"/>
  <c r="BE40" i="456"/>
  <c r="BD40" i="456"/>
  <c r="BC40" i="456"/>
  <c r="BC39" i="456"/>
  <c r="AS38" i="456"/>
  <c r="AR38" i="456"/>
  <c r="AQ38" i="456"/>
  <c r="AP38" i="456"/>
  <c r="AO38" i="456"/>
  <c r="AN38" i="456"/>
  <c r="AM38" i="456"/>
  <c r="AL38" i="456"/>
  <c r="AK38" i="456"/>
  <c r="AJ38" i="456"/>
  <c r="AI38" i="456"/>
  <c r="AH38" i="456"/>
  <c r="AG38" i="456"/>
  <c r="AF38" i="456"/>
  <c r="AE38" i="456"/>
  <c r="AD38" i="456"/>
  <c r="AC38" i="456"/>
  <c r="AB38" i="456"/>
  <c r="AA38" i="456"/>
  <c r="Z38" i="456"/>
  <c r="Y38" i="456"/>
  <c r="X38" i="456"/>
  <c r="W38" i="456"/>
  <c r="V38" i="456"/>
  <c r="U38" i="456"/>
  <c r="T38" i="456"/>
  <c r="S38" i="456"/>
  <c r="R38" i="456"/>
  <c r="Q38" i="456"/>
  <c r="P38" i="456"/>
  <c r="O38" i="456"/>
  <c r="N38" i="456"/>
  <c r="M38" i="456"/>
  <c r="L38" i="456"/>
  <c r="K38" i="456"/>
  <c r="J38" i="456"/>
  <c r="I38" i="456"/>
  <c r="H38" i="456"/>
  <c r="G38" i="456"/>
  <c r="BH35" i="456"/>
  <c r="BH41" i="456" s="1"/>
  <c r="BH46" i="456" s="1"/>
  <c r="BH51" i="456" s="1"/>
  <c r="BH54" i="456" s="1"/>
  <c r="BF34" i="456"/>
  <c r="BH33" i="456"/>
  <c r="BH39" i="456" s="1"/>
  <c r="BH44" i="456" s="1"/>
  <c r="BF33" i="456"/>
  <c r="C33" i="456"/>
  <c r="B33" i="456"/>
  <c r="BH32" i="456"/>
  <c r="BH38" i="456" s="1"/>
  <c r="C32" i="456"/>
  <c r="B32" i="456"/>
  <c r="BE31" i="456"/>
  <c r="BF32" i="456" s="1"/>
  <c r="BH30" i="456"/>
  <c r="BH37" i="456" s="1"/>
  <c r="BH43" i="456" s="1"/>
  <c r="BH48" i="456" s="1"/>
  <c r="BH53" i="456" s="1"/>
  <c r="BH56" i="456" s="1"/>
  <c r="BH58" i="456" s="1"/>
  <c r="BH59" i="456" s="1"/>
  <c r="BE30" i="456"/>
  <c r="BF31" i="456" s="1"/>
  <c r="BD30" i="456"/>
  <c r="E30" i="456"/>
  <c r="D30" i="456"/>
  <c r="BH29" i="456"/>
  <c r="BH36" i="456" s="1"/>
  <c r="BH42" i="456" s="1"/>
  <c r="BH47" i="456" s="1"/>
  <c r="BH52" i="456" s="1"/>
  <c r="BH55" i="456" s="1"/>
  <c r="BH57" i="456" s="1"/>
  <c r="BE29" i="456"/>
  <c r="BD29" i="456"/>
  <c r="BC29" i="456"/>
  <c r="C29" i="456"/>
  <c r="B29" i="456"/>
  <c r="BH28" i="456"/>
  <c r="BE28" i="456"/>
  <c r="BF29" i="456" s="1"/>
  <c r="BD28" i="456"/>
  <c r="BC28" i="456"/>
  <c r="BH27" i="456"/>
  <c r="BH34" i="456" s="1"/>
  <c r="BH40" i="456" s="1"/>
  <c r="BH45" i="456" s="1"/>
  <c r="BH50" i="456" s="1"/>
  <c r="BF27" i="456"/>
  <c r="BE27" i="456"/>
  <c r="BF28" i="456" s="1"/>
  <c r="BD27" i="456"/>
  <c r="BC27" i="456"/>
  <c r="E27" i="456"/>
  <c r="D27" i="456"/>
  <c r="C27" i="456"/>
  <c r="B27" i="456"/>
  <c r="BH26" i="456"/>
  <c r="BF26" i="456"/>
  <c r="BE26" i="456"/>
  <c r="BD26" i="456"/>
  <c r="BC26" i="456"/>
  <c r="E26" i="456"/>
  <c r="D26" i="456"/>
  <c r="C26" i="456"/>
  <c r="B26" i="456"/>
  <c r="BH25" i="456"/>
  <c r="BC25" i="456"/>
  <c r="E25" i="456"/>
  <c r="D25" i="456"/>
  <c r="D23" i="456" s="1"/>
  <c r="C25" i="456"/>
  <c r="B25" i="456"/>
  <c r="BH24" i="456"/>
  <c r="BH31" i="456" s="1"/>
  <c r="BH23" i="456"/>
  <c r="B22" i="456"/>
  <c r="AG15" i="456" s="1"/>
  <c r="AN15" i="456" s="1"/>
  <c r="B20" i="456"/>
  <c r="B21" i="456" s="1"/>
  <c r="AO19" i="456"/>
  <c r="AL19" i="456"/>
  <c r="AK19" i="456"/>
  <c r="AH19" i="456"/>
  <c r="AG19" i="456"/>
  <c r="AN19" i="456" s="1"/>
  <c r="Z19" i="456"/>
  <c r="P19" i="456"/>
  <c r="AO18" i="456"/>
  <c r="AL18" i="456"/>
  <c r="AK18" i="456"/>
  <c r="AH18" i="456"/>
  <c r="AG18" i="456"/>
  <c r="AN18" i="456" s="1"/>
  <c r="AO17" i="456"/>
  <c r="AL17" i="456"/>
  <c r="AK17" i="456"/>
  <c r="AH17" i="456"/>
  <c r="AG17" i="456"/>
  <c r="AN17" i="456" s="1"/>
  <c r="Z17" i="456"/>
  <c r="Z18" i="456" s="1"/>
  <c r="P17" i="456"/>
  <c r="AK16" i="456"/>
  <c r="C16" i="456"/>
  <c r="B16" i="456"/>
  <c r="Z15" i="456"/>
  <c r="P15" i="456"/>
  <c r="AL14" i="456"/>
  <c r="AG14" i="456" s="1"/>
  <c r="AN14" i="456" s="1"/>
  <c r="AH14" i="456"/>
  <c r="Z14" i="456"/>
  <c r="P14" i="456"/>
  <c r="BL13" i="456"/>
  <c r="Z13" i="456"/>
  <c r="P13" i="456"/>
  <c r="BL12" i="456"/>
  <c r="BP47" i="456" s="1"/>
  <c r="AO12" i="456"/>
  <c r="AL12" i="456"/>
  <c r="AK12" i="456"/>
  <c r="AH12" i="456"/>
  <c r="AG12" i="456"/>
  <c r="AN12" i="456" s="1"/>
  <c r="Z12" i="456"/>
  <c r="P12" i="456"/>
  <c r="BL11" i="456"/>
  <c r="BP38" i="456" s="1"/>
  <c r="BP46" i="456" s="1"/>
  <c r="AO11" i="456"/>
  <c r="AL11" i="456"/>
  <c r="AK11" i="456"/>
  <c r="AH11" i="456"/>
  <c r="AG11" i="456"/>
  <c r="Z11" i="456"/>
  <c r="P11" i="456"/>
  <c r="BL10" i="456"/>
  <c r="BP30" i="456" s="1"/>
  <c r="BP37" i="456" s="1"/>
  <c r="BP45" i="456" s="1"/>
  <c r="AO10" i="456"/>
  <c r="AL10" i="456"/>
  <c r="AK10" i="456"/>
  <c r="AH10" i="456"/>
  <c r="AG10" i="456"/>
  <c r="AN10" i="456" s="1"/>
  <c r="Z10" i="456"/>
  <c r="P10" i="456"/>
  <c r="BL9" i="456"/>
  <c r="BP23" i="456" s="1"/>
  <c r="BP29" i="456" s="1"/>
  <c r="BP36" i="456" s="1"/>
  <c r="BP44" i="456" s="1"/>
  <c r="AL9" i="456"/>
  <c r="AK9" i="456"/>
  <c r="AH9" i="456"/>
  <c r="AG9" i="456"/>
  <c r="Z9" i="456"/>
  <c r="P9" i="456"/>
  <c r="BL8" i="456"/>
  <c r="BP18" i="456" s="1"/>
  <c r="BP22" i="456" s="1"/>
  <c r="BP28" i="456" s="1"/>
  <c r="BP35" i="456" s="1"/>
  <c r="BP43" i="456" s="1"/>
  <c r="AO8" i="456"/>
  <c r="AL8" i="456"/>
  <c r="AK8" i="456"/>
  <c r="AH8" i="456"/>
  <c r="AG8" i="456"/>
  <c r="AN8" i="456" s="1"/>
  <c r="Z8" i="456"/>
  <c r="P8" i="456"/>
  <c r="BL7" i="456"/>
  <c r="BP13" i="456" s="1"/>
  <c r="BP17" i="456" s="1"/>
  <c r="BP21" i="456" s="1"/>
  <c r="BP27" i="456" s="1"/>
  <c r="BP34" i="456" s="1"/>
  <c r="BP42" i="456" s="1"/>
  <c r="AL7" i="456"/>
  <c r="AK7" i="456"/>
  <c r="AH7" i="456"/>
  <c r="AG7" i="456"/>
  <c r="Z7" i="456"/>
  <c r="P7" i="456"/>
  <c r="BP6" i="456"/>
  <c r="BP8" i="456" s="1"/>
  <c r="BP11" i="456" s="1"/>
  <c r="BP15" i="456" s="1"/>
  <c r="BP19" i="456" s="1"/>
  <c r="BP25" i="456" s="1"/>
  <c r="BP32" i="456" s="1"/>
  <c r="BP40" i="456" s="1"/>
  <c r="BL6" i="456"/>
  <c r="BP9" i="456" s="1"/>
  <c r="BP12" i="456" s="1"/>
  <c r="BP16" i="456" s="1"/>
  <c r="BP20" i="456" s="1"/>
  <c r="BP26" i="456" s="1"/>
  <c r="BP33" i="456" s="1"/>
  <c r="BP41" i="456" s="1"/>
  <c r="AO6" i="456"/>
  <c r="AL6" i="456"/>
  <c r="AK6" i="456"/>
  <c r="AH6" i="456"/>
  <c r="AG6" i="456"/>
  <c r="Z6" i="456"/>
  <c r="P6" i="456"/>
  <c r="BP5" i="456"/>
  <c r="BP7" i="456" s="1"/>
  <c r="BP10" i="456" s="1"/>
  <c r="BP14" i="456" s="1"/>
  <c r="BH49" i="456" s="1"/>
  <c r="BP24" i="456" s="1"/>
  <c r="BP31" i="456" s="1"/>
  <c r="BP39" i="456" s="1"/>
  <c r="BL14" i="456" s="1"/>
  <c r="AO5" i="456"/>
  <c r="AL5" i="456"/>
  <c r="AK5" i="456"/>
  <c r="AH5" i="456"/>
  <c r="AG5" i="456"/>
  <c r="Z5" i="456"/>
  <c r="P5" i="456"/>
  <c r="AM3" i="456"/>
  <c r="K3" i="456"/>
  <c r="G3" i="456"/>
  <c r="D3" i="456"/>
  <c r="K2" i="456"/>
  <c r="G2" i="456"/>
  <c r="K1" i="456"/>
  <c r="G1" i="456"/>
  <c r="T42" i="457" l="1"/>
  <c r="T34" i="457"/>
  <c r="T33" i="457"/>
  <c r="T45" i="457"/>
  <c r="AN3" i="457"/>
  <c r="AI7" i="457" s="1"/>
  <c r="C34" i="457"/>
  <c r="T31" i="457"/>
  <c r="T28" i="457"/>
  <c r="T25" i="457"/>
  <c r="T27" i="457"/>
  <c r="T29" i="457"/>
  <c r="T30" i="457"/>
  <c r="C24" i="457"/>
  <c r="T26" i="457"/>
  <c r="T43" i="457"/>
  <c r="T32" i="457"/>
  <c r="T41" i="457"/>
  <c r="T39" i="457"/>
  <c r="T46" i="457"/>
  <c r="T35" i="457"/>
  <c r="T49" i="457"/>
  <c r="T48" i="457"/>
  <c r="B34" i="457"/>
  <c r="B24" i="457"/>
  <c r="T47" i="457"/>
  <c r="T44" i="457"/>
  <c r="T40" i="457"/>
  <c r="AN7" i="456"/>
  <c r="E23" i="456"/>
  <c r="AG13" i="456"/>
  <c r="AN13" i="456" s="1"/>
  <c r="AN6" i="456"/>
  <c r="C31" i="456"/>
  <c r="W39" i="456" s="1"/>
  <c r="C22" i="456"/>
  <c r="AK14" i="456" s="1"/>
  <c r="AN5" i="456"/>
  <c r="AN11" i="456"/>
  <c r="AN9" i="456"/>
  <c r="B31" i="456"/>
  <c r="W25" i="456" s="1"/>
  <c r="P18" i="456"/>
  <c r="BF30" i="456"/>
  <c r="AL14" i="446"/>
  <c r="AH14" i="446"/>
  <c r="AK14" i="446" s="1"/>
  <c r="AI10" i="457" l="1"/>
  <c r="AI18" i="457"/>
  <c r="Y18" i="457" s="1"/>
  <c r="AA18" i="457" s="1"/>
  <c r="AB18" i="457" s="1"/>
  <c r="AI12" i="457"/>
  <c r="Y12" i="457" s="1"/>
  <c r="AA12" i="457" s="1"/>
  <c r="AB12" i="457" s="1"/>
  <c r="AI9" i="457"/>
  <c r="AI17" i="457"/>
  <c r="Y17" i="457" s="1"/>
  <c r="AA17" i="457" s="1"/>
  <c r="AB17" i="457" s="1"/>
  <c r="O12" i="457"/>
  <c r="Q12" i="457" s="1"/>
  <c r="R12" i="457" s="1"/>
  <c r="Y7" i="457"/>
  <c r="AA7" i="457" s="1"/>
  <c r="AB7" i="457" s="1"/>
  <c r="O7" i="457"/>
  <c r="Q7" i="457" s="1"/>
  <c r="R7" i="457" s="1"/>
  <c r="T37" i="457"/>
  <c r="O18" i="457"/>
  <c r="Q18" i="457" s="1"/>
  <c r="R18" i="457" s="1"/>
  <c r="Y10" i="457"/>
  <c r="AA10" i="457" s="1"/>
  <c r="AB10" i="457" s="1"/>
  <c r="O10" i="457"/>
  <c r="Q10" i="457" s="1"/>
  <c r="R10" i="457" s="1"/>
  <c r="N27" i="457"/>
  <c r="P27" i="457" s="1"/>
  <c r="N30" i="457"/>
  <c r="P30" i="457" s="1"/>
  <c r="R35" i="457" s="1"/>
  <c r="N26" i="457"/>
  <c r="N29" i="457"/>
  <c r="P29" i="457" s="1"/>
  <c r="N28" i="457"/>
  <c r="P28" i="457" s="1"/>
  <c r="N25" i="457"/>
  <c r="Y9" i="457"/>
  <c r="AA9" i="457" s="1"/>
  <c r="AB9" i="457" s="1"/>
  <c r="O9" i="457"/>
  <c r="Q9" i="457" s="1"/>
  <c r="R9" i="457" s="1"/>
  <c r="N43" i="457"/>
  <c r="P43" i="457" s="1"/>
  <c r="N41" i="457"/>
  <c r="P41" i="457" s="1"/>
  <c r="N44" i="457"/>
  <c r="P44" i="457" s="1"/>
  <c r="N39" i="457"/>
  <c r="N40" i="457"/>
  <c r="P40" i="457" s="1"/>
  <c r="N42" i="457"/>
  <c r="P42" i="457" s="1"/>
  <c r="T23" i="457"/>
  <c r="AI5" i="457"/>
  <c r="AI8" i="457"/>
  <c r="AI13" i="457"/>
  <c r="AI14" i="457"/>
  <c r="AI11" i="457"/>
  <c r="AI15" i="457"/>
  <c r="AI16" i="457"/>
  <c r="AI19" i="457"/>
  <c r="AI6" i="457"/>
  <c r="B23" i="456"/>
  <c r="T44" i="456" s="1"/>
  <c r="AG16" i="456"/>
  <c r="AN16" i="456" s="1"/>
  <c r="AN3" i="456" s="1"/>
  <c r="AI9" i="456" s="1"/>
  <c r="AK13" i="456"/>
  <c r="AK15" i="456"/>
  <c r="T45" i="456"/>
  <c r="T47" i="456"/>
  <c r="T42" i="456"/>
  <c r="T43" i="456"/>
  <c r="T40" i="456"/>
  <c r="T49" i="456"/>
  <c r="Z19" i="446"/>
  <c r="P19" i="446"/>
  <c r="P18" i="446"/>
  <c r="Z17" i="446"/>
  <c r="Z18" i="446" s="1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O17" i="457" l="1"/>
  <c r="Q17" i="457" s="1"/>
  <c r="R17" i="457" s="1"/>
  <c r="O8" i="457"/>
  <c r="Q8" i="457" s="1"/>
  <c r="R8" i="457" s="1"/>
  <c r="Y8" i="457"/>
  <c r="AA8" i="457" s="1"/>
  <c r="AB8" i="457" s="1"/>
  <c r="AC9" i="457"/>
  <c r="R33" i="457"/>
  <c r="R32" i="457"/>
  <c r="S18" i="457"/>
  <c r="S12" i="457"/>
  <c r="Y16" i="457"/>
  <c r="AA16" i="457" s="1"/>
  <c r="AB16" i="457" s="1"/>
  <c r="O16" i="457"/>
  <c r="Q16" i="457" s="1"/>
  <c r="R16" i="457" s="1"/>
  <c r="O13" i="457"/>
  <c r="Q13" i="457" s="1"/>
  <c r="R13" i="457" s="1"/>
  <c r="Y13" i="457"/>
  <c r="AA13" i="457" s="1"/>
  <c r="AB13" i="457" s="1"/>
  <c r="Y6" i="457"/>
  <c r="AA6" i="457" s="1"/>
  <c r="AB6" i="457" s="1"/>
  <c r="O6" i="457"/>
  <c r="Q6" i="457" s="1"/>
  <c r="R6" i="457" s="1"/>
  <c r="O11" i="457"/>
  <c r="Q11" i="457" s="1"/>
  <c r="R11" i="457" s="1"/>
  <c r="Y11" i="457"/>
  <c r="AA11" i="457" s="1"/>
  <c r="AB11" i="457" s="1"/>
  <c r="AI3" i="457"/>
  <c r="Y5" i="457"/>
  <c r="AA5" i="457" s="1"/>
  <c r="AB5" i="457" s="1"/>
  <c r="O5" i="457"/>
  <c r="Q5" i="457" s="1"/>
  <c r="R5" i="457" s="1"/>
  <c r="N37" i="457"/>
  <c r="P39" i="457"/>
  <c r="R44" i="457" s="1"/>
  <c r="S17" i="457"/>
  <c r="R34" i="457"/>
  <c r="S10" i="457"/>
  <c r="AC12" i="457"/>
  <c r="R42" i="457"/>
  <c r="S9" i="457"/>
  <c r="N23" i="457"/>
  <c r="P25" i="457"/>
  <c r="AC18" i="457"/>
  <c r="AC7" i="457"/>
  <c r="O15" i="457"/>
  <c r="Q15" i="457" s="1"/>
  <c r="R15" i="457" s="1"/>
  <c r="Y15" i="457"/>
  <c r="AA15" i="457" s="1"/>
  <c r="AB15" i="457" s="1"/>
  <c r="O19" i="457"/>
  <c r="Q19" i="457" s="1"/>
  <c r="R19" i="457" s="1"/>
  <c r="Y19" i="457"/>
  <c r="AA19" i="457" s="1"/>
  <c r="AB19" i="457" s="1"/>
  <c r="O14" i="457"/>
  <c r="Q14" i="457" s="1"/>
  <c r="R14" i="457" s="1"/>
  <c r="Y14" i="457"/>
  <c r="AA14" i="457" s="1"/>
  <c r="AB14" i="457" s="1"/>
  <c r="R47" i="457"/>
  <c r="R49" i="457"/>
  <c r="R48" i="457"/>
  <c r="R46" i="457"/>
  <c r="R45" i="457"/>
  <c r="AC17" i="457"/>
  <c r="P26" i="457"/>
  <c r="R31" i="457" s="1"/>
  <c r="AC10" i="457"/>
  <c r="S7" i="457"/>
  <c r="T41" i="456"/>
  <c r="T39" i="456"/>
  <c r="T48" i="456"/>
  <c r="B34" i="456"/>
  <c r="T46" i="456"/>
  <c r="C23" i="456"/>
  <c r="B24" i="456"/>
  <c r="AI6" i="456"/>
  <c r="AI13" i="456"/>
  <c r="AI7" i="456"/>
  <c r="AI17" i="456"/>
  <c r="AI10" i="456"/>
  <c r="AI8" i="456"/>
  <c r="AI18" i="456"/>
  <c r="AI19" i="456"/>
  <c r="AI15" i="456"/>
  <c r="AI12" i="456"/>
  <c r="AI14" i="456"/>
  <c r="AI16" i="456"/>
  <c r="AI5" i="456"/>
  <c r="AI11" i="456"/>
  <c r="Y9" i="456"/>
  <c r="AA9" i="456" s="1"/>
  <c r="AB9" i="456" s="1"/>
  <c r="O9" i="456"/>
  <c r="Q9" i="456" s="1"/>
  <c r="R9" i="456" s="1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R43" i="457" l="1"/>
  <c r="R41" i="457"/>
  <c r="R40" i="457"/>
  <c r="S14" i="457"/>
  <c r="S15" i="457"/>
  <c r="AC11" i="457"/>
  <c r="AC16" i="457"/>
  <c r="AC5" i="457"/>
  <c r="S6" i="457"/>
  <c r="S13" i="457"/>
  <c r="AC8" i="457"/>
  <c r="R26" i="457"/>
  <c r="AC19" i="457"/>
  <c r="S5" i="457"/>
  <c r="S11" i="457"/>
  <c r="AC13" i="457"/>
  <c r="S19" i="457"/>
  <c r="AC14" i="457"/>
  <c r="AC15" i="457"/>
  <c r="R30" i="457"/>
  <c r="R29" i="457"/>
  <c r="R28" i="457"/>
  <c r="R25" i="457"/>
  <c r="P23" i="457"/>
  <c r="R27" i="457"/>
  <c r="R39" i="457"/>
  <c r="P37" i="457"/>
  <c r="AC6" i="457"/>
  <c r="S16" i="457"/>
  <c r="S8" i="457"/>
  <c r="T37" i="456"/>
  <c r="T33" i="456"/>
  <c r="T32" i="456"/>
  <c r="T26" i="456"/>
  <c r="T31" i="456"/>
  <c r="T27" i="456"/>
  <c r="C24" i="456"/>
  <c r="T28" i="456"/>
  <c r="T30" i="456"/>
  <c r="T35" i="456"/>
  <c r="T25" i="456"/>
  <c r="T29" i="456"/>
  <c r="C34" i="456"/>
  <c r="T34" i="456"/>
  <c r="N26" i="456"/>
  <c r="P26" i="456" s="1"/>
  <c r="N28" i="456"/>
  <c r="P28" i="456" s="1"/>
  <c r="N30" i="456"/>
  <c r="P30" i="456" s="1"/>
  <c r="R35" i="456" s="1"/>
  <c r="N25" i="456"/>
  <c r="N29" i="456"/>
  <c r="P29" i="456" s="1"/>
  <c r="N27" i="456"/>
  <c r="P27" i="456" s="1"/>
  <c r="Y11" i="456"/>
  <c r="AA11" i="456" s="1"/>
  <c r="AB11" i="456" s="1"/>
  <c r="O11" i="456"/>
  <c r="Q11" i="456" s="1"/>
  <c r="R11" i="456" s="1"/>
  <c r="O14" i="456"/>
  <c r="Q14" i="456" s="1"/>
  <c r="R14" i="456" s="1"/>
  <c r="Y14" i="456"/>
  <c r="AA14" i="456" s="1"/>
  <c r="AB14" i="456" s="1"/>
  <c r="O18" i="456"/>
  <c r="Q18" i="456" s="1"/>
  <c r="R18" i="456" s="1"/>
  <c r="Y18" i="456"/>
  <c r="AA18" i="456" s="1"/>
  <c r="AB18" i="456" s="1"/>
  <c r="Y7" i="456"/>
  <c r="AA7" i="456" s="1"/>
  <c r="AB7" i="456" s="1"/>
  <c r="O7" i="456"/>
  <c r="Q7" i="456" s="1"/>
  <c r="R7" i="456" s="1"/>
  <c r="S9" i="456"/>
  <c r="O12" i="456"/>
  <c r="Q12" i="456" s="1"/>
  <c r="R12" i="456" s="1"/>
  <c r="Y12" i="456"/>
  <c r="AA12" i="456" s="1"/>
  <c r="AB12" i="456" s="1"/>
  <c r="O8" i="456"/>
  <c r="Q8" i="456" s="1"/>
  <c r="R8" i="456" s="1"/>
  <c r="Y8" i="456"/>
  <c r="AA8" i="456" s="1"/>
  <c r="AB8" i="456" s="1"/>
  <c r="Y13" i="456"/>
  <c r="AA13" i="456" s="1"/>
  <c r="AB13" i="456" s="1"/>
  <c r="O13" i="456"/>
  <c r="Q13" i="456" s="1"/>
  <c r="R13" i="456" s="1"/>
  <c r="AC9" i="456"/>
  <c r="AI3" i="456"/>
  <c r="Y5" i="456"/>
  <c r="AA5" i="456" s="1"/>
  <c r="AB5" i="456" s="1"/>
  <c r="O5" i="456"/>
  <c r="Q5" i="456" s="1"/>
  <c r="R5" i="456" s="1"/>
  <c r="O15" i="456"/>
  <c r="Q15" i="456" s="1"/>
  <c r="R15" i="456" s="1"/>
  <c r="Y15" i="456"/>
  <c r="AA15" i="456" s="1"/>
  <c r="AB15" i="456" s="1"/>
  <c r="O10" i="456"/>
  <c r="Q10" i="456" s="1"/>
  <c r="R10" i="456" s="1"/>
  <c r="Y10" i="456"/>
  <c r="AA10" i="456" s="1"/>
  <c r="AB10" i="456" s="1"/>
  <c r="Y6" i="456"/>
  <c r="AA6" i="456" s="1"/>
  <c r="AB6" i="456" s="1"/>
  <c r="O6" i="456"/>
  <c r="Q6" i="456" s="1"/>
  <c r="R6" i="456" s="1"/>
  <c r="Y16" i="456"/>
  <c r="AA16" i="456" s="1"/>
  <c r="AB16" i="456" s="1"/>
  <c r="O16" i="456"/>
  <c r="Q16" i="456" s="1"/>
  <c r="R16" i="456" s="1"/>
  <c r="O19" i="456"/>
  <c r="Q19" i="456" s="1"/>
  <c r="R19" i="456" s="1"/>
  <c r="Y19" i="456"/>
  <c r="AA19" i="456" s="1"/>
  <c r="AB19" i="456" s="1"/>
  <c r="O17" i="456"/>
  <c r="Q17" i="456" s="1"/>
  <c r="R17" i="456" s="1"/>
  <c r="Y17" i="456"/>
  <c r="AA17" i="456" s="1"/>
  <c r="AB17" i="456" s="1"/>
  <c r="AG15" i="446"/>
  <c r="AG14" i="446"/>
  <c r="BF29" i="446"/>
  <c r="AN6" i="446"/>
  <c r="D23" i="446"/>
  <c r="C22" i="446"/>
  <c r="AK15" i="446" s="1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U15" i="457" l="1"/>
  <c r="AE16" i="457"/>
  <c r="AE9" i="457"/>
  <c r="T5" i="457"/>
  <c r="U5" i="457"/>
  <c r="U8" i="457"/>
  <c r="AD16" i="457"/>
  <c r="U14" i="457"/>
  <c r="AD13" i="457"/>
  <c r="AE7" i="457"/>
  <c r="AE6" i="457"/>
  <c r="T14" i="457"/>
  <c r="U12" i="457"/>
  <c r="R37" i="457"/>
  <c r="V39" i="457"/>
  <c r="V45" i="457"/>
  <c r="V44" i="457"/>
  <c r="V43" i="457"/>
  <c r="V47" i="457"/>
  <c r="V46" i="457"/>
  <c r="V48" i="457"/>
  <c r="V28" i="457"/>
  <c r="AD15" i="457"/>
  <c r="V40" i="457"/>
  <c r="U10" i="457"/>
  <c r="AD19" i="457"/>
  <c r="AE8" i="457"/>
  <c r="T13" i="457"/>
  <c r="T6" i="457"/>
  <c r="AE11" i="457"/>
  <c r="V25" i="457"/>
  <c r="R23" i="457"/>
  <c r="V34" i="457"/>
  <c r="V33" i="457"/>
  <c r="V29" i="457"/>
  <c r="V30" i="457"/>
  <c r="V31" i="457"/>
  <c r="V32" i="457"/>
  <c r="AE14" i="457"/>
  <c r="U17" i="457"/>
  <c r="AE17" i="457"/>
  <c r="AD8" i="457"/>
  <c r="AD11" i="457"/>
  <c r="T16" i="457"/>
  <c r="AD6" i="457"/>
  <c r="V27" i="457"/>
  <c r="AE15" i="457"/>
  <c r="U7" i="457"/>
  <c r="AE12" i="457"/>
  <c r="T11" i="457"/>
  <c r="V26" i="457"/>
  <c r="U13" i="457"/>
  <c r="AD5" i="457"/>
  <c r="AE10" i="457"/>
  <c r="V41" i="457"/>
  <c r="AE13" i="457"/>
  <c r="S20" i="457"/>
  <c r="T9" i="457"/>
  <c r="T7" i="457"/>
  <c r="U18" i="457"/>
  <c r="T12" i="457"/>
  <c r="T18" i="457"/>
  <c r="T10" i="457"/>
  <c r="T17" i="457"/>
  <c r="AE5" i="457"/>
  <c r="T8" i="457"/>
  <c r="U16" i="457"/>
  <c r="AD14" i="457"/>
  <c r="T19" i="457"/>
  <c r="U11" i="457"/>
  <c r="U9" i="457"/>
  <c r="V42" i="457"/>
  <c r="U6" i="457"/>
  <c r="AC20" i="457"/>
  <c r="AD12" i="457"/>
  <c r="AD7" i="457"/>
  <c r="AD10" i="457"/>
  <c r="AD17" i="457"/>
  <c r="AD9" i="457"/>
  <c r="AD18" i="457"/>
  <c r="AE18" i="457"/>
  <c r="T15" i="457"/>
  <c r="R32" i="456"/>
  <c r="R33" i="456"/>
  <c r="R34" i="456"/>
  <c r="R31" i="456"/>
  <c r="T23" i="456"/>
  <c r="N44" i="456"/>
  <c r="P44" i="456" s="1"/>
  <c r="N40" i="456"/>
  <c r="P40" i="456" s="1"/>
  <c r="N43" i="456"/>
  <c r="P43" i="456" s="1"/>
  <c r="N42" i="456"/>
  <c r="P42" i="456" s="1"/>
  <c r="N41" i="456"/>
  <c r="P41" i="456" s="1"/>
  <c r="N39" i="456"/>
  <c r="P25" i="456"/>
  <c r="R26" i="456" s="1"/>
  <c r="N23" i="456"/>
  <c r="S16" i="456"/>
  <c r="AC19" i="456"/>
  <c r="AC10" i="456"/>
  <c r="S5" i="456"/>
  <c r="AC8" i="456"/>
  <c r="S18" i="456"/>
  <c r="S19" i="456"/>
  <c r="S10" i="456"/>
  <c r="AC5" i="456"/>
  <c r="S8" i="456"/>
  <c r="S7" i="456"/>
  <c r="AC14" i="456"/>
  <c r="S11" i="456"/>
  <c r="S6" i="456"/>
  <c r="S13" i="456"/>
  <c r="AC12" i="456"/>
  <c r="AC7" i="456"/>
  <c r="S14" i="456"/>
  <c r="AC11" i="456"/>
  <c r="AC17" i="456"/>
  <c r="AC15" i="456"/>
  <c r="S17" i="456"/>
  <c r="AC16" i="456"/>
  <c r="AC6" i="456"/>
  <c r="S15" i="456"/>
  <c r="AC13" i="456"/>
  <c r="S12" i="456"/>
  <c r="AC18" i="456"/>
  <c r="B23" i="446"/>
  <c r="B34" i="446" s="1"/>
  <c r="AK13" i="446"/>
  <c r="AG16" i="446"/>
  <c r="AN16" i="446" s="1"/>
  <c r="AN3" i="446" s="1"/>
  <c r="B24" i="446"/>
  <c r="N30" i="446" s="1"/>
  <c r="P30" i="446" s="1"/>
  <c r="R35" i="446" s="1"/>
  <c r="T46" i="446"/>
  <c r="W25" i="446"/>
  <c r="N27" i="446"/>
  <c r="P27" i="446" s="1"/>
  <c r="AE20" i="457" l="1"/>
  <c r="L41" i="457" s="1"/>
  <c r="T20" i="457"/>
  <c r="L26" i="457" s="1"/>
  <c r="U20" i="457"/>
  <c r="L27" i="457" s="1"/>
  <c r="AK29" i="457"/>
  <c r="AK28" i="457"/>
  <c r="AK31" i="457"/>
  <c r="AK30" i="457"/>
  <c r="AK26" i="457"/>
  <c r="AK25" i="457"/>
  <c r="AK27" i="457"/>
  <c r="AO47" i="457"/>
  <c r="AO46" i="457"/>
  <c r="AO40" i="457"/>
  <c r="AO43" i="457"/>
  <c r="AO41" i="457"/>
  <c r="AO45" i="457"/>
  <c r="AO39" i="457"/>
  <c r="AO44" i="457"/>
  <c r="AO42" i="457"/>
  <c r="Y39" i="457"/>
  <c r="V37" i="457"/>
  <c r="V49" i="457" s="1"/>
  <c r="AE42" i="457"/>
  <c r="AE39" i="457"/>
  <c r="AE40" i="457"/>
  <c r="AE41" i="457"/>
  <c r="AI27" i="457"/>
  <c r="AI25" i="457"/>
  <c r="AI26" i="457"/>
  <c r="AI28" i="457"/>
  <c r="AI30" i="457"/>
  <c r="AI29" i="457"/>
  <c r="AQ25" i="457"/>
  <c r="AQ26" i="457"/>
  <c r="AQ28" i="457"/>
  <c r="AQ30" i="457"/>
  <c r="AQ33" i="457"/>
  <c r="AQ31" i="457"/>
  <c r="AQ32" i="457"/>
  <c r="AQ27" i="457"/>
  <c r="AQ34" i="457"/>
  <c r="AQ29" i="457"/>
  <c r="AQ47" i="457"/>
  <c r="AQ41" i="457"/>
  <c r="AQ44" i="457"/>
  <c r="AQ39" i="457"/>
  <c r="AQ46" i="457"/>
  <c r="AQ43" i="457"/>
  <c r="AQ45" i="457"/>
  <c r="AQ42" i="457"/>
  <c r="AQ48" i="457"/>
  <c r="AQ40" i="457"/>
  <c r="AG42" i="457"/>
  <c r="AG41" i="457"/>
  <c r="AG40" i="457"/>
  <c r="AG43" i="457"/>
  <c r="AG39" i="457"/>
  <c r="AC40" i="457"/>
  <c r="AC39" i="457"/>
  <c r="AC41" i="457"/>
  <c r="AA25" i="457"/>
  <c r="AA26" i="457"/>
  <c r="AA40" i="457"/>
  <c r="AA39" i="457"/>
  <c r="AI44" i="457"/>
  <c r="AI40" i="457"/>
  <c r="AI41" i="457"/>
  <c r="AI43" i="457"/>
  <c r="AI39" i="457"/>
  <c r="AI42" i="457"/>
  <c r="L25" i="457"/>
  <c r="AD20" i="457"/>
  <c r="L40" i="457" s="1"/>
  <c r="AO29" i="457"/>
  <c r="AO33" i="457"/>
  <c r="AO31" i="457"/>
  <c r="AO28" i="457"/>
  <c r="AO32" i="457"/>
  <c r="AO26" i="457"/>
  <c r="AO27" i="457"/>
  <c r="AO30" i="457"/>
  <c r="AO25" i="457"/>
  <c r="AE27" i="457"/>
  <c r="AE25" i="457"/>
  <c r="AE26" i="457"/>
  <c r="AE28" i="457"/>
  <c r="L39" i="457"/>
  <c r="AC27" i="457"/>
  <c r="AC26" i="457"/>
  <c r="AC25" i="457"/>
  <c r="AM27" i="457"/>
  <c r="AM26" i="457"/>
  <c r="AM32" i="457"/>
  <c r="AM31" i="457"/>
  <c r="AM29" i="457"/>
  <c r="AM25" i="457"/>
  <c r="AM30" i="457"/>
  <c r="AM28" i="457"/>
  <c r="AG25" i="457"/>
  <c r="AG29" i="457"/>
  <c r="AG28" i="457"/>
  <c r="AG26" i="457"/>
  <c r="AG27" i="457"/>
  <c r="V23" i="457"/>
  <c r="V35" i="457" s="1"/>
  <c r="V22" i="457" s="1"/>
  <c r="Y25" i="457"/>
  <c r="AM44" i="457"/>
  <c r="AM41" i="457"/>
  <c r="AM43" i="457"/>
  <c r="AM45" i="457"/>
  <c r="AM39" i="457"/>
  <c r="AM46" i="457"/>
  <c r="AM42" i="457"/>
  <c r="AM40" i="457"/>
  <c r="AK44" i="457"/>
  <c r="AK41" i="457"/>
  <c r="AK39" i="457"/>
  <c r="AK43" i="457"/>
  <c r="AK45" i="457"/>
  <c r="AK42" i="457"/>
  <c r="AK40" i="457"/>
  <c r="AD18" i="456"/>
  <c r="AE6" i="456"/>
  <c r="U12" i="456"/>
  <c r="U7" i="456"/>
  <c r="AD15" i="456"/>
  <c r="U16" i="456"/>
  <c r="AD11" i="456"/>
  <c r="AE14" i="456"/>
  <c r="U13" i="456"/>
  <c r="T5" i="456"/>
  <c r="P39" i="456"/>
  <c r="R43" i="456" s="1"/>
  <c r="N37" i="456"/>
  <c r="T14" i="456"/>
  <c r="AD13" i="456"/>
  <c r="AE5" i="456"/>
  <c r="U9" i="456"/>
  <c r="R45" i="456"/>
  <c r="R47" i="456"/>
  <c r="R48" i="456"/>
  <c r="R49" i="456"/>
  <c r="R46" i="456"/>
  <c r="AE7" i="456"/>
  <c r="AE11" i="456"/>
  <c r="P23" i="456"/>
  <c r="R28" i="456"/>
  <c r="R30" i="456"/>
  <c r="R25" i="456"/>
  <c r="V26" i="456" s="1"/>
  <c r="R29" i="456"/>
  <c r="R27" i="456"/>
  <c r="AE18" i="456"/>
  <c r="T12" i="456"/>
  <c r="AE13" i="456"/>
  <c r="U15" i="456"/>
  <c r="AD6" i="456"/>
  <c r="AD16" i="456"/>
  <c r="AE17" i="456"/>
  <c r="U14" i="456"/>
  <c r="AE12" i="456"/>
  <c r="T6" i="456"/>
  <c r="T7" i="456"/>
  <c r="T8" i="456"/>
  <c r="AC20" i="456"/>
  <c r="AD9" i="456"/>
  <c r="T10" i="456"/>
  <c r="T19" i="456"/>
  <c r="U18" i="456"/>
  <c r="AE9" i="456"/>
  <c r="AD10" i="456"/>
  <c r="AD19" i="456"/>
  <c r="AD12" i="456"/>
  <c r="T13" i="456"/>
  <c r="U11" i="456"/>
  <c r="AD14" i="456"/>
  <c r="U8" i="456"/>
  <c r="AD5" i="456"/>
  <c r="U10" i="456"/>
  <c r="U5" i="456"/>
  <c r="AE10" i="456"/>
  <c r="T15" i="456"/>
  <c r="AE16" i="456"/>
  <c r="T17" i="456"/>
  <c r="AE15" i="456"/>
  <c r="U6" i="456"/>
  <c r="AD8" i="456"/>
  <c r="S20" i="456"/>
  <c r="T9" i="456"/>
  <c r="T16" i="456"/>
  <c r="AD7" i="456"/>
  <c r="U17" i="456"/>
  <c r="AD17" i="456"/>
  <c r="T11" i="456"/>
  <c r="T18" i="456"/>
  <c r="AE8" i="456"/>
  <c r="T47" i="446"/>
  <c r="T44" i="446"/>
  <c r="N26" i="446"/>
  <c r="T42" i="446"/>
  <c r="T43" i="446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R32" i="446" s="1"/>
  <c r="T32" i="446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4" i="446"/>
  <c r="T37" i="446"/>
  <c r="P26" i="446"/>
  <c r="V20" i="457" l="1"/>
  <c r="L28" i="457" s="1"/>
  <c r="AF20" i="457"/>
  <c r="L42" i="457" s="1"/>
  <c r="L37" i="457" s="1"/>
  <c r="AC23" i="457"/>
  <c r="AC37" i="457"/>
  <c r="AK37" i="457"/>
  <c r="AO23" i="457"/>
  <c r="AQ37" i="457"/>
  <c r="AS42" i="457"/>
  <c r="J42" i="457" s="1"/>
  <c r="AS45" i="457"/>
  <c r="J45" i="457" s="1"/>
  <c r="AS41" i="457"/>
  <c r="J41" i="457" s="1"/>
  <c r="AS46" i="457"/>
  <c r="J46" i="457" s="1"/>
  <c r="AS43" i="457"/>
  <c r="J43" i="457" s="1"/>
  <c r="AS47" i="457"/>
  <c r="J47" i="457" s="1"/>
  <c r="AS40" i="457"/>
  <c r="J40" i="457" s="1"/>
  <c r="AS49" i="457"/>
  <c r="J49" i="457" s="1"/>
  <c r="AS44" i="457"/>
  <c r="J44" i="457" s="1"/>
  <c r="AS39" i="457"/>
  <c r="J39" i="457" s="1"/>
  <c r="H39" i="457" s="1"/>
  <c r="AS48" i="457"/>
  <c r="J48" i="457" s="1"/>
  <c r="Y23" i="457"/>
  <c r="L23" i="457"/>
  <c r="AS31" i="457"/>
  <c r="J31" i="457" s="1"/>
  <c r="AS26" i="457"/>
  <c r="J26" i="457" s="1"/>
  <c r="AS35" i="457"/>
  <c r="J35" i="457" s="1"/>
  <c r="AS27" i="457"/>
  <c r="J27" i="457" s="1"/>
  <c r="AS32" i="457"/>
  <c r="J32" i="457" s="1"/>
  <c r="AS30" i="457"/>
  <c r="J30" i="457" s="1"/>
  <c r="AS33" i="457"/>
  <c r="J33" i="457" s="1"/>
  <c r="AS29" i="457"/>
  <c r="J29" i="457" s="1"/>
  <c r="AS25" i="457"/>
  <c r="J25" i="457" s="1"/>
  <c r="AS28" i="457"/>
  <c r="J28" i="457" s="1"/>
  <c r="AS34" i="457"/>
  <c r="J34" i="457" s="1"/>
  <c r="AM23" i="457"/>
  <c r="AI37" i="457"/>
  <c r="AA23" i="457"/>
  <c r="AG37" i="457"/>
  <c r="AQ23" i="457"/>
  <c r="V36" i="457"/>
  <c r="AO37" i="457"/>
  <c r="AK23" i="457"/>
  <c r="AM37" i="457"/>
  <c r="AG23" i="457"/>
  <c r="AE23" i="457"/>
  <c r="AA37" i="457"/>
  <c r="AI23" i="457"/>
  <c r="AE37" i="457"/>
  <c r="Y37" i="457"/>
  <c r="V27" i="456"/>
  <c r="AC26" i="456" s="1"/>
  <c r="AE20" i="456"/>
  <c r="L41" i="456" s="1"/>
  <c r="V28" i="456"/>
  <c r="AA25" i="456"/>
  <c r="AA26" i="456"/>
  <c r="T20" i="456"/>
  <c r="L26" i="456" s="1"/>
  <c r="R23" i="456"/>
  <c r="V31" i="456"/>
  <c r="V25" i="456"/>
  <c r="V29" i="456"/>
  <c r="V32" i="456"/>
  <c r="V30" i="456"/>
  <c r="V33" i="456"/>
  <c r="V34" i="456"/>
  <c r="R39" i="456"/>
  <c r="P37" i="456"/>
  <c r="R41" i="456"/>
  <c r="R42" i="456"/>
  <c r="R44" i="456"/>
  <c r="R40" i="456"/>
  <c r="L25" i="456"/>
  <c r="AD20" i="456"/>
  <c r="L40" i="456" s="1"/>
  <c r="L39" i="456"/>
  <c r="U20" i="456"/>
  <c r="L27" i="456" s="1"/>
  <c r="R33" i="446"/>
  <c r="T28" i="446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T23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H41" i="457" l="1"/>
  <c r="H27" i="457"/>
  <c r="BR5" i="457" s="1"/>
  <c r="H48" i="457"/>
  <c r="H40" i="457"/>
  <c r="H47" i="457"/>
  <c r="BN6" i="457"/>
  <c r="H26" i="457"/>
  <c r="H30" i="457"/>
  <c r="H28" i="457"/>
  <c r="J23" i="457"/>
  <c r="H25" i="457"/>
  <c r="H32" i="457"/>
  <c r="H31" i="457"/>
  <c r="H42" i="457"/>
  <c r="H29" i="457"/>
  <c r="H35" i="457"/>
  <c r="J37" i="457"/>
  <c r="AS23" i="457"/>
  <c r="AS22" i="457" s="1"/>
  <c r="H33" i="457"/>
  <c r="H45" i="457"/>
  <c r="H44" i="457"/>
  <c r="H46" i="457"/>
  <c r="AS37" i="457"/>
  <c r="AS36" i="457" s="1"/>
  <c r="H34" i="457"/>
  <c r="H43" i="457"/>
  <c r="H49" i="457"/>
  <c r="AF20" i="456"/>
  <c r="L42" i="456" s="1"/>
  <c r="V40" i="456"/>
  <c r="AA39" i="456" s="1"/>
  <c r="AC27" i="456"/>
  <c r="AC25" i="456"/>
  <c r="V41" i="456"/>
  <c r="AC40" i="456" s="1"/>
  <c r="AO27" i="456"/>
  <c r="AO25" i="456"/>
  <c r="AO31" i="456"/>
  <c r="AO26" i="456"/>
  <c r="AO32" i="456"/>
  <c r="AO28" i="456"/>
  <c r="AO33" i="456"/>
  <c r="AO30" i="456"/>
  <c r="AO29" i="456"/>
  <c r="V23" i="456"/>
  <c r="V35" i="456" s="1"/>
  <c r="Y25" i="456"/>
  <c r="AC41" i="456"/>
  <c r="AA40" i="456"/>
  <c r="AI26" i="456"/>
  <c r="AI27" i="456"/>
  <c r="AI28" i="456"/>
  <c r="AI30" i="456"/>
  <c r="AI25" i="456"/>
  <c r="AI29" i="456"/>
  <c r="AK26" i="456"/>
  <c r="AK31" i="456"/>
  <c r="AK25" i="456"/>
  <c r="AK30" i="456"/>
  <c r="AK28" i="456"/>
  <c r="AK27" i="456"/>
  <c r="AK29" i="456"/>
  <c r="AA23" i="456"/>
  <c r="V48" i="456"/>
  <c r="V45" i="456"/>
  <c r="V46" i="456"/>
  <c r="V47" i="456"/>
  <c r="V39" i="456"/>
  <c r="V43" i="456"/>
  <c r="R37" i="456"/>
  <c r="V44" i="456"/>
  <c r="AM27" i="456"/>
  <c r="AM28" i="456"/>
  <c r="AM25" i="456"/>
  <c r="AM30" i="456"/>
  <c r="AM32" i="456"/>
  <c r="AM31" i="456"/>
  <c r="AM29" i="456"/>
  <c r="AM26" i="456"/>
  <c r="V42" i="456"/>
  <c r="AQ33" i="456"/>
  <c r="AQ34" i="456"/>
  <c r="AQ26" i="456"/>
  <c r="AQ29" i="456"/>
  <c r="AQ27" i="456"/>
  <c r="AQ28" i="456"/>
  <c r="AQ31" i="456"/>
  <c r="AQ25" i="456"/>
  <c r="AQ30" i="456"/>
  <c r="AQ32" i="456"/>
  <c r="AG25" i="456"/>
  <c r="AG28" i="456"/>
  <c r="AG27" i="456"/>
  <c r="AG29" i="456"/>
  <c r="AG26" i="456"/>
  <c r="AE27" i="456"/>
  <c r="AE25" i="456"/>
  <c r="AE28" i="456"/>
  <c r="AE26" i="456"/>
  <c r="L37" i="456"/>
  <c r="V20" i="456"/>
  <c r="L28" i="456" s="1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BJ26" i="457" l="1"/>
  <c r="BR6" i="457"/>
  <c r="BJ29" i="457"/>
  <c r="BJ25" i="457"/>
  <c r="BJ30" i="457"/>
  <c r="BJ28" i="457"/>
  <c r="BJ24" i="457"/>
  <c r="BJ27" i="457"/>
  <c r="H37" i="457"/>
  <c r="BJ21" i="457"/>
  <c r="BJ20" i="457"/>
  <c r="BJ19" i="457"/>
  <c r="BJ15" i="457"/>
  <c r="BN5" i="457"/>
  <c r="BJ22" i="457"/>
  <c r="BJ17" i="457"/>
  <c r="BJ18" i="457"/>
  <c r="BJ14" i="457"/>
  <c r="BR4" i="457"/>
  <c r="BJ16" i="457"/>
  <c r="BJ59" i="457"/>
  <c r="BR40" i="457"/>
  <c r="BR45" i="457"/>
  <c r="BR44" i="457"/>
  <c r="BR43" i="457"/>
  <c r="BR41" i="457"/>
  <c r="BR46" i="457"/>
  <c r="BR39" i="457"/>
  <c r="BR47" i="457"/>
  <c r="BR42" i="457"/>
  <c r="BN13" i="457"/>
  <c r="BJ53" i="457"/>
  <c r="BJ51" i="457"/>
  <c r="BJ49" i="457"/>
  <c r="BJ50" i="457"/>
  <c r="BR22" i="457"/>
  <c r="BR23" i="457"/>
  <c r="BR21" i="457"/>
  <c r="BR19" i="457"/>
  <c r="BN10" i="457"/>
  <c r="BJ52" i="457"/>
  <c r="BR20" i="457"/>
  <c r="BJ32" i="457"/>
  <c r="BJ31" i="457"/>
  <c r="BJ35" i="457"/>
  <c r="BJ33" i="457"/>
  <c r="BJ37" i="457"/>
  <c r="BJ36" i="457"/>
  <c r="BR7" i="457"/>
  <c r="BR9" i="457"/>
  <c r="BN7" i="457"/>
  <c r="BJ34" i="457"/>
  <c r="BR8" i="457"/>
  <c r="BJ23" i="457"/>
  <c r="BN14" i="457"/>
  <c r="BJ55" i="457"/>
  <c r="BR30" i="457"/>
  <c r="BJ54" i="457"/>
  <c r="BR26" i="457"/>
  <c r="BJ56" i="457"/>
  <c r="BR24" i="457"/>
  <c r="BR28" i="457"/>
  <c r="BR25" i="457"/>
  <c r="BR29" i="457"/>
  <c r="BR27" i="457"/>
  <c r="BN11" i="457"/>
  <c r="BJ48" i="457"/>
  <c r="BJ47" i="457"/>
  <c r="BJ46" i="457"/>
  <c r="BJ45" i="457"/>
  <c r="BJ44" i="457"/>
  <c r="BR18" i="457"/>
  <c r="BR17" i="457"/>
  <c r="BR16" i="457"/>
  <c r="BR15" i="457"/>
  <c r="BR14" i="457"/>
  <c r="BN9" i="457"/>
  <c r="BJ57" i="457"/>
  <c r="BR38" i="457"/>
  <c r="BR37" i="457"/>
  <c r="BR36" i="457"/>
  <c r="BR34" i="457"/>
  <c r="BJ58" i="457"/>
  <c r="BR35" i="457"/>
  <c r="BR33" i="457"/>
  <c r="BR32" i="457"/>
  <c r="BR31" i="457"/>
  <c r="BN12" i="457"/>
  <c r="BJ39" i="457"/>
  <c r="BJ42" i="457"/>
  <c r="BJ41" i="457"/>
  <c r="BJ40" i="457"/>
  <c r="BJ38" i="457"/>
  <c r="BR13" i="457"/>
  <c r="BN8" i="457"/>
  <c r="BR11" i="457"/>
  <c r="BJ43" i="457"/>
  <c r="BR12" i="457"/>
  <c r="BR10" i="457"/>
  <c r="BJ13" i="457"/>
  <c r="BJ7" i="457"/>
  <c r="BJ11" i="457"/>
  <c r="BJ9" i="457"/>
  <c r="BJ6" i="457"/>
  <c r="BN4" i="457"/>
  <c r="BJ8" i="457"/>
  <c r="BJ5" i="457"/>
  <c r="BJ4" i="457"/>
  <c r="BJ12" i="457"/>
  <c r="H23" i="457"/>
  <c r="BJ10" i="457"/>
  <c r="AC39" i="456"/>
  <c r="AC37" i="456" s="1"/>
  <c r="AC23" i="456"/>
  <c r="AA37" i="456"/>
  <c r="AI23" i="456"/>
  <c r="AM23" i="456"/>
  <c r="AM43" i="456"/>
  <c r="AM40" i="456"/>
  <c r="AM45" i="456"/>
  <c r="AM41" i="456"/>
  <c r="AM42" i="456"/>
  <c r="AM39" i="456"/>
  <c r="AM44" i="456"/>
  <c r="AM46" i="456"/>
  <c r="AK23" i="456"/>
  <c r="Y23" i="456"/>
  <c r="AE23" i="456"/>
  <c r="AG41" i="456"/>
  <c r="AG39" i="456"/>
  <c r="AG40" i="456"/>
  <c r="AG43" i="456"/>
  <c r="AG42" i="456"/>
  <c r="AK39" i="456"/>
  <c r="AK41" i="456"/>
  <c r="AK40" i="456"/>
  <c r="AK43" i="456"/>
  <c r="AK42" i="456"/>
  <c r="AK45" i="456"/>
  <c r="AK44" i="456"/>
  <c r="V22" i="456"/>
  <c r="AS27" i="456"/>
  <c r="J27" i="456" s="1"/>
  <c r="AS25" i="456"/>
  <c r="AS31" i="456"/>
  <c r="J31" i="456" s="1"/>
  <c r="AS26" i="456"/>
  <c r="J26" i="456" s="1"/>
  <c r="AS29" i="456"/>
  <c r="J29" i="456" s="1"/>
  <c r="AS34" i="456"/>
  <c r="J34" i="456" s="1"/>
  <c r="AS33" i="456"/>
  <c r="J33" i="456" s="1"/>
  <c r="AS32" i="456"/>
  <c r="J32" i="456" s="1"/>
  <c r="AS30" i="456"/>
  <c r="J30" i="456" s="1"/>
  <c r="AS35" i="456"/>
  <c r="J35" i="456" s="1"/>
  <c r="AS28" i="456"/>
  <c r="J28" i="456" s="1"/>
  <c r="AO23" i="456"/>
  <c r="AQ23" i="456"/>
  <c r="AE41" i="456"/>
  <c r="AE39" i="456"/>
  <c r="AE42" i="456"/>
  <c r="AE40" i="456"/>
  <c r="Y39" i="456"/>
  <c r="V37" i="456"/>
  <c r="V49" i="456" s="1"/>
  <c r="AQ45" i="456"/>
  <c r="AQ40" i="456"/>
  <c r="AQ42" i="456"/>
  <c r="AQ47" i="456"/>
  <c r="AQ39" i="456"/>
  <c r="AQ48" i="456"/>
  <c r="AQ41" i="456"/>
  <c r="AQ46" i="456"/>
  <c r="AQ44" i="456"/>
  <c r="AQ43" i="456"/>
  <c r="AG23" i="456"/>
  <c r="AI43" i="456"/>
  <c r="AI40" i="456"/>
  <c r="AI39" i="456"/>
  <c r="AI42" i="456"/>
  <c r="AI41" i="456"/>
  <c r="AI44" i="456"/>
  <c r="AO45" i="456"/>
  <c r="AO44" i="456"/>
  <c r="AO39" i="456"/>
  <c r="AO47" i="456"/>
  <c r="AO41" i="456"/>
  <c r="AO40" i="456"/>
  <c r="AO43" i="456"/>
  <c r="AO46" i="456"/>
  <c r="AO42" i="456"/>
  <c r="L23" i="456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7" i="457" l="1"/>
  <c r="B38" i="457"/>
  <c r="B39" i="457"/>
  <c r="H30" i="456"/>
  <c r="AE37" i="456"/>
  <c r="H33" i="456"/>
  <c r="H35" i="456"/>
  <c r="H34" i="456"/>
  <c r="H29" i="456"/>
  <c r="H31" i="456"/>
  <c r="H32" i="456"/>
  <c r="AO37" i="456"/>
  <c r="V36" i="456"/>
  <c r="AS45" i="456"/>
  <c r="J45" i="456" s="1"/>
  <c r="AS42" i="456"/>
  <c r="J42" i="456" s="1"/>
  <c r="AS41" i="456"/>
  <c r="J41" i="456" s="1"/>
  <c r="AS39" i="456"/>
  <c r="AS44" i="456"/>
  <c r="J44" i="456" s="1"/>
  <c r="AS46" i="456"/>
  <c r="J46" i="456" s="1"/>
  <c r="AS40" i="456"/>
  <c r="J40" i="456" s="1"/>
  <c r="AS47" i="456"/>
  <c r="J47" i="456" s="1"/>
  <c r="AS43" i="456"/>
  <c r="J43" i="456" s="1"/>
  <c r="AS48" i="456"/>
  <c r="J48" i="456" s="1"/>
  <c r="AS49" i="456"/>
  <c r="J49" i="456" s="1"/>
  <c r="Y37" i="456"/>
  <c r="AS23" i="456"/>
  <c r="AS22" i="456" s="1"/>
  <c r="AI37" i="456"/>
  <c r="AK37" i="456"/>
  <c r="AG37" i="456"/>
  <c r="J25" i="456"/>
  <c r="H26" i="456" s="1"/>
  <c r="AM37" i="456"/>
  <c r="AQ37" i="456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36" i="457" l="1"/>
  <c r="H27" i="456"/>
  <c r="H43" i="456"/>
  <c r="BN8" i="456" s="1"/>
  <c r="H47" i="456"/>
  <c r="AS37" i="456"/>
  <c r="AS36" i="456" s="1"/>
  <c r="J23" i="456"/>
  <c r="H25" i="456"/>
  <c r="H48" i="456"/>
  <c r="BJ21" i="456" s="1"/>
  <c r="H49" i="456"/>
  <c r="H46" i="456"/>
  <c r="H44" i="456"/>
  <c r="J39" i="456"/>
  <c r="H42" i="456" s="1"/>
  <c r="BR42" i="456" s="1"/>
  <c r="H45" i="456"/>
  <c r="BJ18" i="456" s="1"/>
  <c r="H28" i="456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/>
  <c r="AE20" i="446"/>
  <c r="L41" i="446" s="1"/>
  <c r="U20" i="446"/>
  <c r="L27" i="446" s="1"/>
  <c r="AS23" i="446"/>
  <c r="J25" i="446"/>
  <c r="AS22" i="446"/>
  <c r="Y37" i="446"/>
  <c r="BJ28" i="456" l="1"/>
  <c r="BR43" i="456"/>
  <c r="BR35" i="456"/>
  <c r="BR47" i="456"/>
  <c r="BR22" i="456"/>
  <c r="BR18" i="456"/>
  <c r="BJ16" i="456"/>
  <c r="BJ42" i="456"/>
  <c r="BJ54" i="456"/>
  <c r="BJ51" i="456"/>
  <c r="BJ41" i="456"/>
  <c r="H41" i="456"/>
  <c r="BR33" i="456" s="1"/>
  <c r="BJ46" i="456"/>
  <c r="BN12" i="456"/>
  <c r="BJ20" i="456"/>
  <c r="BR28" i="456"/>
  <c r="BJ24" i="456"/>
  <c r="BR36" i="456"/>
  <c r="BN9" i="456"/>
  <c r="BR23" i="456"/>
  <c r="BJ38" i="456"/>
  <c r="BJ56" i="456"/>
  <c r="BJ53" i="456"/>
  <c r="BJ58" i="456"/>
  <c r="BN14" i="456"/>
  <c r="BJ48" i="456"/>
  <c r="BJ22" i="456"/>
  <c r="BJ32" i="456"/>
  <c r="BJ35" i="456"/>
  <c r="BJ31" i="456"/>
  <c r="BJ36" i="456"/>
  <c r="BN7" i="456"/>
  <c r="BJ37" i="456"/>
  <c r="BJ33" i="456"/>
  <c r="BJ34" i="456"/>
  <c r="BR9" i="456"/>
  <c r="BR29" i="456"/>
  <c r="BJ23" i="456"/>
  <c r="BR34" i="456"/>
  <c r="BR17" i="456"/>
  <c r="BR21" i="456"/>
  <c r="BR13" i="456"/>
  <c r="BJ25" i="456"/>
  <c r="BJ17" i="456"/>
  <c r="BN10" i="456"/>
  <c r="BJ44" i="456"/>
  <c r="BR45" i="456"/>
  <c r="BR37" i="456"/>
  <c r="BR27" i="456"/>
  <c r="BJ27" i="456"/>
  <c r="BJ50" i="456"/>
  <c r="BN11" i="456"/>
  <c r="BJ45" i="456"/>
  <c r="BR38" i="456"/>
  <c r="BJ40" i="456"/>
  <c r="BJ55" i="456"/>
  <c r="BJ47" i="456"/>
  <c r="BJ57" i="456"/>
  <c r="BJ29" i="456"/>
  <c r="BN13" i="456"/>
  <c r="BJ52" i="456"/>
  <c r="BJ30" i="456"/>
  <c r="BR44" i="456"/>
  <c r="H39" i="456"/>
  <c r="J37" i="456"/>
  <c r="BR46" i="456"/>
  <c r="BR30" i="456"/>
  <c r="BJ59" i="456"/>
  <c r="BJ43" i="456"/>
  <c r="H40" i="456"/>
  <c r="BJ4" i="456" s="1"/>
  <c r="BJ8" i="456"/>
  <c r="BJ7" i="456"/>
  <c r="BJ11" i="456"/>
  <c r="BJ12" i="456"/>
  <c r="BJ9" i="456"/>
  <c r="BJ10" i="456"/>
  <c r="H23" i="456"/>
  <c r="BJ13" i="456"/>
  <c r="BJ6" i="456"/>
  <c r="BJ26" i="456"/>
  <c r="BJ19" i="456"/>
  <c r="BJ15" i="456"/>
  <c r="BJ39" i="456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R41" i="456" l="1"/>
  <c r="BR16" i="456"/>
  <c r="BR26" i="456"/>
  <c r="BR20" i="456"/>
  <c r="BJ14" i="456"/>
  <c r="BJ5" i="456"/>
  <c r="BR12" i="456"/>
  <c r="BN6" i="456"/>
  <c r="BR14" i="456"/>
  <c r="H37" i="456"/>
  <c r="BJ49" i="456"/>
  <c r="BR39" i="456"/>
  <c r="BR31" i="456"/>
  <c r="BR5" i="456"/>
  <c r="BR4" i="456"/>
  <c r="BR10" i="456"/>
  <c r="BR24" i="456"/>
  <c r="BR7" i="456"/>
  <c r="BN4" i="456"/>
  <c r="BR25" i="456"/>
  <c r="BR19" i="456"/>
  <c r="BR40" i="456"/>
  <c r="BR32" i="456"/>
  <c r="BR15" i="456"/>
  <c r="BR6" i="456"/>
  <c r="BR11" i="456"/>
  <c r="BN5" i="456"/>
  <c r="BR8" i="456"/>
  <c r="AK37" i="446"/>
  <c r="AM37" i="446"/>
  <c r="AC37" i="446"/>
  <c r="AE37" i="446"/>
  <c r="AI37" i="446"/>
  <c r="AG37" i="446"/>
  <c r="V36" i="446"/>
  <c r="AS44" i="446"/>
  <c r="J44" i="446" s="1"/>
  <c r="H44" i="446" s="1"/>
  <c r="BJ17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H47" i="446" s="1"/>
  <c r="BJ11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BR44" i="446" s="1"/>
  <c r="H30" i="446"/>
  <c r="BJ46" i="446" s="1"/>
  <c r="L23" i="446"/>
  <c r="H29" i="446"/>
  <c r="H28" i="446"/>
  <c r="BR23" i="446"/>
  <c r="B38" i="456" l="1"/>
  <c r="B39" i="456"/>
  <c r="B37" i="456"/>
  <c r="BJ25" i="446"/>
  <c r="BR36" i="446"/>
  <c r="BJ8" i="446"/>
  <c r="BJ20" i="446"/>
  <c r="BJ54" i="446"/>
  <c r="BJ51" i="446"/>
  <c r="H49" i="446"/>
  <c r="H48" i="446"/>
  <c r="BJ28" i="446"/>
  <c r="BR47" i="446"/>
  <c r="H46" i="446"/>
  <c r="BR38" i="446" s="1"/>
  <c r="J39" i="446"/>
  <c r="AS37" i="446"/>
  <c r="AS36" i="446" s="1"/>
  <c r="BN9" i="446"/>
  <c r="BJ59" i="446"/>
  <c r="H45" i="446"/>
  <c r="H43" i="446"/>
  <c r="BJ31" i="446" s="1"/>
  <c r="BJ41" i="446"/>
  <c r="BJ38" i="446"/>
  <c r="BR45" i="446"/>
  <c r="BJ32" i="446"/>
  <c r="BJ37" i="446"/>
  <c r="BR29" i="446"/>
  <c r="H23" i="446"/>
  <c r="BJ56" i="446"/>
  <c r="BN12" i="446"/>
  <c r="BJ35" i="446"/>
  <c r="B36" i="456" l="1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N11" i="436" s="1"/>
  <c r="AI11" i="436" s="1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N6" i="436" s="1"/>
  <c r="AI6" i="436" s="1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F45" i="436" s="1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BP9" i="436"/>
  <c r="BP12" i="436" s="1"/>
  <c r="BP16" i="436" s="1"/>
  <c r="BP20" i="436" s="1"/>
  <c r="BP26" i="436" s="1"/>
  <c r="BP33" i="436" s="1"/>
  <c r="BP41" i="436" s="1"/>
  <c r="BL9" i="436"/>
  <c r="BP23" i="436" s="1"/>
  <c r="BP29" i="436" s="1"/>
  <c r="BP36" i="436" s="1"/>
  <c r="BP44" i="436" s="1"/>
  <c r="Z9" i="436"/>
  <c r="P9" i="436"/>
  <c r="Z8" i="436"/>
  <c r="P8" i="436"/>
  <c r="AA7" i="436"/>
  <c r="Z7" i="436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K2" i="436" l="1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45" i="435" l="1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44" i="285" l="1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7" i="435" l="1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J48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E45" i="273"/>
  <c r="BE44" i="273"/>
  <c r="BF45" i="273" s="1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H39" i="273" s="1"/>
  <c r="BH44" i="273" s="1"/>
  <c r="BL10" i="273" s="1"/>
  <c r="BP30" i="273" s="1"/>
  <c r="BP37" i="273" s="1"/>
  <c r="BP45" i="273" s="1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F29" i="273" s="1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AA19" i="273" s="1"/>
  <c r="Y19" i="273"/>
  <c r="P19" i="273"/>
  <c r="O19" i="273"/>
  <c r="AA18" i="273"/>
  <c r="Q18" i="273"/>
  <c r="Z17" i="273"/>
  <c r="Y17" i="273"/>
  <c r="Q17" i="273"/>
  <c r="P17" i="273"/>
  <c r="O17" i="273"/>
  <c r="Y16" i="273"/>
  <c r="AA16" i="273" s="1"/>
  <c r="Q16" i="273"/>
  <c r="O16" i="273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AA11" i="273" s="1"/>
  <c r="Y11" i="273"/>
  <c r="P11" i="273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Q6" i="273" s="1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H1" i="273" s="1"/>
  <c r="AF1" i="273"/>
  <c r="S1" i="273"/>
  <c r="K1" i="273"/>
  <c r="G1" i="273"/>
  <c r="AA8" i="273" l="1"/>
  <c r="Q11" i="273"/>
  <c r="AA17" i="273"/>
  <c r="BF42" i="273"/>
  <c r="L1" i="273"/>
  <c r="M1" i="273" s="1"/>
  <c r="M2" i="273" s="1"/>
  <c r="R16" i="273" s="1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AB8" i="273" l="1"/>
  <c r="AB11" i="273"/>
  <c r="AB9" i="273"/>
  <c r="AB13" i="273"/>
  <c r="AB19" i="273"/>
  <c r="AB15" i="273"/>
  <c r="AB17" i="273"/>
  <c r="AC17" i="273" s="1"/>
  <c r="R18" i="273"/>
  <c r="S18" i="273" s="1"/>
  <c r="AB16" i="273"/>
  <c r="R6" i="273"/>
  <c r="R19" i="273"/>
  <c r="R8" i="273"/>
  <c r="R17" i="273"/>
  <c r="AB10" i="273"/>
  <c r="AB18" i="273"/>
  <c r="AC18" i="273" s="1"/>
  <c r="R10" i="273"/>
  <c r="S10" i="273" s="1"/>
  <c r="AB12" i="273"/>
  <c r="R12" i="273"/>
  <c r="AB6" i="273"/>
  <c r="R14" i="273"/>
  <c r="AB5" i="273"/>
  <c r="AC5" i="273" s="1"/>
  <c r="R5" i="273"/>
  <c r="S5" i="273" s="1"/>
  <c r="R15" i="273"/>
  <c r="S15" i="273" s="1"/>
  <c r="R9" i="273"/>
  <c r="S9" i="273" s="1"/>
  <c r="R11" i="273"/>
  <c r="R13" i="273"/>
  <c r="S13" i="273" s="1"/>
  <c r="AB14" i="273"/>
  <c r="R7" i="273"/>
  <c r="AB7" i="273"/>
  <c r="T33" i="273"/>
  <c r="T34" i="273"/>
  <c r="B31" i="273"/>
  <c r="T47" i="273" s="1"/>
  <c r="AC12" i="273"/>
  <c r="S7" i="273"/>
  <c r="AC7" i="273"/>
  <c r="S12" i="273"/>
  <c r="AC14" i="273"/>
  <c r="B34" i="273"/>
  <c r="B24" i="273"/>
  <c r="AC15" i="273"/>
  <c r="AC8" i="273"/>
  <c r="S8" i="273"/>
  <c r="S17" i="273"/>
  <c r="AC16" i="273"/>
  <c r="AC13" i="273"/>
  <c r="S11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4" i="273"/>
  <c r="S19" i="273"/>
  <c r="U10" i="273" l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AD19" i="273"/>
  <c r="U8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U20" i="273" l="1"/>
  <c r="L26" i="273" s="1"/>
  <c r="T20" i="273"/>
  <c r="L25" i="273" s="1"/>
  <c r="R33" i="273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40" i="273"/>
  <c r="R31" i="273"/>
  <c r="R32" i="273"/>
  <c r="R41" i="273"/>
  <c r="R42" i="273"/>
  <c r="R39" i="273" l="1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<sst xmlns="http://schemas.openxmlformats.org/spreadsheetml/2006/main" count="1552" uniqueCount="166">
  <si>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</si>
  <si>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</si>
  <si>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</si>
  <si>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</si>
  <si>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</si>
  <si>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</si>
  <si>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</si>
  <si>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</si>
  <si>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</si>
  <si>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</si>
  <si>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</si>
  <si>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</si>
  <si>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</si>
  <si>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</si>
  <si>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</si>
  <si>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</si>
  <si>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</si>
  <si>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</si>
  <si>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</si>
  <si>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</si>
  <si>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</si>
  <si>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</si>
  <si>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</si>
  <si>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</si>
  <si>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</si>
  <si>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</si>
  <si>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</si>
  <si>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</si>
  <si>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</si>
  <si>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</si>
  <si>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</si>
  <si>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</si>
  <si>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</si>
  <si>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</si>
  <si>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</si>
  <si>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</si>
  <si>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</si>
  <si>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</si>
  <si>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</si>
  <si>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</si>
  <si>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</si>
  <si>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</si>
  <si>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</si>
  <si>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</si>
  <si>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</si>
  <si>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</si>
  <si>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</si>
  <si>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</si>
  <si>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</si>
  <si>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</si>
  <si>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</si>
  <si>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</si>
  <si>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</si>
  <si>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</si>
  <si>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</si>
  <si>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</si>
  <si>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</si>
  <si>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</si>
  <si>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</si>
  <si>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</si>
  <si>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</si>
  <si>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</si>
  <si>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</si>
  <si>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</si>
  <si>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</si>
  <si>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</si>
  <si>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</si>
  <si>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</si>
  <si>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</si>
  <si>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</si>
  <si>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</si>
  <si>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</si>
  <si>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</si>
  <si>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</si>
  <si>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</si>
  <si>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</si>
  <si>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</si>
  <si>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</si>
  <si>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</si>
  <si>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</si>
  <si>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</si>
  <si>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</si>
  <si>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</si>
  <si>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</si>
  <si>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</si>
  <si>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</si>
  <si>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</si>
  <si>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</si>
  <si>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</si>
  <si>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</si>
  <si>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</si>
  <si>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</si>
  <si>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</si>
  <si>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</si>
  <si>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</si>
  <si>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</si>
  <si>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</si>
  <si>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</si>
  <si>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</si>
  <si>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</si>
  <si>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</si>
  <si>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</si>
  <si>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</si>
  <si>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</si>
  <si>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</si>
  <si>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</si>
  <si>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</si>
  <si>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</si>
  <si>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</si>
  <si>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</si>
  <si>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</si>
  <si>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</si>
  <si>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</si>
  <si>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</si>
  <si>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</si>
  <si>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</si>
  <si>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</si>
  <si>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</si>
  <si>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</si>
  <si>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</si>
  <si>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</si>
  <si>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</si>
  <si>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</si>
  <si>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</si>
  <si>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</si>
  <si>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</si>
  <si>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</si>
  <si>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</si>
  <si>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</si>
  <si>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</si>
  <si>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</si>
  <si>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</si>
  <si>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</si>
  <si>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</si>
  <si>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</si>
  <si>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</si>
  <si>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</si>
  <si>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</si>
  <si>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</si>
  <si>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</si>
  <si>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</si>
  <si>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</si>
  <si>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</si>
  <si>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</si>
  <si>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</si>
  <si>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</si>
  <si>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</si>
  <si>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</si>
  <si>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</si>
  <si>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</si>
  <si>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</si>
  <si>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</si>
  <si>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</si>
  <si>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</si>
  <si>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</si>
  <si>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</si>
  <si>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</si>
  <si>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</si>
  <si>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</si>
  <si>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</si>
  <si>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</si>
  <si>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</si>
  <si>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Filthyç</t>
  </si>
  <si>
    <t>CA</t>
  </si>
  <si>
    <t>OFF</t>
  </si>
  <si>
    <t>Antioch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</si>
</sst>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oma" xfId="1" builtinId="3"/>
    <cellStyle name="Normal" xfId="0" builtinId="0"/>
    <cellStyle name="Percentatg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'Filthy-OBIWAN'!$G$25:$G$35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'Filthy-OBIWAN'!$H$25:$H$35</c:f>
              <c:numCache>
                <c:formatCode>0.0%</c:formatCode>
                <c:ptCount val="11"/>
                <c:pt idx="0">
                  <c:v>2.0366418973166406E-2</c:v>
                </c:pt>
                <c:pt idx="1">
                  <c:v>9.3488467191450111E-2</c:v>
                </c:pt>
                <c:pt idx="2">
                  <c:v>0.19659582977210022</c:v>
                </c:pt>
                <c:pt idx="3">
                  <c:v>0.25077205510990641</c:v>
                </c:pt>
                <c:pt idx="4">
                  <c:v>0.21656088677196314</c:v>
                </c:pt>
                <c:pt idx="5">
                  <c:v>0.13383016634036668</c:v>
                </c:pt>
                <c:pt idx="6">
                  <c:v>6.1002126404634392E-2</c:v>
                </c:pt>
                <c:pt idx="7">
                  <c:v>2.0832718016819379E-2</c:v>
                </c:pt>
                <c:pt idx="8">
                  <c:v>5.3574682116886655E-3</c:v>
                </c:pt>
                <c:pt idx="9">
                  <c:v>1.03218688993717E-3</c:v>
                </c:pt>
                <c:pt idx="10">
                  <c:v>1.461723528851239E-4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'Filthy-OBIWAN'!$H$39:$H$49</c:f>
              <c:numCache>
                <c:formatCode>0.0%</c:formatCode>
                <c:ptCount val="11"/>
                <c:pt idx="0">
                  <c:v>8.6537939125761618E-2</c:v>
                </c:pt>
                <c:pt idx="1">
                  <c:v>0.23501507311068243</c:v>
                </c:pt>
                <c:pt idx="2">
                  <c:v>0.29130399574290533</c:v>
                </c:pt>
                <c:pt idx="3">
                  <c:v>0.21903240401185245</c:v>
                </c:pt>
                <c:pt idx="4">
                  <c:v>0.11207373213003448</c:v>
                </c:pt>
                <c:pt idx="5">
                  <c:v>4.1517664686239214E-2</c:v>
                </c:pt>
                <c:pt idx="6">
                  <c:v>1.1565449489866909E-2</c:v>
                </c:pt>
                <c:pt idx="7">
                  <c:v>2.4803801008092935E-3</c:v>
                </c:pt>
                <c:pt idx="8">
                  <c:v>4.1413826573737968E-4</c:v>
                </c:pt>
                <c:pt idx="9">
                  <c:v>5.360166026793606E-5</c:v>
                </c:pt>
                <c:pt idx="10">
                  <c:v>5.2386287509732396E-6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2940064"/>
        <c:axId val="-1122931904"/>
      </c:lineChart>
      <c:catAx>
        <c:axId val="-11229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22931904"/>
        <c:crosses val="autoZero"/>
        <c:auto val="1"/>
        <c:lblAlgn val="ctr"/>
        <c:lblOffset val="100"/>
        <c:noMultiLvlLbl val="0"/>
      </c:catAx>
      <c:valAx>
        <c:axId val="-11229319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2294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2252080"/>
        <c:axId val="-1162250448"/>
      </c:lineChart>
      <c:catAx>
        <c:axId val="-116225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2250448"/>
        <c:crosses val="autoZero"/>
        <c:auto val="1"/>
        <c:lblAlgn val="ctr"/>
        <c:lblOffset val="100"/>
        <c:noMultiLvlLbl val="0"/>
      </c:catAx>
      <c:valAx>
        <c:axId val="-11622504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6225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2251536"/>
        <c:axId val="-1162250992"/>
      </c:lineChart>
      <c:catAx>
        <c:axId val="-116225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2250992"/>
        <c:crosses val="autoZero"/>
        <c:auto val="1"/>
        <c:lblAlgn val="ctr"/>
        <c:lblOffset val="100"/>
        <c:noMultiLvlLbl val="0"/>
      </c:catAx>
      <c:valAx>
        <c:axId val="-11622509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6225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'Filthy-OBIWAN'!$B$37:$B$39</c:f>
              <c:numCache>
                <c:formatCode>0.0%</c:formatCode>
                <c:ptCount val="3"/>
                <c:pt idx="0">
                  <c:v>0.16651659140717057</c:v>
                </c:pt>
                <c:pt idx="1">
                  <c:v>0.21984653671485158</c:v>
                </c:pt>
                <c:pt idx="2">
                  <c:v>0.61347481334059062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'OBIWAN-Antioch'!$G$25:$G$35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'OBIWAN-Antioch'!$H$25:$H$35</c:f>
              <c:numCache>
                <c:formatCode>0.0%</c:formatCode>
                <c:ptCount val="11"/>
                <c:pt idx="0">
                  <c:v>3.4972279458962479E-3</c:v>
                </c:pt>
                <c:pt idx="1">
                  <c:v>2.5555869100624965E-2</c:v>
                </c:pt>
                <c:pt idx="2">
                  <c:v>8.5097445977516326E-2</c:v>
                </c:pt>
                <c:pt idx="3">
                  <c:v>0.17071241542011756</c:v>
                </c:pt>
                <c:pt idx="4">
                  <c:v>0.22980743495512423</c:v>
                </c:pt>
                <c:pt idx="5">
                  <c:v>0.21882993386735761</c:v>
                </c:pt>
                <c:pt idx="6">
                  <c:v>0.15137995278239291</c:v>
                </c:pt>
                <c:pt idx="7">
                  <c:v>7.6920468252684032E-2</c:v>
                </c:pt>
                <c:pt idx="8">
                  <c:v>2.8700267488141896E-2</c:v>
                </c:pt>
                <c:pt idx="9">
                  <c:v>7.7824927372106721E-3</c:v>
                </c:pt>
                <c:pt idx="10">
                  <c:v>1.5011752990413212E-3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'OBIWAN-Antioch'!$H$39:$H$49</c:f>
              <c:numCache>
                <c:formatCode>0.0%</c:formatCode>
                <c:ptCount val="11"/>
                <c:pt idx="0">
                  <c:v>0.14061199650796025</c:v>
                </c:pt>
                <c:pt idx="1">
                  <c:v>0.29860579018351818</c:v>
                </c:pt>
                <c:pt idx="2">
                  <c:v>0.29153560211135604</c:v>
                </c:pt>
                <c:pt idx="3">
                  <c:v>0.17339033463637626</c:v>
                </c:pt>
                <c:pt idx="4">
                  <c:v>7.0170778749706827E-2</c:v>
                </c:pt>
                <c:pt idx="5">
                  <c:v>2.0442670832964836E-2</c:v>
                </c:pt>
                <c:pt idx="6">
                  <c:v>4.4224442526952243E-3</c:v>
                </c:pt>
                <c:pt idx="7">
                  <c:v>7.2202697601051445E-4</c:v>
                </c:pt>
                <c:pt idx="8">
                  <c:v>8.9407607008687787E-5</c:v>
                </c:pt>
                <c:pt idx="9">
                  <c:v>8.344779472473224E-6</c:v>
                </c:pt>
                <c:pt idx="10">
                  <c:v>5.7463984691829233E-7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2248816"/>
        <c:axId val="-1162241200"/>
      </c:lineChart>
      <c:catAx>
        <c:axId val="-116224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2241200"/>
        <c:crosses val="autoZero"/>
        <c:auto val="1"/>
        <c:lblAlgn val="ctr"/>
        <c:lblOffset val="100"/>
        <c:noMultiLvlLbl val="0"/>
      </c:catAx>
      <c:valAx>
        <c:axId val="-11622412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6224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'OBIWAN-Antioch'!$B$37:$B$39</c:f>
              <c:numCache>
                <c:formatCode>0.0%</c:formatCode>
                <c:ptCount val="3"/>
                <c:pt idx="0">
                  <c:v>8.385857554082915E-2</c:v>
                </c:pt>
                <c:pt idx="1">
                  <c:v>8.5080639180231038E-2</c:v>
                </c:pt>
                <c:pt idx="2">
                  <c:v>0.82934426599486089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2937344"/>
        <c:axId val="-1246211136"/>
      </c:lineChart>
      <c:catAx>
        <c:axId val="-11229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46211136"/>
        <c:crosses val="autoZero"/>
        <c:auto val="1"/>
        <c:lblAlgn val="ctr"/>
        <c:lblOffset val="100"/>
        <c:noMultiLvlLbl val="0"/>
      </c:catAx>
      <c:valAx>
        <c:axId val="-12462111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229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208960"/>
        <c:axId val="-1162252624"/>
      </c:lineChart>
      <c:catAx>
        <c:axId val="-12462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2252624"/>
        <c:crosses val="autoZero"/>
        <c:auto val="1"/>
        <c:lblAlgn val="ctr"/>
        <c:lblOffset val="100"/>
        <c:noMultiLvlLbl val="0"/>
      </c:catAx>
      <c:valAx>
        <c:axId val="-11622526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24620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2245008"/>
        <c:axId val="-1162243920"/>
      </c:lineChart>
      <c:catAx>
        <c:axId val="-11622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2243920"/>
        <c:crosses val="autoZero"/>
        <c:auto val="1"/>
        <c:lblAlgn val="ctr"/>
        <c:lblOffset val="100"/>
        <c:noMultiLvlLbl val="0"/>
      </c:catAx>
      <c:valAx>
        <c:axId val="-11622439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6224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J15" sqref="J1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3.6837000000000009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4.7864154439814927E-3</v>
      </c>
      <c r="BL4">
        <v>0</v>
      </c>
      <c r="BM4">
        <v>0</v>
      </c>
      <c r="BN4" s="107">
        <f>H25*H39</f>
        <v>1.7624679253096308E-3</v>
      </c>
      <c r="BP4">
        <v>1</v>
      </c>
      <c r="BQ4">
        <v>0</v>
      </c>
      <c r="BR4" s="107">
        <f>$H$26*H39</f>
        <v>8.0902992827744727E-3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0.10513333333333333</v>
      </c>
      <c r="P5" s="210">
        <f>P3</f>
        <v>0.56999999999999995</v>
      </c>
      <c r="Q5" s="214">
        <f>P5*O5</f>
        <v>5.9925999999999993E-2</v>
      </c>
      <c r="R5" s="157">
        <f>IF($B$17="JC",IF($C$17="JC",$W$1,$V$1*1.1),IF($C$17="JC",$V$1/0.9,$U$1))*Q5/1.5</f>
        <v>5.9926E-2</v>
      </c>
      <c r="S5" s="176">
        <f>(1-R5)</f>
        <v>0.94007399999999997</v>
      </c>
      <c r="T5" s="177">
        <f>R5*PRODUCT(S6:S19)</f>
        <v>4.2474236780764625E-2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1.4958073367110381E-2</v>
      </c>
      <c r="V5" s="18"/>
      <c r="W5" s="186" t="s">
        <v>36</v>
      </c>
      <c r="X5" s="15" t="s">
        <v>37</v>
      </c>
      <c r="Y5" s="69">
        <f>AK5*AI5*AL5*AO5</f>
        <v>2.6283333333333332E-2</v>
      </c>
      <c r="Z5" s="69">
        <f>Z3</f>
        <v>0.56999999999999995</v>
      </c>
      <c r="AA5" s="69">
        <f>Z5*Y5</f>
        <v>1.4981499999999998E-2</v>
      </c>
      <c r="AB5" s="157">
        <f>IF($B$17="JC",IF($C$17="JC",$W$1,$V$1/0.9),IF($C$17="JC",$V$1*1.1,$U$1))*AA5/1.5</f>
        <v>1.49815E-2</v>
      </c>
      <c r="AC5" s="176">
        <f>(1-AB5)</f>
        <v>0.98501850000000002</v>
      </c>
      <c r="AD5" s="177">
        <f>AB5*PRODUCT(AC6:AC19)</f>
        <v>1.1914219240842416E-2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2.8105275995281222E-3</v>
      </c>
      <c r="AF5" s="18"/>
      <c r="AG5" s="203">
        <f>IF(COUNTIF(F5:F10,"IMP")+COUNTIF(J5:J10,"IMP")=0,0,COUNTIF(F5:F10,"IMP")/(COUNTIF(F5:F10,"IMP")+COUNTIF(J5:J10,"IMP")))</f>
        <v>0.66666666666666663</v>
      </c>
      <c r="AH5">
        <f>COUNTIF(F5:F10,"IMP")</f>
        <v>2</v>
      </c>
      <c r="AI5" s="207">
        <f>AN5*$AM$3/$AN$3</f>
        <v>0.47310000000000002</v>
      </c>
      <c r="AK5" s="203">
        <f>IF(COUNTIF(F5:F10,"IMP")+COUNTIF(J5:J10,"IMP")=0,0,COUNTIF(J5:J10,"IMP")/(COUNTIF(F5:F10,"IMP")+COUNTIF(J5:J10,"IMP")))</f>
        <v>0.33333333333333331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5.9328192258574931E-3</v>
      </c>
      <c r="BL5">
        <v>1</v>
      </c>
      <c r="BM5">
        <v>1</v>
      </c>
      <c r="BN5" s="107">
        <f>$H$26*H40</f>
        <v>2.1971198952004282E-2</v>
      </c>
      <c r="BP5">
        <f>BP4+1</f>
        <v>2</v>
      </c>
      <c r="BQ5">
        <v>0</v>
      </c>
      <c r="BR5" s="107">
        <f>$H$27*H39</f>
        <v>1.7012997949196602E-2</v>
      </c>
    </row>
    <row r="6" spans="1:70" x14ac:dyDescent="0.25">
      <c r="A6" s="2" t="s">
        <v>1</v>
      </c>
      <c r="B6" s="168">
        <v>14.5</v>
      </c>
      <c r="C6" s="169">
        <v>8.25</v>
      </c>
      <c r="E6" s="192" t="s">
        <v>17</v>
      </c>
      <c r="F6" s="167" t="s">
        <v>146</v>
      </c>
      <c r="G6" s="167"/>
      <c r="H6" s="10"/>
      <c r="I6" s="10"/>
      <c r="J6" s="166" t="s">
        <v>146</v>
      </c>
      <c r="K6" s="166"/>
      <c r="L6" s="10"/>
      <c r="M6" s="10"/>
      <c r="O6" s="67">
        <f t="shared" ref="O6:O19" si="1">AG6*AI6*AO6*AH6</f>
        <v>2.595625E-2</v>
      </c>
      <c r="P6" s="210">
        <f>P3</f>
        <v>0.56999999999999995</v>
      </c>
      <c r="Q6" s="214">
        <f t="shared" ref="Q6:Q19" si="2">P6*O6</f>
        <v>1.4795062499999999E-2</v>
      </c>
      <c r="R6" s="157">
        <f t="shared" ref="R6:R19" si="3">IF($B$17="JC",IF($C$17="JC",$W$1,$V$1*1.1),IF($C$17="JC",$V$1/0.9,$U$1))*Q6/1.5</f>
        <v>1.4795062499999999E-2</v>
      </c>
      <c r="S6" s="176">
        <f t="shared" ref="S6:S19" si="4">(1-R6)</f>
        <v>0.98520493750000004</v>
      </c>
      <c r="T6" s="177">
        <f>R6*S5*PRODUCT(S7:S19)</f>
        <v>1.0006047487191643E-2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3.373547974886358E-3</v>
      </c>
      <c r="V6" s="18"/>
      <c r="W6" s="186" t="s">
        <v>38</v>
      </c>
      <c r="X6" s="15" t="s">
        <v>39</v>
      </c>
      <c r="Y6" s="69">
        <f t="shared" ref="Y6:Y19" si="5">AK6*AI6*AL6*AO6</f>
        <v>2.595625E-2</v>
      </c>
      <c r="Z6" s="69">
        <f>Z3</f>
        <v>0.56999999999999995</v>
      </c>
      <c r="AA6" s="69">
        <f t="shared" ref="AA6:AA19" si="6">Z6*Y6</f>
        <v>1.4795062499999999E-2</v>
      </c>
      <c r="AB6" s="157">
        <f t="shared" ref="AB6:AB19" si="7">IF($B$17="JC",IF($C$17="JC",$W$1,$V$1/0.9),IF($C$17="JC",$V$1*1.1,$U$1))*AA6/1.5</f>
        <v>1.4795062499999999E-2</v>
      </c>
      <c r="AC6" s="176">
        <f t="shared" ref="AC6:AC19" si="8">(1-AB6)</f>
        <v>0.98520493750000004</v>
      </c>
      <c r="AD6" s="177">
        <f>AB6*AC5*PRODUCT(AC7:AC19)</f>
        <v>1.1763726005129285E-2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2.5983679704836681E-3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0.4153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4.4609057088052413E-3</v>
      </c>
      <c r="BL6">
        <f>BH14+1</f>
        <v>2</v>
      </c>
      <c r="BM6">
        <v>2</v>
      </c>
      <c r="BN6" s="107">
        <f>$H$27*H41</f>
        <v>5.7269150759004822E-2</v>
      </c>
      <c r="BP6">
        <f>BL5+1</f>
        <v>2</v>
      </c>
      <c r="BQ6">
        <v>1</v>
      </c>
      <c r="BR6" s="107">
        <f>$H$27*H40</f>
        <v>4.6202983307145409E-2</v>
      </c>
    </row>
    <row r="7" spans="1:70" x14ac:dyDescent="0.25">
      <c r="A7" s="5" t="s">
        <v>2</v>
      </c>
      <c r="B7" s="168">
        <v>13.75</v>
      </c>
      <c r="C7" s="169">
        <v>18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3.8999999999999998E-3</v>
      </c>
      <c r="Z7" s="69">
        <f>Z2</f>
        <v>0.45</v>
      </c>
      <c r="AA7" s="69">
        <f t="shared" si="6"/>
        <v>1.755E-3</v>
      </c>
      <c r="AB7" s="157">
        <f t="shared" si="7"/>
        <v>1.7550000000000003E-3</v>
      </c>
      <c r="AC7" s="176">
        <f t="shared" si="8"/>
        <v>0.99824500000000005</v>
      </c>
      <c r="AD7" s="177">
        <f>AB7*PRODUCT(AC5:AC6)*PRODUCT(AC8:AC19)</f>
        <v>1.3771925141015412E-3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3.0177261208044065E-4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3.8999999999999998E-3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2.2825405844467037E-3</v>
      </c>
      <c r="BL7">
        <f>BH23+1</f>
        <v>3</v>
      </c>
      <c r="BM7">
        <v>3</v>
      </c>
      <c r="BN7" s="107">
        <f>$H$28*H42</f>
        <v>5.4927206089715547E-2</v>
      </c>
      <c r="BP7">
        <f>BP5+1</f>
        <v>3</v>
      </c>
      <c r="BQ7">
        <v>0</v>
      </c>
      <c r="BR7" s="107">
        <f>$H$28*H39</f>
        <v>2.1701296839543218E-2</v>
      </c>
    </row>
    <row r="8" spans="1:70" x14ac:dyDescent="0.25">
      <c r="A8" s="5" t="s">
        <v>3</v>
      </c>
      <c r="B8" s="168">
        <v>13.25</v>
      </c>
      <c r="C8" s="169">
        <v>16</v>
      </c>
      <c r="E8" s="192" t="s">
        <v>18</v>
      </c>
      <c r="F8" s="167" t="s">
        <v>154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3.5384615384615389E-2</v>
      </c>
      <c r="P8" s="210">
        <f>P2</f>
        <v>0.45</v>
      </c>
      <c r="Q8" s="214">
        <f t="shared" si="2"/>
        <v>1.5923076923076925E-2</v>
      </c>
      <c r="R8" s="157">
        <f t="shared" si="3"/>
        <v>1.5923076923076925E-2</v>
      </c>
      <c r="S8" s="176">
        <f t="shared" si="4"/>
        <v>0.98407692307692307</v>
      </c>
      <c r="T8" s="177">
        <f>R8*PRODUCT(S5:S7)*PRODUCT(S9:S19)</f>
        <v>1.0781278897090914E-2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3.4604690506197643E-3</v>
      </c>
      <c r="W8" s="186" t="s">
        <v>42</v>
      </c>
      <c r="X8" s="15" t="s">
        <v>43</v>
      </c>
      <c r="Y8" s="69">
        <f t="shared" si="5"/>
        <v>3.5384615384615389E-2</v>
      </c>
      <c r="Z8" s="69">
        <f>Z2</f>
        <v>0.45</v>
      </c>
      <c r="AA8" s="69">
        <f t="shared" si="6"/>
        <v>1.5923076923076925E-2</v>
      </c>
      <c r="AB8" s="157">
        <f t="shared" si="7"/>
        <v>1.5923076923076925E-2</v>
      </c>
      <c r="AC8" s="176">
        <f t="shared" si="8"/>
        <v>0.98407692307692307</v>
      </c>
      <c r="AD8" s="177">
        <f>AB8*PRODUCT(AC5:AC7)*PRODUCT(AC9:AC19)</f>
        <v>1.2675135820873089E-2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2.5723030298837163E-3</v>
      </c>
      <c r="AG8" s="203">
        <f>IF(COUNTIF(F6:F18,"IMP")+COUNTIF(J6:J18,"IMP")=0,0,COUNTIF(F6:F18,"IMP")/(COUNTIF(F6:F18,"IMP")+COUNTIF(J6:J18,"IMP")))</f>
        <v>0.5</v>
      </c>
      <c r="AH8">
        <f>COUNTIF(F6:F18,"IMP")</f>
        <v>2</v>
      </c>
      <c r="AI8" s="207">
        <f t="shared" si="9"/>
        <v>0.46</v>
      </c>
      <c r="AK8" s="203">
        <f>IF(COUNTIF(F6:F18,"IMP")+COUNTIF(J6:J18,"IMP")=0,0,COUNTIF(J6:J18,"IMP")/(COUNTIF(F6:F18,"IMP")+COUNTIF(J6:J18,"IMP")))</f>
        <v>0.5</v>
      </c>
      <c r="AL8">
        <f>COUNTIF(J6:J18,"IMP")</f>
        <v>2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8.4556615378738318E-4</v>
      </c>
      <c r="BL8">
        <f>BH31+1</f>
        <v>4</v>
      </c>
      <c r="BM8">
        <v>4</v>
      </c>
      <c r="BN8" s="107">
        <f>$H$29*H43</f>
        <v>2.4270786813923723E-2</v>
      </c>
      <c r="BP8">
        <f>BP6+1</f>
        <v>3</v>
      </c>
      <c r="BQ8">
        <v>1</v>
      </c>
      <c r="BR8" s="107">
        <f>$H$28*H40</f>
        <v>5.8935212865770741E-2</v>
      </c>
    </row>
    <row r="9" spans="1:70" x14ac:dyDescent="0.25">
      <c r="A9" s="5" t="s">
        <v>4</v>
      </c>
      <c r="B9" s="168">
        <v>13.25</v>
      </c>
      <c r="C9" s="169">
        <v>18.25</v>
      </c>
      <c r="E9" s="192" t="s">
        <v>18</v>
      </c>
      <c r="F9" s="167"/>
      <c r="G9" s="167"/>
      <c r="H9" s="10"/>
      <c r="I9" s="10"/>
      <c r="J9" s="166" t="s">
        <v>154</v>
      </c>
      <c r="K9" s="166"/>
      <c r="L9" s="10"/>
      <c r="M9" s="10"/>
      <c r="O9" s="67">
        <f t="shared" si="1"/>
        <v>1.5333333333333331E-2</v>
      </c>
      <c r="P9" s="210">
        <f>P2</f>
        <v>0.45</v>
      </c>
      <c r="Q9" s="214">
        <f t="shared" si="2"/>
        <v>6.899999999999999E-3</v>
      </c>
      <c r="R9" s="157">
        <f t="shared" si="3"/>
        <v>6.899999999999999E-3</v>
      </c>
      <c r="S9" s="176">
        <f t="shared" si="4"/>
        <v>0.99309999999999998</v>
      </c>
      <c r="T9" s="177">
        <f>R9*PRODUCT(S5:S8)*PRODUCT(S10:S19)</f>
        <v>4.6294398325272398E-3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1.4537470721057127E-3</v>
      </c>
      <c r="W9" s="187" t="s">
        <v>44</v>
      </c>
      <c r="X9" s="15" t="s">
        <v>45</v>
      </c>
      <c r="Y9" s="69">
        <f t="shared" si="5"/>
        <v>3.8333333333333327E-3</v>
      </c>
      <c r="Z9" s="69">
        <f>Z2</f>
        <v>0.45</v>
      </c>
      <c r="AA9" s="69">
        <f t="shared" si="6"/>
        <v>1.7249999999999998E-3</v>
      </c>
      <c r="AB9" s="157">
        <f t="shared" si="7"/>
        <v>1.7249999999999998E-3</v>
      </c>
      <c r="AC9" s="176">
        <f t="shared" si="8"/>
        <v>0.99827500000000002</v>
      </c>
      <c r="AD9" s="177">
        <f>AB9*PRODUCT(AC5:AC8)*PRODUCT(AC10:AC19)</f>
        <v>1.3536100820284106E-3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2.7236378898869298E-4</v>
      </c>
      <c r="AG9" s="203">
        <f>IF(COUNTIF(J6:J13,"IMP")+COUNTIF(F6:F13,"IMP")=0,0,COUNTIF(J6:J13,"IMP")/(COUNTIF(J6:J13,"IMP")+COUNTIF(F6:F13,"IMP")))</f>
        <v>0.66666666666666663</v>
      </c>
      <c r="AH9">
        <f>COUNTIF(J6:J13,"IMP")</f>
        <v>2</v>
      </c>
      <c r="AI9" s="207">
        <f t="shared" si="9"/>
        <v>1.1499999999999998E-2</v>
      </c>
      <c r="AK9" s="203">
        <f>IF(COUNTIF(J6:J13,"IMP")+COUNTIF(F6:F13,"IMP")=0,0,COUNTIF(F6:F13,"IMP")/(COUNTIF(J6:J13,"IMP")+COUNTIF(F6:F13,"IMP")))</f>
        <v>0.33333333333333331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2.3554678992362315E-4</v>
      </c>
      <c r="BL9">
        <f>BH38+1</f>
        <v>5</v>
      </c>
      <c r="BM9">
        <v>5</v>
      </c>
      <c r="BN9" s="107">
        <f>$H$30*H44</f>
        <v>5.5563159710229617E-3</v>
      </c>
      <c r="BP9">
        <f>BL6+1</f>
        <v>3</v>
      </c>
      <c r="BQ9">
        <v>2</v>
      </c>
      <c r="BR9" s="107">
        <f>$H$28*H41</f>
        <v>7.30509016741758E-2</v>
      </c>
    </row>
    <row r="10" spans="1:70" x14ac:dyDescent="0.25">
      <c r="A10" s="6" t="s">
        <v>5</v>
      </c>
      <c r="B10" s="168">
        <v>16.75</v>
      </c>
      <c r="C10" s="169">
        <v>17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6.25E-2</v>
      </c>
      <c r="P10" s="210">
        <f>P3</f>
        <v>0.56999999999999995</v>
      </c>
      <c r="Q10" s="214">
        <f t="shared" si="2"/>
        <v>3.5624999999999997E-2</v>
      </c>
      <c r="R10" s="157">
        <f t="shared" si="3"/>
        <v>3.5624999999999997E-2</v>
      </c>
      <c r="S10" s="176">
        <f t="shared" si="4"/>
        <v>0.96437499999999998</v>
      </c>
      <c r="T10" s="177">
        <f>R10*PRODUCT(S5:S9)*PRODUCT(S11:S19)</f>
        <v>2.4613947210677466E-2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6.8200624558414366E-3</v>
      </c>
      <c r="W10" s="186" t="s">
        <v>46</v>
      </c>
      <c r="X10" s="15" t="s">
        <v>47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7">
        <f t="shared" si="7"/>
        <v>0</v>
      </c>
      <c r="AC10" s="176">
        <f t="shared" si="8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H10">
        <f>COUNTIF(F11:F18,"RAP")</f>
        <v>1</v>
      </c>
      <c r="AI10" s="207">
        <f t="shared" si="9"/>
        <v>0.5</v>
      </c>
      <c r="AK10" s="203">
        <f>IF(COUNTIF(F11:F18,"RAP")+COUNTIF(J11:J18,"RAP")=0,0,COUNTIF(J11:J18,"RAP")/(COUNTIF(F11:F18,"RAP")+COUNTIF(J11:J18,"RAP")))</f>
        <v>0</v>
      </c>
      <c r="AL10">
        <f>COUNTIF(J11:J18,"RAP")</f>
        <v>0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5.0516460345786802E-5</v>
      </c>
      <c r="BL10">
        <f>BH44+1</f>
        <v>6</v>
      </c>
      <c r="BM10">
        <v>6</v>
      </c>
      <c r="BN10" s="107">
        <f>$H$31*H45</f>
        <v>7.0551701170727557E-4</v>
      </c>
      <c r="BP10">
        <f>BP7+1</f>
        <v>4</v>
      </c>
      <c r="BQ10">
        <v>0</v>
      </c>
      <c r="BR10" s="107">
        <f>$H$29*H39</f>
        <v>1.87407328364931E-2</v>
      </c>
    </row>
    <row r="11" spans="1:70" x14ac:dyDescent="0.25">
      <c r="A11" s="6" t="s">
        <v>6</v>
      </c>
      <c r="B11" s="168">
        <v>12.5</v>
      </c>
      <c r="C11" s="169">
        <v>6</v>
      </c>
      <c r="E11" s="192" t="s">
        <v>19</v>
      </c>
      <c r="F11" s="167" t="s">
        <v>16</v>
      </c>
      <c r="G11" s="167"/>
      <c r="H11" s="10"/>
      <c r="I11" s="10"/>
      <c r="J11" s="166" t="s">
        <v>146</v>
      </c>
      <c r="K11" s="166"/>
      <c r="L11" s="10"/>
      <c r="M11" s="10"/>
      <c r="O11" s="67">
        <f t="shared" si="1"/>
        <v>6.25E-2</v>
      </c>
      <c r="P11" s="210">
        <f>P3</f>
        <v>0.56999999999999995</v>
      </c>
      <c r="Q11" s="214">
        <f t="shared" si="2"/>
        <v>3.5624999999999997E-2</v>
      </c>
      <c r="R11" s="157">
        <f t="shared" si="3"/>
        <v>3.5624999999999997E-2</v>
      </c>
      <c r="S11" s="176">
        <f t="shared" si="4"/>
        <v>0.96437499999999998</v>
      </c>
      <c r="T11" s="177">
        <f>R11*PRODUCT(S5:S10)*PRODUCT(S12:S19)</f>
        <v>2.4613947210677462E-2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5.9107980417075316E-3</v>
      </c>
      <c r="W11" s="186" t="s">
        <v>48</v>
      </c>
      <c r="X11" s="15" t="s">
        <v>49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7">
        <f t="shared" si="7"/>
        <v>0</v>
      </c>
      <c r="AC11" s="176">
        <f t="shared" si="8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H11">
        <f>COUNTIF(F11:F18,"RAP")</f>
        <v>1</v>
      </c>
      <c r="AI11" s="207">
        <f t="shared" si="9"/>
        <v>0.5</v>
      </c>
      <c r="AK11" s="203">
        <f>IF(COUNTIF(F11:F18,"RAP")+COUNTIF(J11:J18,"RAP")=0,0,COUNTIF(J11:J18,"RAP")/(COUNTIF(F11:F18,"RAP")+COUNTIF(J11:J18,"RAP")))</f>
        <v>0</v>
      </c>
      <c r="AL11">
        <f>COUNTIF(J11:J18,"RAP")</f>
        <v>0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8.4345134328280009E-6</v>
      </c>
      <c r="BL11">
        <f>BH50+1</f>
        <v>7</v>
      </c>
      <c r="BM11">
        <v>7</v>
      </c>
      <c r="BN11" s="107">
        <f>$H$32*H46</f>
        <v>5.1673059214690041E-5</v>
      </c>
      <c r="BP11">
        <f>BP8+1</f>
        <v>4</v>
      </c>
      <c r="BQ11">
        <v>1</v>
      </c>
      <c r="BR11" s="107">
        <f>$H$29*H40</f>
        <v>5.0895072637627138E-2</v>
      </c>
    </row>
    <row r="12" spans="1:70" x14ac:dyDescent="0.25">
      <c r="A12" s="6" t="s">
        <v>7</v>
      </c>
      <c r="B12" s="168">
        <v>16.25</v>
      </c>
      <c r="C12" s="169">
        <v>16</v>
      </c>
      <c r="E12" s="192" t="s">
        <v>19</v>
      </c>
      <c r="F12" s="167" t="s">
        <v>154</v>
      </c>
      <c r="G12" s="167"/>
      <c r="H12" s="10"/>
      <c r="I12" s="10"/>
      <c r="J12" s="166"/>
      <c r="K12" s="166"/>
      <c r="L12" s="10"/>
      <c r="M12" s="10"/>
      <c r="O12" s="67">
        <f t="shared" si="1"/>
        <v>3.5937499999999993E-3</v>
      </c>
      <c r="P12" s="210">
        <f>P2</f>
        <v>0.45</v>
      </c>
      <c r="Q12" s="214">
        <f t="shared" si="2"/>
        <v>1.6171874999999997E-3</v>
      </c>
      <c r="R12" s="157">
        <f t="shared" si="3"/>
        <v>1.6171874999999997E-3</v>
      </c>
      <c r="S12" s="176">
        <f t="shared" si="4"/>
        <v>0.99838281250000005</v>
      </c>
      <c r="T12" s="177">
        <f>R12*PRODUCT(S5:S11)*PRODUCT(S13:S19)</f>
        <v>1.0792836926160592E-3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2.5743116328479266E-4</v>
      </c>
      <c r="W12" s="187" t="s">
        <v>50</v>
      </c>
      <c r="X12" s="15" t="s">
        <v>51</v>
      </c>
      <c r="Y12" s="69">
        <f t="shared" si="5"/>
        <v>3.5937499999999989E-3</v>
      </c>
      <c r="Z12" s="69">
        <f>Z2</f>
        <v>0.45</v>
      </c>
      <c r="AA12" s="69">
        <f t="shared" si="6"/>
        <v>1.6171874999999995E-3</v>
      </c>
      <c r="AB12" s="157">
        <f t="shared" si="7"/>
        <v>1.6171874999999995E-3</v>
      </c>
      <c r="AC12" s="176">
        <f t="shared" si="8"/>
        <v>0.99838281250000005</v>
      </c>
      <c r="AD12" s="177">
        <f>AB12*PRODUCT(AC5:AC11)*PRODUCT(AC13:AC19)</f>
        <v>1.2688724152060708E-3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2.5325815016765269E-4</v>
      </c>
      <c r="AG12" s="203">
        <f>IF(COUNTA(F6:F10)+COUNTA(J6:J10)=0,0,COUNTA(F6:F10)/(COUNTA(F6:F10)+COUNTA(J6:J10)))</f>
        <v>0.375</v>
      </c>
      <c r="AH12">
        <f>COUNTA(J6:J10)</f>
        <v>5</v>
      </c>
      <c r="AI12" s="207">
        <f t="shared" si="9"/>
        <v>1.1499999999999998E-2</v>
      </c>
      <c r="AK12" s="203">
        <f>IF(COUNTA(J6:J10)+COUNTA(F6:F10)=0,0,COUNTA(J6:J10)/(COUNTA(J6:J10)+COUNTA(F6:F10)))</f>
        <v>0.625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1.0916738706741128E-6</v>
      </c>
      <c r="BL12">
        <f>BH54+1</f>
        <v>8</v>
      </c>
      <c r="BM12">
        <v>8</v>
      </c>
      <c r="BN12" s="107">
        <f>$H$33*H47</f>
        <v>2.2187325939318849E-6</v>
      </c>
      <c r="BP12">
        <f>BP9+1</f>
        <v>4</v>
      </c>
      <c r="BQ12">
        <v>2</v>
      </c>
      <c r="BR12" s="107">
        <f>$H$29*H41</f>
        <v>6.3085051638299749E-2</v>
      </c>
    </row>
    <row r="13" spans="1:70" x14ac:dyDescent="0.25">
      <c r="A13" s="7" t="s">
        <v>8</v>
      </c>
      <c r="B13" s="168">
        <v>9</v>
      </c>
      <c r="C13" s="169">
        <v>13.25</v>
      </c>
      <c r="E13" s="192" t="s">
        <v>19</v>
      </c>
      <c r="F13" s="167" t="s">
        <v>154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9.3883516483516463E-2</v>
      </c>
      <c r="P13" s="210">
        <f>P3</f>
        <v>0.56999999999999995</v>
      </c>
      <c r="Q13" s="214">
        <f t="shared" si="2"/>
        <v>5.3513604395604382E-2</v>
      </c>
      <c r="R13" s="157">
        <f t="shared" si="3"/>
        <v>5.3513604395604382E-2</v>
      </c>
      <c r="S13" s="176">
        <f t="shared" si="4"/>
        <v>0.94648639560439563</v>
      </c>
      <c r="T13" s="177">
        <f>R13*PRODUCT(S5:S12)*PRODUCT(S14:S19)</f>
        <v>3.7672302349822162E-2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6.8556494451070633E-3</v>
      </c>
      <c r="W13" s="186" t="s">
        <v>52</v>
      </c>
      <c r="X13" s="15" t="s">
        <v>53</v>
      </c>
      <c r="Y13" s="69">
        <f t="shared" si="5"/>
        <v>5.3416483516483516E-2</v>
      </c>
      <c r="Z13" s="69">
        <f>Z3</f>
        <v>0.56999999999999995</v>
      </c>
      <c r="AA13" s="69">
        <f t="shared" si="6"/>
        <v>3.0447395604395602E-2</v>
      </c>
      <c r="AB13" s="157">
        <f t="shared" si="7"/>
        <v>3.0447395604395602E-2</v>
      </c>
      <c r="AC13" s="176">
        <f t="shared" si="8"/>
        <v>0.96955260439560442</v>
      </c>
      <c r="AD13" s="177">
        <f>AB13*PRODUCT(AC5:AC12)*PRODUCT(AC14:AC19)</f>
        <v>2.4599906075742962E-2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4.1374465281658031E-3</v>
      </c>
      <c r="AG13" s="203">
        <f>B22</f>
        <v>0.63736263736263732</v>
      </c>
      <c r="AH13">
        <v>1</v>
      </c>
      <c r="AI13" s="207">
        <f t="shared" si="9"/>
        <v>0.14729999999999999</v>
      </c>
      <c r="AK13" s="203">
        <f>C22</f>
        <v>0.36263736263736268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1.0669210798719642E-7</v>
      </c>
      <c r="BL13">
        <f>BH57+1</f>
        <v>9</v>
      </c>
      <c r="BM13">
        <v>9</v>
      </c>
      <c r="BN13" s="107">
        <f>$H$34*H48</f>
        <v>5.5326931007429694E-8</v>
      </c>
      <c r="BP13">
        <f>BL7+1</f>
        <v>4</v>
      </c>
      <c r="BQ13">
        <v>3</v>
      </c>
      <c r="BR13" s="107">
        <f>$H$29*H42</f>
        <v>4.7433851644601663E-2</v>
      </c>
    </row>
    <row r="14" spans="1:70" x14ac:dyDescent="0.25">
      <c r="A14" s="7" t="s">
        <v>9</v>
      </c>
      <c r="B14" s="168">
        <v>6.75</v>
      </c>
      <c r="C14" s="169">
        <v>11.5</v>
      </c>
      <c r="E14" s="192" t="s">
        <v>20</v>
      </c>
      <c r="F14" s="167" t="s">
        <v>146</v>
      </c>
      <c r="G14" s="167"/>
      <c r="H14" s="10"/>
      <c r="I14" s="10"/>
      <c r="J14" s="166" t="s">
        <v>21</v>
      </c>
      <c r="K14" s="166"/>
      <c r="L14" s="10"/>
      <c r="M14" s="10"/>
      <c r="O14" s="67">
        <f t="shared" si="1"/>
        <v>0.13339999999999999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8.0039999999999986E-2</v>
      </c>
      <c r="R14" s="157">
        <f t="shared" si="3"/>
        <v>8.0039999999999986E-2</v>
      </c>
      <c r="S14" s="176">
        <f t="shared" si="4"/>
        <v>0.91996</v>
      </c>
      <c r="T14" s="177">
        <f>R14*PRODUCT(S5:S13)*PRODUCT(S15:S19)</f>
        <v>5.7970957099352703E-2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5.5059297124013373E-3</v>
      </c>
      <c r="W14" s="186" t="s">
        <v>54</v>
      </c>
      <c r="X14" s="15" t="s">
        <v>55</v>
      </c>
      <c r="Y14" s="69">
        <f t="shared" si="5"/>
        <v>7.5900000000000009E-2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1.1385000000000001E-2</v>
      </c>
      <c r="AB14" s="157">
        <f t="shared" si="7"/>
        <v>1.1385000000000001E-2</v>
      </c>
      <c r="AC14" s="176">
        <f t="shared" si="8"/>
        <v>0.98861500000000002</v>
      </c>
      <c r="AD14" s="177">
        <f>AB14*PRODUCT(AC5:AC13)*PRODUCT(AC15:AC19)</f>
        <v>9.0211211549527572E-3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1.4133698539058642E-3</v>
      </c>
      <c r="AG14" s="203">
        <f>IF(AL14=0,1,B22)</f>
        <v>0.63736263736263732</v>
      </c>
      <c r="AH14">
        <f>IF(COUNTIF(F6:F18,"CAB")&gt;0,1,0)</f>
        <v>1</v>
      </c>
      <c r="AI14" s="207">
        <f t="shared" si="9"/>
        <v>0.20930000000000001</v>
      </c>
      <c r="AK14" s="203">
        <f>IF(AH14=0,1,C22)</f>
        <v>0.36263736263736268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2.7233564048748927E-2</v>
      </c>
      <c r="BL14">
        <f>BP39+1</f>
        <v>10</v>
      </c>
      <c r="BM14">
        <v>10</v>
      </c>
      <c r="BN14" s="107">
        <f>$H$35*H49</f>
        <v>7.6574269042141624E-10</v>
      </c>
      <c r="BP14">
        <f>BP10+1</f>
        <v>5</v>
      </c>
      <c r="BQ14">
        <v>0</v>
      </c>
      <c r="BR14" s="107">
        <f>$H$30*H39</f>
        <v>1.1581386787953203E-2</v>
      </c>
    </row>
    <row r="15" spans="1:70" x14ac:dyDescent="0.25">
      <c r="A15" s="189" t="s">
        <v>71</v>
      </c>
      <c r="B15" s="170">
        <v>7.75</v>
      </c>
      <c r="C15" s="171">
        <v>10</v>
      </c>
      <c r="E15" s="192" t="s">
        <v>20</v>
      </c>
      <c r="F15" s="167" t="s">
        <v>154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2.4857142857142855E-2</v>
      </c>
      <c r="P15" s="210">
        <f>R3</f>
        <v>0.7</v>
      </c>
      <c r="Q15" s="214">
        <f t="shared" si="2"/>
        <v>1.7399999999999999E-2</v>
      </c>
      <c r="R15" s="157">
        <f t="shared" si="3"/>
        <v>1.7399999999999999E-2</v>
      </c>
      <c r="S15" s="176">
        <f t="shared" si="4"/>
        <v>0.98260000000000003</v>
      </c>
      <c r="T15" s="177">
        <f>R15*PRODUCT(S5:S14)*PRODUCT(S16:S19)</f>
        <v>1.1798989746174856E-2</v>
      </c>
      <c r="U15" s="177">
        <f>R15*R16*PRODUCT(S5:S14)*PRODUCT(S17:S19)+R15*R17*PRODUCT(S5:S14)*S16*PRODUCT(S18:S19)+R15*R18*PRODUCT(S5:S14)*S16*S17*S19+R15*R19*PRODUCT(S5:S14)*S16*S17*S18</f>
        <v>9.1169920949231854E-4</v>
      </c>
      <c r="W15" s="186" t="s">
        <v>56</v>
      </c>
      <c r="X15" s="15" t="s">
        <v>57</v>
      </c>
      <c r="Y15" s="69">
        <f t="shared" si="5"/>
        <v>1.4142857142857145E-2</v>
      </c>
      <c r="Z15" s="69">
        <f>AB3</f>
        <v>0.7</v>
      </c>
      <c r="AA15" s="69">
        <f t="shared" si="6"/>
        <v>9.9000000000000008E-3</v>
      </c>
      <c r="AB15" s="157">
        <f t="shared" si="7"/>
        <v>9.9000000000000008E-3</v>
      </c>
      <c r="AC15" s="176">
        <f t="shared" si="8"/>
        <v>0.99009999999999998</v>
      </c>
      <c r="AD15" s="177">
        <f>AB15*PRODUCT(AC5:AC14)*PRODUCT(AC16:AC19)</f>
        <v>7.832687686885928E-3</v>
      </c>
      <c r="AE15" s="177">
        <f>AB15*AB16*PRODUCT(AC5:AC14)*PRODUCT(AC17:AC19)+AB15*AB17*PRODUCT(AC5:AC14)*AC16*PRODUCT(AC18:AC19)+AB15*AB18*PRODUCT(AC5:AC14)*AC16*AC17*AC19+AB15*AB19*PRODUCT(AC5:AC14)*AC16*AC17*AC18</f>
        <v>1.1488549587032927E-3</v>
      </c>
      <c r="AG15" s="203">
        <f>IF(AL15=0,1,B22)</f>
        <v>0.63736263736263732</v>
      </c>
      <c r="AH15">
        <v>1</v>
      </c>
      <c r="AI15" s="207">
        <f t="shared" si="9"/>
        <v>3.9E-2</v>
      </c>
      <c r="AK15" s="203">
        <f>IF(AH15=0,1,C22)</f>
        <v>0.36263736263736268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2.0477003716326513E-2</v>
      </c>
      <c r="BP15">
        <f>BP11+1</f>
        <v>5</v>
      </c>
      <c r="BQ15">
        <v>1</v>
      </c>
      <c r="BR15" s="107">
        <f>$H$30*H40</f>
        <v>3.1452106326896066E-2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>
        <f t="shared" si="1"/>
        <v>1.1314285714285716E-2</v>
      </c>
      <c r="P16" s="210">
        <v>0.15</v>
      </c>
      <c r="Q16" s="214">
        <f t="shared" si="2"/>
        <v>1.6971428571428574E-3</v>
      </c>
      <c r="R16" s="157">
        <f t="shared" si="3"/>
        <v>1.6971428571428574E-3</v>
      </c>
      <c r="S16" s="176">
        <f t="shared" si="4"/>
        <v>0.99830285714285716</v>
      </c>
      <c r="T16" s="177">
        <f>R16*PRODUCT(S5:S15)*PRODUCT(S17:S19)</f>
        <v>1.1327352659148918E-3</v>
      </c>
      <c r="U16" s="177">
        <f>R16*R17*PRODUCT(S5:S15)*PRODUCT(S18:S19)+R16*R18*PRODUCT(S5:S15)*S17*S19+R16*R19*PRODUCT(S5:S15)*S17*S18</f>
        <v>8.5599934344142168E-5</v>
      </c>
      <c r="W16" s="187" t="s">
        <v>58</v>
      </c>
      <c r="X16" s="15" t="s">
        <v>59</v>
      </c>
      <c r="Y16" s="69">
        <f t="shared" si="5"/>
        <v>1.9885714285714284E-2</v>
      </c>
      <c r="Z16" s="69">
        <v>0.15</v>
      </c>
      <c r="AA16" s="69">
        <f t="shared" si="6"/>
        <v>2.9828571428571426E-3</v>
      </c>
      <c r="AB16" s="157">
        <f t="shared" si="7"/>
        <v>2.9828571428571426E-3</v>
      </c>
      <c r="AC16" s="176">
        <f t="shared" si="8"/>
        <v>0.99701714285714282</v>
      </c>
      <c r="AD16" s="177">
        <f>AB16*PRODUCT(AC5:AC15)*PRODUCT(AC17:AC19)</f>
        <v>2.3436054796675265E-3</v>
      </c>
      <c r="AE16" s="177">
        <f>AB16*AB17*PRODUCT(AC5:AC15)*PRODUCT(AC18:AC19)+AB16*AB18*PRODUCT(AC5:AC15)*AC17*AC19+AB16*AB19*PRODUCT(AC5:AC15)*AC17*AC18</f>
        <v>3.3673543015622933E-4</v>
      </c>
      <c r="AG16" s="203">
        <f>C22</f>
        <v>0.36263736263736268</v>
      </c>
      <c r="AH16">
        <v>1</v>
      </c>
      <c r="AI16" s="207">
        <f t="shared" si="9"/>
        <v>3.1199999999999999E-2</v>
      </c>
      <c r="AK16" s="203">
        <f>B22</f>
        <v>0.63736263736263732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1.0477601429262096E-2</v>
      </c>
      <c r="BP16">
        <f>BP12+1</f>
        <v>5</v>
      </c>
      <c r="BQ16">
        <v>2</v>
      </c>
      <c r="BR16" s="107">
        <f>$H$30*H41</f>
        <v>3.8985262205886488E-2</v>
      </c>
    </row>
    <row r="17" spans="1:70" x14ac:dyDescent="0.25">
      <c r="A17" s="188" t="s">
        <v>10</v>
      </c>
      <c r="B17" s="172" t="s">
        <v>11</v>
      </c>
      <c r="C17" s="173" t="s">
        <v>163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5.4449999999999998E-2</v>
      </c>
      <c r="P17" s="210">
        <f>P3</f>
        <v>0.56999999999999995</v>
      </c>
      <c r="Q17" s="214">
        <f t="shared" si="2"/>
        <v>3.1036499999999998E-2</v>
      </c>
      <c r="R17" s="157">
        <f t="shared" si="3"/>
        <v>3.1036499999999998E-2</v>
      </c>
      <c r="S17" s="176">
        <f t="shared" si="4"/>
        <v>0.96896349999999998</v>
      </c>
      <c r="T17" s="177">
        <f>R17*PRODUCT(S5:S16)*PRODUCT(S18:S19)</f>
        <v>2.1342124896694268E-2</v>
      </c>
      <c r="U17" s="177">
        <f>R17*R18*PRODUCT(S5:S16)*S19+R17*R19*PRODUCT(S5:S16)*S18</f>
        <v>9.2920653626269345E-4</v>
      </c>
      <c r="W17" s="186" t="s">
        <v>60</v>
      </c>
      <c r="X17" s="15" t="s">
        <v>61</v>
      </c>
      <c r="Y17" s="69">
        <f t="shared" si="5"/>
        <v>5.4449999999999998E-2</v>
      </c>
      <c r="Z17" s="69">
        <f>Z3</f>
        <v>0.56999999999999995</v>
      </c>
      <c r="AA17" s="69">
        <f t="shared" si="6"/>
        <v>3.1036499999999998E-2</v>
      </c>
      <c r="AB17" s="157">
        <f t="shared" si="7"/>
        <v>3.1036499999999998E-2</v>
      </c>
      <c r="AC17" s="176">
        <f t="shared" si="8"/>
        <v>0.96896349999999998</v>
      </c>
      <c r="AD17" s="177">
        <f>AB17*PRODUCT(AC5:AC16)*PRODUCT(AC18:AC19)</f>
        <v>2.5091117144240567E-2</v>
      </c>
      <c r="AE17" s="177">
        <f>AB17*AB18*PRODUCT(AC5:AC16)*AC19+AB17*AB19*PRODUCT(AC5:AC16)*AC18</f>
        <v>2.8014740389004375E-3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0.1089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3.8814228328851019E-3</v>
      </c>
      <c r="BP17">
        <f>BP13+1</f>
        <v>5</v>
      </c>
      <c r="BQ17">
        <v>3</v>
      </c>
      <c r="BR17" s="107">
        <f>$H$30*H42</f>
        <v>2.9313143062836611E-2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21</v>
      </c>
      <c r="G18" s="167"/>
      <c r="H18" s="10"/>
      <c r="I18" s="10"/>
      <c r="J18" s="166"/>
      <c r="K18" s="166"/>
      <c r="L18" s="10"/>
      <c r="M18" s="10"/>
      <c r="O18" s="67">
        <f t="shared" si="1"/>
        <v>4.6124999999999999E-2</v>
      </c>
      <c r="P18" s="210">
        <f>P17*1.2</f>
        <v>0.68399999999999994</v>
      </c>
      <c r="Q18" s="214">
        <f t="shared" si="2"/>
        <v>3.1549499999999994E-2</v>
      </c>
      <c r="R18" s="157">
        <f t="shared" si="3"/>
        <v>3.1549499999999994E-2</v>
      </c>
      <c r="S18" s="176">
        <f t="shared" si="4"/>
        <v>0.96845049999999999</v>
      </c>
      <c r="T18" s="177">
        <f>R18*PRODUCT(S5:S17)*PRODUCT(S19:S19)</f>
        <v>2.1706379337150104E-2</v>
      </c>
      <c r="U18" s="177">
        <f>R18*R19*PRODUCT(S5:S17)</f>
        <v>2.3793049358000903E-4</v>
      </c>
      <c r="W18" s="186" t="s">
        <v>62</v>
      </c>
      <c r="X18" s="15" t="s">
        <v>63</v>
      </c>
      <c r="Y18" s="69">
        <f t="shared" si="5"/>
        <v>5.1250000000000002E-3</v>
      </c>
      <c r="Z18" s="69">
        <f>Z17*1.2</f>
        <v>0.68399999999999994</v>
      </c>
      <c r="AA18" s="69">
        <f t="shared" si="6"/>
        <v>3.5054999999999999E-3</v>
      </c>
      <c r="AB18" s="157">
        <f t="shared" si="7"/>
        <v>3.5054999999999999E-3</v>
      </c>
      <c r="AC18" s="176">
        <f t="shared" si="8"/>
        <v>0.99649449999999995</v>
      </c>
      <c r="AD18" s="177">
        <f>AB18*PRODUCT(AC5:AC17)*PRODUCT(AC19:AC19)</f>
        <v>2.7556860745224679E-3</v>
      </c>
      <c r="AE18" s="177">
        <f>AB18*AB19*PRODUCT(AC5:AC17)</f>
        <v>2.9798389051897934E-4</v>
      </c>
      <c r="AG18" s="203">
        <f>IF(COUNTA(F14:F15)&gt;0,IF(COUNTIF(F11:F18,"CAB")+COUNTIF(J11:J18,"CAB")=0,0,COUNTIF(F11:F18,"CAB")/(COUNTIF(F11:F18,"CAB")+COUNTIF(J11:J18,"CAB"))),0)</f>
        <v>0.75</v>
      </c>
      <c r="AH18">
        <f>COUNTIF(F11:F18,"CAB")</f>
        <v>3</v>
      </c>
      <c r="AI18" s="207">
        <f t="shared" si="9"/>
        <v>0.16400000000000001</v>
      </c>
      <c r="AK18" s="203">
        <f>IF(COUNTA(J14:J15)&gt;0,IF(COUNTIF(J11:J18,"CAB")+COUNTIF(F11:F18,"CAB")=0,0,COUNTIF(J11:J18,"CAB")/(COUNTIF(J11:J18,"CAB")+COUNTIF(F11:F18,"CAB"))),0)</f>
        <v>0.25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1.081236145187796E-3</v>
      </c>
      <c r="BP18">
        <f>BL8+1</f>
        <v>5</v>
      </c>
      <c r="BQ18">
        <v>4</v>
      </c>
      <c r="BR18" s="107">
        <f>$H$30*H43</f>
        <v>1.4998846213348212E-2</v>
      </c>
    </row>
    <row r="19" spans="1:70" x14ac:dyDescent="0.25">
      <c r="H19" s="13" t="s">
        <v>151</v>
      </c>
      <c r="L19" s="13" t="s">
        <v>151</v>
      </c>
      <c r="O19" s="67">
        <f t="shared" si="1"/>
        <v>1.9021875000000001E-2</v>
      </c>
      <c r="P19" s="210">
        <f>P3</f>
        <v>0.56999999999999995</v>
      </c>
      <c r="Q19" s="214">
        <f t="shared" si="2"/>
        <v>1.0842468749999999E-2</v>
      </c>
      <c r="R19" s="157">
        <f t="shared" si="3"/>
        <v>1.0842468749999999E-2</v>
      </c>
      <c r="S19" s="178">
        <f t="shared" si="4"/>
        <v>0.98915753125000005</v>
      </c>
      <c r="T19" s="179">
        <f>R19*PRODUCT(S5:S18)</f>
        <v>7.3035675834104046E-3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0.171196875</v>
      </c>
      <c r="Z19" s="69">
        <f>Z3</f>
        <v>0.56999999999999995</v>
      </c>
      <c r="AA19" s="69">
        <f t="shared" si="6"/>
        <v>9.7582218749999991E-2</v>
      </c>
      <c r="AB19" s="157">
        <f t="shared" si="7"/>
        <v>9.7582218749999991E-2</v>
      </c>
      <c r="AC19" s="178">
        <f t="shared" si="8"/>
        <v>0.90241778125000005</v>
      </c>
      <c r="AD19" s="179">
        <f>AB19*PRODUCT(AC5:AC18)</f>
        <v>8.4706691767441167E-2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0.25</v>
      </c>
      <c r="AH19">
        <f>COUNTIF(F11:F18,"TEC")</f>
        <v>1</v>
      </c>
      <c r="AI19" s="207">
        <f t="shared" si="9"/>
        <v>0.60870000000000002</v>
      </c>
      <c r="AK19" s="203">
        <f>IF(COUNTIF(J11:J18,"TEC")&gt;0,IF(COUNTIF(F6:F13,"CAB")&gt;0,IF(COUNTIF(F11:F18,"TEC")+COUNTIF(J11:J18,"TEC")&gt;0,COUNTIF(J11:J18,"TEC")/(COUNTIF(F11:F18,"TEC")+COUNTIF(J11:J18,"TEC")),0),0),0)</f>
        <v>0.75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2.3188693367683536E-4</v>
      </c>
      <c r="BP19">
        <f>BP15+1</f>
        <v>6</v>
      </c>
      <c r="BQ19">
        <v>1</v>
      </c>
      <c r="BR19" s="107">
        <f>$H$31*H40</f>
        <v>1.4336419196892243E-2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0.66630386922939167</v>
      </c>
      <c r="T20" s="181">
        <f>SUM(T5:T19)</f>
        <v>0.27712523739006478</v>
      </c>
      <c r="U20" s="181">
        <f>SUM(U5:U19)</f>
        <v>5.0760144456743539E-2</v>
      </c>
      <c r="V20" s="181">
        <f>1-S20-T20-U20</f>
        <v>5.8107489238000132E-3</v>
      </c>
      <c r="W20" s="21"/>
      <c r="X20" s="22"/>
      <c r="Y20" s="22"/>
      <c r="Z20" s="22"/>
      <c r="AA20" s="22"/>
      <c r="AB20" s="23"/>
      <c r="AC20" s="184">
        <f>PRODUCT(AC5:AC19)</f>
        <v>0.78334788674603595</v>
      </c>
      <c r="AD20" s="181">
        <f>SUM(AD5:AD19)</f>
        <v>0.1967035714616342</v>
      </c>
      <c r="AE20" s="181">
        <f>SUM(AE5:AE19)</f>
        <v>1.8944457851482899E-2</v>
      </c>
      <c r="AF20" s="181">
        <f>1-AC20-AD20-AE20</f>
        <v>1.0040839408469553E-3</v>
      </c>
      <c r="BH20">
        <v>1</v>
      </c>
      <c r="BI20">
        <v>8</v>
      </c>
      <c r="BJ20" s="107">
        <f t="shared" si="11"/>
        <v>3.8717151669113069E-5</v>
      </c>
      <c r="BP20">
        <f>BP16+1</f>
        <v>6</v>
      </c>
      <c r="BQ20">
        <v>2</v>
      </c>
      <c r="BR20" s="107">
        <f>$H$31*H41</f>
        <v>1.7770163170483789E-2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5.0111370573661955E-6</v>
      </c>
      <c r="BP21">
        <f>BP17+1</f>
        <v>6</v>
      </c>
      <c r="BQ21">
        <v>3</v>
      </c>
      <c r="BR21" s="107">
        <f>$H$31*H42</f>
        <v>1.3361442396241973E-2</v>
      </c>
    </row>
    <row r="22" spans="1:70" x14ac:dyDescent="0.25">
      <c r="A22" s="26" t="s">
        <v>77</v>
      </c>
      <c r="B22" s="62">
        <f>(B6)/((B6)+(C6))</f>
        <v>0.63736263736263732</v>
      </c>
      <c r="C22" s="63">
        <f>1-B22</f>
        <v>0.36263736263736268</v>
      </c>
      <c r="D22" s="24"/>
      <c r="E22" s="24"/>
      <c r="V22" s="59">
        <f>SUM(V25:V35)</f>
        <v>1</v>
      </c>
      <c r="AS22" s="82">
        <f>Y23+AA23+AC23+AE23+AG23+AI23+AK23+AM23+AO23+AQ23+AS23</f>
        <v>1.0000000000000002</v>
      </c>
      <c r="BH22">
        <v>1</v>
      </c>
      <c r="BI22">
        <v>10</v>
      </c>
      <c r="BJ22" s="107">
        <f t="shared" si="11"/>
        <v>4.8975137211354895E-7</v>
      </c>
      <c r="BP22">
        <f>BP18+1</f>
        <v>6</v>
      </c>
      <c r="BQ22">
        <v>4</v>
      </c>
      <c r="BR22" s="107">
        <f>$H$31*H43</f>
        <v>6.8367359740354981E-3</v>
      </c>
    </row>
    <row r="23" spans="1:70" ht="15.75" thickBot="1" x14ac:dyDescent="0.3">
      <c r="A23" s="40" t="s">
        <v>67</v>
      </c>
      <c r="B23" s="56">
        <f>((B22^2.8)/((B22^2.8)+(C22^2.8)))*B21</f>
        <v>4.1453278803238369</v>
      </c>
      <c r="C23" s="57">
        <f>B21-B23</f>
        <v>0.85467211967616308</v>
      </c>
      <c r="D23" s="151">
        <f>SUM(D25:D30)</f>
        <v>1</v>
      </c>
      <c r="E23" s="151">
        <f>SUM(E25:E30)</f>
        <v>1</v>
      </c>
      <c r="H23" s="59">
        <f>SUM(H25:H35)</f>
        <v>0.9999844960349179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1.0050760126517704</v>
      </c>
      <c r="V23" s="59">
        <f>SUM(V25:V34)</f>
        <v>0.84925416677371979</v>
      </c>
      <c r="Y23" s="80">
        <f>SUM(Y25:Y35)</f>
        <v>2.129586705833482E-8</v>
      </c>
      <c r="Z23" s="81"/>
      <c r="AA23" s="80">
        <f>SUM(AA25:AA35)</f>
        <v>1.0329984521909094E-6</v>
      </c>
      <c r="AB23" s="81"/>
      <c r="AC23" s="80">
        <f>SUM(AC25:AC35)</f>
        <v>2.2548961301496252E-5</v>
      </c>
      <c r="AD23" s="81"/>
      <c r="AE23" s="80">
        <f>SUM(AE25:AE35)</f>
        <v>2.9169125104445596E-4</v>
      </c>
      <c r="AF23" s="81"/>
      <c r="AG23" s="80">
        <f>SUM(AG25:AG35)</f>
        <v>2.4763342562131355E-3</v>
      </c>
      <c r="AH23" s="81"/>
      <c r="AI23" s="80">
        <f>SUM(AI25:AI35)</f>
        <v>1.441676656274923E-2</v>
      </c>
      <c r="AJ23" s="81"/>
      <c r="AK23" s="80">
        <f>SUM(AK25:AK35)</f>
        <v>5.8292310533857868E-2</v>
      </c>
      <c r="AL23" s="81"/>
      <c r="AM23" s="80">
        <f>SUM(AM25:AM35)</f>
        <v>0.16165185610603985</v>
      </c>
      <c r="AN23" s="81"/>
      <c r="AO23" s="80">
        <f>SUM(AO25:AO35)</f>
        <v>0.29429658576621803</v>
      </c>
      <c r="AP23" s="81"/>
      <c r="AQ23" s="80">
        <f>SUM(AQ25:AQ35)</f>
        <v>0.31780501904197661</v>
      </c>
      <c r="AR23" s="81"/>
      <c r="AS23" s="80">
        <f>SUM(AS25:AS35)</f>
        <v>0.15074583322628027</v>
      </c>
      <c r="BH23">
        <f t="shared" ref="BH23:BH30" si="12">BH15+1</f>
        <v>2</v>
      </c>
      <c r="BI23">
        <v>3</v>
      </c>
      <c r="BJ23" s="107">
        <f t="shared" ref="BJ23:BJ30" si="13">$H$27*H42</f>
        <v>4.3060857213688027E-2</v>
      </c>
      <c r="BP23">
        <f>BL9+1</f>
        <v>6</v>
      </c>
      <c r="BQ23">
        <v>5</v>
      </c>
      <c r="BR23" s="107">
        <f>$H$31*H44</f>
        <v>2.5326658292151899E-3</v>
      </c>
    </row>
    <row r="24" spans="1:70" ht="15.75" thickBot="1" x14ac:dyDescent="0.3">
      <c r="A24" s="26" t="s">
        <v>76</v>
      </c>
      <c r="B24" s="64">
        <f>B23/B21</f>
        <v>0.82906557606476738</v>
      </c>
      <c r="C24" s="65">
        <f>C23/B21</f>
        <v>0.17093442393523262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2.2033228363760218E-2</v>
      </c>
      <c r="BP24">
        <f>BH49+1</f>
        <v>7</v>
      </c>
      <c r="BQ24">
        <v>0</v>
      </c>
      <c r="BR24" s="107">
        <f t="shared" ref="BR24:BR30" si="14">$H$32*H39</f>
        <v>1.8028204835636727E-3</v>
      </c>
    </row>
    <row r="25" spans="1:70" x14ac:dyDescent="0.25">
      <c r="A25" s="26" t="s">
        <v>69</v>
      </c>
      <c r="B25" s="117">
        <f>1/(1+EXP(-3.1416*4*((B11/(B11+C8))-(3.1416/6))))</f>
        <v>0.25574781153688492</v>
      </c>
      <c r="C25" s="118">
        <f>1/(1+EXP(-3.1416*4*((C11/(C11+B8))-(3.1416/6))))</f>
        <v>6.5194276744321072E-2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2.0366418973166406E-2</v>
      </c>
      <c r="I25" s="97">
        <v>0</v>
      </c>
      <c r="J25" s="98">
        <f t="shared" ref="J25:J35" si="15">Y25+AA25+AC25+AE25+AG25+AI25+AK25+AM25+AO25+AQ25+AS25</f>
        <v>3.0566262502303973E-2</v>
      </c>
      <c r="K25" s="97">
        <v>0</v>
      </c>
      <c r="L25" s="98">
        <f>S20</f>
        <v>0.66630386922939167</v>
      </c>
      <c r="M25" s="84">
        <v>0</v>
      </c>
      <c r="N25" s="71">
        <f>(1-$B$24)^$B$21</f>
        <v>1.4593103528151515E-4</v>
      </c>
      <c r="O25" s="70">
        <v>0</v>
      </c>
      <c r="P25" s="71">
        <f>N25</f>
        <v>1.4593103528151515E-4</v>
      </c>
      <c r="Q25" s="12">
        <v>0</v>
      </c>
      <c r="R25" s="73">
        <f>P25*N25</f>
        <v>2.129586705833482E-8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2.129586705833482E-8</v>
      </c>
      <c r="W25" s="136">
        <f>B31</f>
        <v>0.35527752303765842</v>
      </c>
      <c r="X25" s="12">
        <v>0</v>
      </c>
      <c r="Y25" s="79">
        <f>V25</f>
        <v>2.129586705833482E-8</v>
      </c>
      <c r="Z25" s="12">
        <v>0</v>
      </c>
      <c r="AA25" s="78">
        <f>((1-W25)^Z26)*V26</f>
        <v>6.6599732079478814E-7</v>
      </c>
      <c r="AB25" s="12">
        <v>0</v>
      </c>
      <c r="AC25" s="79">
        <f>(((1-$W$25)^AB27))*V27</f>
        <v>9.3728607276092522E-6</v>
      </c>
      <c r="AD25" s="12">
        <v>0</v>
      </c>
      <c r="AE25" s="79">
        <f>(((1-$W$25)^AB28))*V28</f>
        <v>7.8170310494914927E-5</v>
      </c>
      <c r="AF25" s="12">
        <v>0</v>
      </c>
      <c r="AG25" s="79">
        <f>(((1-$W$25)^AB29))*V29</f>
        <v>4.2785884121989461E-4</v>
      </c>
      <c r="AH25" s="12">
        <v>0</v>
      </c>
      <c r="AI25" s="79">
        <f>(((1-$W$25)^AB30))*V30</f>
        <v>1.6059496416088628E-3</v>
      </c>
      <c r="AJ25" s="12">
        <v>0</v>
      </c>
      <c r="AK25" s="79">
        <f>(((1-$W$25)^AB31))*V31</f>
        <v>4.1864714853626188E-3</v>
      </c>
      <c r="AL25" s="12">
        <v>0</v>
      </c>
      <c r="AM25" s="79">
        <f>(((1-$W$25)^AB32))*V32</f>
        <v>7.4849753527562544E-3</v>
      </c>
      <c r="AN25" s="12">
        <v>0</v>
      </c>
      <c r="AO25" s="79">
        <f>(((1-$W$25)^AB33))*V33</f>
        <v>8.7855249009900094E-3</v>
      </c>
      <c r="AP25" s="12">
        <v>0</v>
      </c>
      <c r="AQ25" s="79">
        <f>(((1-$W$25)^AB34))*V34</f>
        <v>6.1166841220999186E-3</v>
      </c>
      <c r="AR25" s="12">
        <v>0</v>
      </c>
      <c r="AS25" s="79">
        <f>(((1-$W$25)^AB35))*V35</f>
        <v>1.870567693856038E-3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8.1621997391910211E-3</v>
      </c>
      <c r="BP25">
        <f>BP19+1</f>
        <v>7</v>
      </c>
      <c r="BQ25">
        <v>1</v>
      </c>
      <c r="BR25" s="107">
        <f t="shared" si="14"/>
        <v>4.8960027478170375E-3</v>
      </c>
    </row>
    <row r="26" spans="1:70" x14ac:dyDescent="0.25">
      <c r="A26" s="40" t="s">
        <v>24</v>
      </c>
      <c r="B26" s="119">
        <f>1/(1+EXP(-3.1416*4*((B10/(B10+C9))-(3.1416/6))))</f>
        <v>0.36219564986939073</v>
      </c>
      <c r="C26" s="120">
        <f>1/(1+EXP(-3.1416*4*((C10/(C10+B9))-(3.1416/6))))</f>
        <v>0.61830076326283179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9.3488467191450111E-2</v>
      </c>
      <c r="I26" s="93">
        <v>1</v>
      </c>
      <c r="J26" s="86">
        <f t="shared" si="15"/>
        <v>0.12759611397379206</v>
      </c>
      <c r="K26" s="93">
        <v>1</v>
      </c>
      <c r="L26" s="86">
        <f>T20</f>
        <v>0.27712523739006478</v>
      </c>
      <c r="M26" s="85">
        <v>1</v>
      </c>
      <c r="N26" s="71">
        <f>(($B$24)^M26)*((1-($B$24))^($B$21-M26))*HLOOKUP($B$21,$AV$24:$BF$34,M26+1)</f>
        <v>3.5389711167026026E-3</v>
      </c>
      <c r="O26" s="72">
        <v>1</v>
      </c>
      <c r="P26" s="71">
        <f t="shared" ref="P26:P30" si="16">N26</f>
        <v>3.5389711167026026E-3</v>
      </c>
      <c r="Q26" s="28">
        <v>1</v>
      </c>
      <c r="R26" s="37">
        <f>N26*P25+P26*N25</f>
        <v>1.0328914377835811E-6</v>
      </c>
      <c r="S26" s="72">
        <v>1</v>
      </c>
      <c r="T26" s="135">
        <f t="shared" ref="T26:T35" si="17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1.0329984521909094E-6</v>
      </c>
      <c r="W26" s="137"/>
      <c r="X26" s="28">
        <v>1</v>
      </c>
      <c r="Y26" s="73"/>
      <c r="Z26" s="28">
        <v>1</v>
      </c>
      <c r="AA26" s="79">
        <f>(1-((1-W25)^Z26))*V26</f>
        <v>3.6700113139612122E-7</v>
      </c>
      <c r="AB26" s="28">
        <v>1</v>
      </c>
      <c r="AC26" s="79">
        <f>((($W$25)^M26)*((1-($W$25))^($U$27-M26))*HLOOKUP($U$27,$AV$24:$BF$34,M26+1))*V27</f>
        <v>1.0329922911238798E-5</v>
      </c>
      <c r="AD26" s="28">
        <v>1</v>
      </c>
      <c r="AE26" s="79">
        <f>((($W$25)^M26)*((1-($W$25))^($U$28-M26))*HLOOKUP($U$28,$AV$24:$BF$34,M26+1))*V28</f>
        <v>1.2922841352717518E-4</v>
      </c>
      <c r="AF26" s="28">
        <v>1</v>
      </c>
      <c r="AG26" s="79">
        <f>((($W$25)^M26)*((1-($W$25))^($U$29-M26))*HLOOKUP($U$29,$AV$24:$BF$34,M26+1))*V29</f>
        <v>9.4309495790850686E-4</v>
      </c>
      <c r="AH26" s="28">
        <v>1</v>
      </c>
      <c r="AI26" s="79">
        <f>((($W$25)^M26)*((1-($W$25))^($U$30-M26))*HLOOKUP($U$30,$AV$24:$BF$34,M26+1))*V30</f>
        <v>4.4248326309502808E-3</v>
      </c>
      <c r="AJ26" s="28">
        <v>1</v>
      </c>
      <c r="AK26" s="79">
        <f>((($W$25)^M26)*((1-($W$25))^($U$31-M26))*HLOOKUP($U$31,$AV$24:$BF$34,M26+1))*V31</f>
        <v>1.38418554283563E-2</v>
      </c>
      <c r="AL26" s="28">
        <v>1</v>
      </c>
      <c r="AM26" s="79">
        <f>((($W$25)^Q26)*((1-($W$25))^($U$32-Q26))*HLOOKUP($U$32,$AV$24:$BF$34,Q26+1))*V32</f>
        <v>2.887242990345356E-2</v>
      </c>
      <c r="AN26" s="28">
        <v>1</v>
      </c>
      <c r="AO26" s="79">
        <f>((($W$25)^Q26)*((1-($W$25))^($U$33-Q26))*HLOOKUP($U$33,$AV$24:$BF$34,Q26+1))*V33</f>
        <v>3.8730457050179315E-2</v>
      </c>
      <c r="AP26" s="28">
        <v>1</v>
      </c>
      <c r="AQ26" s="79">
        <f>((($W$25)^Q26)*((1-($W$25))^($U$34-Q26))*HLOOKUP($U$34,$AV$24:$BF$34,Q26+1))*V34</f>
        <v>3.0335662483926846E-2</v>
      </c>
      <c r="AR26" s="28">
        <v>1</v>
      </c>
      <c r="AS26" s="79">
        <f>((($W$25)^Q26)*((1-($W$25))^($U$35-Q26))*HLOOKUP($U$35,$AV$24:$BF$34,Q26+1))*V35</f>
        <v>1.0307856181447446E-2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2.2737191391476981E-3</v>
      </c>
      <c r="BP26">
        <f>BP20+1</f>
        <v>7</v>
      </c>
      <c r="BQ26">
        <v>2</v>
      </c>
      <c r="BR26" s="107">
        <f t="shared" si="14"/>
        <v>6.0686540004846997E-3</v>
      </c>
    </row>
    <row r="27" spans="1:70" x14ac:dyDescent="0.25">
      <c r="A27" s="26" t="s">
        <v>25</v>
      </c>
      <c r="B27" s="119">
        <f>1/(1+EXP(-3.1416*4*((B12/(B12+C7))-(3.1416/6))))</f>
        <v>0.35032602116949985</v>
      </c>
      <c r="C27" s="120">
        <f>1/(1+EXP(-3.1416*4*((C12/(C12+B7))-(3.1416/6))))</f>
        <v>0.54453986500237117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0.19659582977210022</v>
      </c>
      <c r="I27" s="93">
        <v>2</v>
      </c>
      <c r="J27" s="86">
        <f t="shared" si="15"/>
        <v>0.23965668799376036</v>
      </c>
      <c r="K27" s="93">
        <v>2</v>
      </c>
      <c r="L27" s="86">
        <f>U20</f>
        <v>5.0760144456743539E-2</v>
      </c>
      <c r="M27" s="85">
        <v>2</v>
      </c>
      <c r="N27" s="71">
        <f>(($B$24)^M27)*((1-($B$24))^($B$21-M27))*HLOOKUP($B$21,$AV$24:$BF$34,M27+1)</f>
        <v>3.4329411946388617E-2</v>
      </c>
      <c r="O27" s="72">
        <v>2</v>
      </c>
      <c r="P27" s="71">
        <f t="shared" si="16"/>
        <v>3.4329411946388617E-2</v>
      </c>
      <c r="Q27" s="28">
        <v>2</v>
      </c>
      <c r="R27" s="37">
        <f>P25*N27+P26*N26+P27*N25</f>
        <v>2.2543769816739479E-5</v>
      </c>
      <c r="S27" s="72">
        <v>2</v>
      </c>
      <c r="T27" s="135">
        <f t="shared" si="17"/>
        <v>5.0503775157192999E-5</v>
      </c>
      <c r="U27" s="93">
        <v>2</v>
      </c>
      <c r="V27" s="86">
        <f>R27*T25+T26*R26+R25*T27</f>
        <v>2.2548961301496252E-5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2.8461776626482047E-6</v>
      </c>
      <c r="AD27" s="28">
        <v>2</v>
      </c>
      <c r="AE27" s="79">
        <f>((($W$25)^M27)*((1-($W$25))^($U$28-M27))*HLOOKUP($U$28,$AV$24:$BF$34,M27+1))*V28</f>
        <v>7.1211959105782431E-5</v>
      </c>
      <c r="AF27" s="28">
        <v>2</v>
      </c>
      <c r="AG27" s="79">
        <f>((($W$25)^M27)*((1-($W$25))^($U$29-M27))*HLOOKUP($U$29,$AV$24:$BF$34,M27+1))*V29</f>
        <v>7.7954574085977617E-4</v>
      </c>
      <c r="AH27" s="28">
        <v>2</v>
      </c>
      <c r="AI27" s="79">
        <f>((($W$25)^M27)*((1-($W$25))^($U$30-M27))*HLOOKUP($U$30,$AV$24:$BF$34,M27+1))*V30</f>
        <v>4.8766519957145664E-3</v>
      </c>
      <c r="AJ27" s="28">
        <v>2</v>
      </c>
      <c r="AK27" s="79">
        <f>((($W$25)^M27)*((1-($W$25))^($U$31-M27))*HLOOKUP($U$31,$AV$24:$BF$34,M27+1))*V31</f>
        <v>1.9069057953438762E-2</v>
      </c>
      <c r="AL27" s="28">
        <v>2</v>
      </c>
      <c r="AM27" s="79">
        <f>((($W$25)^Q27)*((1-($W$25))^($U$32-Q27))*HLOOKUP($U$32,$AV$24:$BF$34,Q27+1))*V32</f>
        <v>4.7730887692208797E-2</v>
      </c>
      <c r="AN27" s="28">
        <v>2</v>
      </c>
      <c r="AO27" s="79">
        <f>((($W$25)^Q27)*((1-($W$25))^($U$33-Q27))*HLOOKUP($U$33,$AV$24:$BF$34,Q27+1))*V33</f>
        <v>7.4699137512740196E-2</v>
      </c>
      <c r="AP27" s="28">
        <v>2</v>
      </c>
      <c r="AQ27" s="79">
        <f>((($W$25)^Q27)*((1-($W$25))^($U$34-Q27))*HLOOKUP($U$34,$AV$24:$BF$34,Q27+1))*V34</f>
        <v>6.6866469912917087E-2</v>
      </c>
      <c r="AR27" s="28">
        <v>2</v>
      </c>
      <c r="AS27" s="79">
        <f>((($W$25)^Q27)*((1-($W$25))^($U$35-Q27))*HLOOKUP($U$35,$AV$24:$BF$34,Q27+1))*V35</f>
        <v>2.556087904911274E-2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4.8763238406880865E-4</v>
      </c>
      <c r="BP27">
        <f>BP21+1</f>
        <v>7</v>
      </c>
      <c r="BQ27">
        <v>3</v>
      </c>
      <c r="BR27" s="107">
        <f t="shared" si="14"/>
        <v>4.5630403093249797E-3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0.25077205510990641</v>
      </c>
      <c r="I28" s="93">
        <v>3</v>
      </c>
      <c r="J28" s="86">
        <f t="shared" si="15"/>
        <v>0.26669922945017699</v>
      </c>
      <c r="K28" s="93">
        <v>3</v>
      </c>
      <c r="L28" s="86">
        <f>V20</f>
        <v>5.8107489238000132E-3</v>
      </c>
      <c r="M28" s="85">
        <v>3</v>
      </c>
      <c r="N28" s="71">
        <f>(($B$24)^M28)*((1-($B$24))^($B$21-M28))*HLOOKUP($B$21,$AV$24:$BF$34,M28+1)</f>
        <v>0.16650439996850164</v>
      </c>
      <c r="O28" s="72">
        <v>3</v>
      </c>
      <c r="P28" s="71">
        <f t="shared" si="16"/>
        <v>0.16650439996850164</v>
      </c>
      <c r="Q28" s="28">
        <v>3</v>
      </c>
      <c r="R28" s="37">
        <f>P25*N28+P26*N27+P27*N26+P28*N25</f>
        <v>2.9157791359597101E-4</v>
      </c>
      <c r="S28" s="72">
        <v>3</v>
      </c>
      <c r="T28" s="135">
        <f t="shared" si="17"/>
        <v>3.8068172229039952E-7</v>
      </c>
      <c r="U28" s="93">
        <v>3</v>
      </c>
      <c r="V28" s="86">
        <f>R28*T25+R27*T26+R26*T27+R25*T28</f>
        <v>2.916912510444559E-4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1.3080567916583423E-5</v>
      </c>
      <c r="AF28" s="28">
        <v>3</v>
      </c>
      <c r="AG28" s="79">
        <f>((($W$25)^M28)*((1-($W$25))^($U$29-M28))*HLOOKUP($U$29,$AV$24:$BF$34,M28+1))*V29</f>
        <v>2.8638170148507125E-4</v>
      </c>
      <c r="AH28" s="28">
        <v>3</v>
      </c>
      <c r="AI28" s="79">
        <f>((($W$25)^M28)*((1-($W$25))^($U$30-M28))*HLOOKUP($U$30,$AV$24:$BF$34,M28+1))*V30</f>
        <v>2.6873033028369576E-3</v>
      </c>
      <c r="AJ28" s="28">
        <v>3</v>
      </c>
      <c r="AK28" s="79">
        <f>((($W$25)^M28)*((1-($W$25))^($U$31-M28))*HLOOKUP($U$31,$AV$24:$BF$34,M28+1))*V31</f>
        <v>1.4010798792640824E-2</v>
      </c>
      <c r="AL28" s="28">
        <v>3</v>
      </c>
      <c r="AM28" s="79">
        <f>((($W$25)^Q28)*((1-($W$25))^($U$32-Q28))*HLOOKUP($U$32,$AV$24:$BF$34,Q28+1))*V32</f>
        <v>4.3837237875264112E-2</v>
      </c>
      <c r="AN28" s="28">
        <v>3</v>
      </c>
      <c r="AO28" s="79">
        <f>((($W$25)^Q28)*((1-($W$25))^($U$33-Q28))*HLOOKUP($U$33,$AV$24:$BF$34,Q28+1))*V33</f>
        <v>8.2326661460961945E-2</v>
      </c>
      <c r="AP28" s="28">
        <v>3</v>
      </c>
      <c r="AQ28" s="79">
        <f>((($W$25)^Q28)*((1-($W$25))^($U$34-Q28))*HLOOKUP($U$34,$AV$24:$BF$34,Q28+1))*V34</f>
        <v>8.5976567477547533E-2</v>
      </c>
      <c r="AR28" s="28">
        <v>3</v>
      </c>
      <c r="AS28" s="79">
        <f>((($W$25)^Q28)*((1-($W$25))^($U$35-Q28))*HLOOKUP($U$35,$AV$24:$BF$34,Q28+1))*V35</f>
        <v>3.7561198271523932E-2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8.1417855993018705E-5</v>
      </c>
      <c r="BP28">
        <f>BP22+1</f>
        <v>7</v>
      </c>
      <c r="BQ28">
        <v>4</v>
      </c>
      <c r="BR28" s="107">
        <f t="shared" si="14"/>
        <v>2.3348004585575584E-3</v>
      </c>
    </row>
    <row r="29" spans="1:70" x14ac:dyDescent="0.25">
      <c r="A29" s="26" t="s">
        <v>27</v>
      </c>
      <c r="B29" s="123">
        <f>1/(1+EXP(-3.1416*4*((B14/(B14+C13))-(3.1416/6))))</f>
        <v>8.7975616111261368E-2</v>
      </c>
      <c r="C29" s="118">
        <f>1/(1+EXP(-3.1416*4*((C14/(C14+B13))-(3.1416/6))))</f>
        <v>0.61530727121310358</v>
      </c>
      <c r="D29" s="153">
        <v>0.04</v>
      </c>
      <c r="E29" s="153">
        <v>0.04</v>
      </c>
      <c r="G29" s="87">
        <v>4</v>
      </c>
      <c r="H29" s="128">
        <f>J29*L25+J28*L26+J27*L27+J26*L28</f>
        <v>0.21656088677196314</v>
      </c>
      <c r="I29" s="93">
        <v>4</v>
      </c>
      <c r="J29" s="86">
        <f t="shared" si="15"/>
        <v>0.19472401168005998</v>
      </c>
      <c r="K29" s="93">
        <v>4</v>
      </c>
      <c r="L29" s="86"/>
      <c r="M29" s="85">
        <v>4</v>
      </c>
      <c r="N29" s="71">
        <f>(($B$24)^M29)*((1-($B$24))^($B$21-M29))*HLOOKUP($B$21,$AV$24:$BF$34,M29+1)</f>
        <v>0.40378954425677599</v>
      </c>
      <c r="O29" s="72">
        <v>4</v>
      </c>
      <c r="P29" s="71">
        <f t="shared" si="16"/>
        <v>0.40378954425677599</v>
      </c>
      <c r="Q29" s="28">
        <v>4</v>
      </c>
      <c r="R29" s="37">
        <f>P25*N29+P26*N28+P27*N27+P28*N26+P29*N25</f>
        <v>2.4748679016281848E-3</v>
      </c>
      <c r="S29" s="72">
        <v>4</v>
      </c>
      <c r="T29" s="135">
        <f t="shared" si="17"/>
        <v>2.5506313051283046E-9</v>
      </c>
      <c r="U29" s="93">
        <v>4</v>
      </c>
      <c r="V29" s="86">
        <f>T29*R25+T28*R26+T27*R27+T26*R28+T25*R29</f>
        <v>2.4763342562131351E-3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3.9453014739886744E-5</v>
      </c>
      <c r="AH29" s="28">
        <v>4</v>
      </c>
      <c r="AI29" s="79">
        <f>((($W$25)^M29)*((1-($W$25))^($U$30-M29))*HLOOKUP($U$30,$AV$24:$BF$34,M29+1))*V30</f>
        <v>7.4042591595468695E-4</v>
      </c>
      <c r="AJ29" s="28">
        <v>4</v>
      </c>
      <c r="AK29" s="79">
        <f>((($W$25)^M29)*((1-($W$25))^($U$31-M29))*HLOOKUP($U$31,$AV$24:$BF$34,M29+1))*V31</f>
        <v>5.7905401960096359E-3</v>
      </c>
      <c r="AL29" s="28">
        <v>4</v>
      </c>
      <c r="AM29" s="79">
        <f>((($W$25)^Q29)*((1-($W$25))^($U$32-Q29))*HLOOKUP($U$32,$AV$24:$BF$34,Q29+1))*V32</f>
        <v>2.4156727655155353E-2</v>
      </c>
      <c r="AN29" s="28">
        <v>4</v>
      </c>
      <c r="AO29" s="79">
        <f>((($W$25)^Q29)*((1-($W$25))^($U$33-Q29))*HLOOKUP($U$33,$AV$24:$BF$34,Q29+1))*V33</f>
        <v>5.6708144606688736E-2</v>
      </c>
      <c r="AP29" s="28">
        <v>4</v>
      </c>
      <c r="AQ29" s="79">
        <f>((($W$25)^Q29)*((1-($W$25))^($U$34-Q29))*HLOOKUP($U$34,$AV$24:$BF$34,Q29+1))*V34</f>
        <v>7.1066721785366022E-2</v>
      </c>
      <c r="AR29" s="28">
        <v>4</v>
      </c>
      <c r="AS29" s="79">
        <f>((($W$25)^Q29)*((1-($W$25))^($U$35-Q29))*HLOOKUP($U$35,$AV$24:$BF$34,Q29+1))*V35</f>
        <v>3.6221998506145645E-2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1.0537862877537105E-5</v>
      </c>
      <c r="BP29">
        <f>BP23+1</f>
        <v>7</v>
      </c>
      <c r="BQ29">
        <v>5</v>
      </c>
      <c r="BR29" s="107">
        <f t="shared" si="14"/>
        <v>8.6492580112528135E-4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0.13383016634036668</v>
      </c>
      <c r="I30" s="93">
        <v>5</v>
      </c>
      <c r="J30" s="86">
        <f t="shared" si="15"/>
        <v>9.745846470597902E-2</v>
      </c>
      <c r="K30" s="93">
        <v>5</v>
      </c>
      <c r="L30" s="86"/>
      <c r="M30" s="85">
        <v>5</v>
      </c>
      <c r="N30" s="71">
        <f>(($B$24)^M30)*((1-($B$24))^($B$21-M30))*HLOOKUP($B$21,$AV$24:$BF$34,M30+1)</f>
        <v>0.39169174167634963</v>
      </c>
      <c r="O30" s="72">
        <v>5</v>
      </c>
      <c r="P30" s="71">
        <f t="shared" si="16"/>
        <v>0.39169174167634963</v>
      </c>
      <c r="Q30" s="28">
        <v>5</v>
      </c>
      <c r="R30" s="37">
        <f>P25*N30+P26*N29+P27*N28+P28*N27+P29*N26+P30*N25</f>
        <v>1.4404315306260469E-2</v>
      </c>
      <c r="S30" s="72">
        <v>5</v>
      </c>
      <c r="T30" s="135">
        <f t="shared" si="17"/>
        <v>1.6021553424172769E-11</v>
      </c>
      <c r="U30" s="93">
        <v>5</v>
      </c>
      <c r="V30" s="86">
        <f>T30*R25+T29*R26+T28*R27+T27*R28+T26*R29+T25*R30</f>
        <v>1.4416766562749228E-2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8.1603075683876238E-5</v>
      </c>
      <c r="AJ30" s="28">
        <v>5</v>
      </c>
      <c r="AK30" s="79">
        <f>((($W$25)^M30)*((1-($W$25))^($U$31-M30))*HLOOKUP($U$31,$AV$24:$BF$34,M30+1))*V31</f>
        <v>1.2763623738270659E-3</v>
      </c>
      <c r="AL30" s="28">
        <v>5</v>
      </c>
      <c r="AM30" s="79">
        <f>((($W$25)^Q30)*((1-($W$25))^($U$32-Q30))*HLOOKUP($U$32,$AV$24:$BF$34,Q30+1))*V32</f>
        <v>7.9870108513559936E-3</v>
      </c>
      <c r="AN30" s="28">
        <v>5</v>
      </c>
      <c r="AO30" s="79">
        <f>((($W$25)^Q30)*((1-($W$25))^($U$33-Q30))*HLOOKUP($U$33,$AV$24:$BF$34,Q30+1))*V33</f>
        <v>2.4999443787783463E-2</v>
      </c>
      <c r="AP30" s="28">
        <v>5</v>
      </c>
      <c r="AQ30" s="79">
        <f>((($W$25)^Q30)*((1-($W$25))^($U$34-Q30))*HLOOKUP($U$34,$AV$24:$BF$34,Q30+1))*V34</f>
        <v>3.9161670002992623E-2</v>
      </c>
      <c r="AR30" s="28">
        <v>5</v>
      </c>
      <c r="AS30" s="79">
        <f>((($W$25)^Q30)*((1-($W$25))^($U$35-Q30))*HLOOKUP($U$35,$AV$24:$BF$34,Q30+1))*V35</f>
        <v>2.3952374614336004E-2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1.0298925661655651E-6</v>
      </c>
      <c r="BP30">
        <f>BL10+1</f>
        <v>7</v>
      </c>
      <c r="BQ30">
        <v>6</v>
      </c>
      <c r="BR30" s="107">
        <f t="shared" si="14"/>
        <v>2.4093974796016485E-4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0.35527752303765842</v>
      </c>
      <c r="C31" s="61">
        <f>(C25*E25)+(C26*E26)+(C27*E27)+(C28*E28)+(C29*E29)+(C30*E30)/(C25+C26+C27+C28+C29+C30)</f>
        <v>0.42348411510016115</v>
      </c>
      <c r="G31" s="87">
        <v>6</v>
      </c>
      <c r="H31" s="128">
        <f>J31*L25+J30*L26+J29*L27+J28*L28</f>
        <v>6.1002126404634392E-2</v>
      </c>
      <c r="I31" s="93">
        <v>6</v>
      </c>
      <c r="J31" s="86">
        <f t="shared" si="15"/>
        <v>3.385840313493587E-2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5.8219801938628607E-2</v>
      </c>
      <c r="S31" s="70">
        <v>6</v>
      </c>
      <c r="T31" s="135">
        <f t="shared" si="17"/>
        <v>9.6612382457323207E-14</v>
      </c>
      <c r="U31" s="93">
        <v>6</v>
      </c>
      <c r="V31" s="86">
        <f>T31*R25+T30*R26+T29*R27+T28*R28+T27*R29+T26*R30+T25*R31</f>
        <v>5.8292310533857861E-2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1.1722430422266598E-4</v>
      </c>
      <c r="AL31" s="28">
        <v>6</v>
      </c>
      <c r="AM31" s="79">
        <f>((($W$25)^Q31)*((1-($W$25))^($U$32-Q31))*HLOOKUP($U$32,$AV$24:$BF$34,Q31+1))*V32</f>
        <v>1.4670939994286367E-3</v>
      </c>
      <c r="AN31" s="28">
        <v>6</v>
      </c>
      <c r="AO31" s="79">
        <f>((($W$25)^Q31)*((1-($W$25))^($U$33-Q31))*HLOOKUP($U$33,$AV$24:$BF$34,Q31+1))*V33</f>
        <v>6.8880338313082184E-3</v>
      </c>
      <c r="AP31" s="28">
        <v>6</v>
      </c>
      <c r="AQ31" s="79">
        <f>((($W$25)^Q31)*((1-($W$25))^($U$34-Q31))*HLOOKUP($U$34,$AV$24:$BF$34,Q31+1))*V34</f>
        <v>1.4386821838170086E-2</v>
      </c>
      <c r="AR31" s="28">
        <v>6</v>
      </c>
      <c r="AS31" s="79">
        <f>((($W$25)^Q31)*((1-($W$25))^($U$35-Q31))*HLOOKUP($U$35,$AV$24:$BF$34,Q31+1))*V35</f>
        <v>1.099922916180626E-2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2.8104960130085895E-2</v>
      </c>
      <c r="BP31">
        <f t="shared" ref="BP31:BP37" si="21">BP24+1</f>
        <v>8</v>
      </c>
      <c r="BQ31">
        <v>0</v>
      </c>
      <c r="BR31" s="107">
        <f t="shared" ref="BR31:BR38" si="22">$H$33*H39</f>
        <v>4.6362425797131672E-4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2.0832718016819379E-2</v>
      </c>
      <c r="I32" s="93">
        <v>7</v>
      </c>
      <c r="J32" s="86">
        <f t="shared" si="15"/>
        <v>8.0611897516037478E-3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0.16135856587207015</v>
      </c>
      <c r="S32" s="72">
        <v>7</v>
      </c>
      <c r="T32" s="135">
        <f t="shared" si="17"/>
        <v>5.6640425226236405E-16</v>
      </c>
      <c r="U32" s="93">
        <v>7</v>
      </c>
      <c r="V32" s="86">
        <f>T32*R25+T31*R26+T30*R27+T29*R28+T28*R29+T27*R30+T26*R31+T25*R32</f>
        <v>0.1616518561060398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1.1549277641714067E-4</v>
      </c>
      <c r="AN32" s="28">
        <v>7</v>
      </c>
      <c r="AO32" s="79">
        <f>((($W$25)^Q32)*((1-($W$25))^($U$33-Q32))*HLOOKUP($U$33,$AV$24:$BF$34,Q32+1))*V33</f>
        <v>1.0844815009028697E-3</v>
      </c>
      <c r="AP32" s="28">
        <v>7</v>
      </c>
      <c r="AQ32" s="79">
        <f>((($W$25)^Q32)*((1-($W$25))^($U$34-Q32))*HLOOKUP($U$34,$AV$24:$BF$34,Q32+1))*V34</f>
        <v>3.3976841263534262E-3</v>
      </c>
      <c r="AR32" s="28">
        <v>7</v>
      </c>
      <c r="AS32" s="79">
        <f>((($W$25)^Q32)*((1-($W$25))^($U$35-Q32))*HLOOKUP($U$35,$AV$24:$BF$34,Q32+1))*V35</f>
        <v>3.4635313479303102E-3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1.0411470096732196E-2</v>
      </c>
      <c r="BP32">
        <f t="shared" si="21"/>
        <v>8</v>
      </c>
      <c r="BQ32">
        <v>1</v>
      </c>
      <c r="BR32" s="107">
        <f t="shared" si="22"/>
        <v>1.2590857834581688E-3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0.59499999999999997</v>
      </c>
      <c r="G33" s="87">
        <v>8</v>
      </c>
      <c r="H33" s="128">
        <f>J33*L25+J32*L26+J31*L27+J30*L28</f>
        <v>5.3574682116886655E-3</v>
      </c>
      <c r="I33" s="93">
        <v>8</v>
      </c>
      <c r="J33" s="86">
        <f t="shared" si="15"/>
        <v>1.2585023496703683E-3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0.29348279289197077</v>
      </c>
      <c r="S33" s="72">
        <v>8</v>
      </c>
      <c r="T33" s="135">
        <f t="shared" si="17"/>
        <v>3.2528600273502595E-18</v>
      </c>
      <c r="U33" s="93">
        <v>8</v>
      </c>
      <c r="V33" s="86">
        <f>T33*R25+T32*R26+T31*R27+T30*R28+T29*R29+T28*R30+T27*R31+T26*R32+T25*R33</f>
        <v>0.29429658576621803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7.4701114663371397E-5</v>
      </c>
      <c r="AP33" s="28">
        <v>8</v>
      </c>
      <c r="AQ33" s="79">
        <f>((($W$25)^Q33)*((1-($W$25))^($U$34-Q33))*HLOOKUP($U$34,$AV$24:$BF$34,Q33+1))*V34</f>
        <v>4.6807767822934309E-4</v>
      </c>
      <c r="AR33" s="28">
        <v>8</v>
      </c>
      <c r="AS33" s="79">
        <f>((($W$25)^Q33)*((1-($W$25))^($U$35-Q33))*HLOOKUP($U$35,$AV$24:$BF$34,Q33+1))*V35</f>
        <v>7.1572355677765385E-4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2.9002915368437437E-3</v>
      </c>
      <c r="BP33">
        <f t="shared" si="21"/>
        <v>8</v>
      </c>
      <c r="BQ33">
        <v>2</v>
      </c>
      <c r="BR33" s="107">
        <f t="shared" si="22"/>
        <v>1.5606518971305057E-3</v>
      </c>
    </row>
    <row r="34" spans="1:70" x14ac:dyDescent="0.25">
      <c r="A34" s="40" t="s">
        <v>86</v>
      </c>
      <c r="B34" s="56">
        <f>B23*2</f>
        <v>8.2906557606476738</v>
      </c>
      <c r="C34" s="57">
        <f>C23*2</f>
        <v>1.7093442393523262</v>
      </c>
      <c r="G34" s="87">
        <v>9</v>
      </c>
      <c r="H34" s="128">
        <f>J34*L25+J33*L26+J32*L27+J31*L28</f>
        <v>1.03218688993717E-3</v>
      </c>
      <c r="I34" s="93">
        <v>9</v>
      </c>
      <c r="J34" s="86">
        <f t="shared" si="15"/>
        <v>1.1630473008643638E-4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0.31632205972127209</v>
      </c>
      <c r="S34" s="72">
        <v>9</v>
      </c>
      <c r="T34" s="135">
        <f t="shared" si="17"/>
        <v>1.8389284074216291E-20</v>
      </c>
      <c r="U34" s="93">
        <v>9</v>
      </c>
      <c r="V34" s="86">
        <f>T34*R25+T33*R26+T32*R27+T31*R28+T30*R29+T29*R30+T28*R31+T27*R32+T26*R33+T25*R34</f>
        <v>0.31780501904197656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2.8659614373762484E-5</v>
      </c>
      <c r="AR34" s="28">
        <v>9</v>
      </c>
      <c r="AS34" s="79">
        <f>((($W$25)^Q34)*((1-($W$25))^($U$35-Q34))*HLOOKUP($U$35,$AV$24:$BF$34,Q34+1))*V35</f>
        <v>8.7645115712673891E-5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6.2201001533366336E-4</v>
      </c>
      <c r="BP34">
        <f t="shared" si="21"/>
        <v>8</v>
      </c>
      <c r="BQ34">
        <v>3</v>
      </c>
      <c r="BR34" s="107">
        <f t="shared" si="22"/>
        <v>1.1734591418232484E-3</v>
      </c>
    </row>
    <row r="35" spans="1:70" ht="15.75" thickBot="1" x14ac:dyDescent="0.3">
      <c r="G35" s="88">
        <v>10</v>
      </c>
      <c r="H35" s="129">
        <f>J35*L25+J34*L26+J33*L27+J32*L28</f>
        <v>1.461723528851239E-4</v>
      </c>
      <c r="I35" s="94">
        <v>10</v>
      </c>
      <c r="J35" s="89">
        <f t="shared" si="15"/>
        <v>4.8297276315630199E-6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0.15342242049745219</v>
      </c>
      <c r="S35" s="72">
        <v>10</v>
      </c>
      <c r="T35" s="135">
        <f t="shared" si="17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0.15074583322628021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4.8297276315630199E-6</v>
      </c>
      <c r="BH35">
        <f t="shared" si="19"/>
        <v>3</v>
      </c>
      <c r="BI35">
        <v>8</v>
      </c>
      <c r="BJ35" s="107">
        <f t="shared" si="20"/>
        <v>1.0385430399861525E-4</v>
      </c>
      <c r="BP35">
        <f t="shared" si="21"/>
        <v>8</v>
      </c>
      <c r="BQ35">
        <v>4</v>
      </c>
      <c r="BR35" s="107">
        <f t="shared" si="22"/>
        <v>6.0043145725197035E-4</v>
      </c>
    </row>
    <row r="36" spans="1:70" x14ac:dyDescent="0.25">
      <c r="A36" s="1"/>
      <c r="B36" s="108">
        <f>SUM(B37:B39)</f>
        <v>0.99983794146261273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1.3441798502693343E-5</v>
      </c>
      <c r="BP36">
        <f t="shared" si="21"/>
        <v>8</v>
      </c>
      <c r="BQ36">
        <v>5</v>
      </c>
      <c r="BR36" s="107">
        <f t="shared" si="22"/>
        <v>2.2242956878007567E-4</v>
      </c>
    </row>
    <row r="37" spans="1:70" ht="15.75" thickBot="1" x14ac:dyDescent="0.3">
      <c r="A37" s="109" t="s">
        <v>104</v>
      </c>
      <c r="B37" s="107">
        <f>SUM(BN4:BN14)</f>
        <v>0.16651659140717057</v>
      </c>
      <c r="G37" s="13"/>
      <c r="H37" s="59">
        <f>SUM(H39:H49)</f>
        <v>0.99999961695290795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1.0000000000000002</v>
      </c>
      <c r="U37" s="13"/>
      <c r="V37" s="59">
        <f>SUM(V39:V48)</f>
        <v>0.99789510953189153</v>
      </c>
      <c r="W37" s="13"/>
      <c r="X37" s="13"/>
      <c r="Y37" s="80">
        <f>SUM(Y39:Y49)</f>
        <v>1.6717215704818099E-3</v>
      </c>
      <c r="Z37" s="81"/>
      <c r="AA37" s="80">
        <f>SUM(AA39:AA49)</f>
        <v>1.5726638878299795E-2</v>
      </c>
      <c r="AB37" s="81"/>
      <c r="AC37" s="80">
        <f>SUM(AC39:AC49)</f>
        <v>6.459803403289166E-2</v>
      </c>
      <c r="AD37" s="81"/>
      <c r="AE37" s="80">
        <f>SUM(AE39:AE49)</f>
        <v>0.1526499618183762</v>
      </c>
      <c r="AF37" s="81"/>
      <c r="AG37" s="80">
        <f>SUM(AG39:AG49)</f>
        <v>0.23080181724839982</v>
      </c>
      <c r="AH37" s="81"/>
      <c r="AI37" s="80">
        <f>SUM(AI39:AI49)</f>
        <v>0.2358903954186311</v>
      </c>
      <c r="AJ37" s="81"/>
      <c r="AK37" s="80">
        <f>SUM(AK39:AK49)</f>
        <v>0.16869842745228689</v>
      </c>
      <c r="AL37" s="81"/>
      <c r="AM37" s="80">
        <f>SUM(AM39:AM49)</f>
        <v>8.6543378576979788E-2</v>
      </c>
      <c r="AN37" s="81"/>
      <c r="AO37" s="80">
        <f>SUM(AO39:AO49)</f>
        <v>3.2391770201837977E-2</v>
      </c>
      <c r="AP37" s="81"/>
      <c r="AQ37" s="80">
        <f>SUM(AQ39:AQ49)</f>
        <v>8.9229643337066962E-3</v>
      </c>
      <c r="AR37" s="81"/>
      <c r="AS37" s="80">
        <f>SUM(AS39:AS49)</f>
        <v>2.1048904681084668E-3</v>
      </c>
      <c r="BH37">
        <f t="shared" si="19"/>
        <v>3</v>
      </c>
      <c r="BI37">
        <v>10</v>
      </c>
      <c r="BJ37" s="107">
        <f t="shared" si="20"/>
        <v>1.3137016978394015E-6</v>
      </c>
      <c r="BP37">
        <f t="shared" si="21"/>
        <v>8</v>
      </c>
      <c r="BQ37">
        <v>6</v>
      </c>
      <c r="BR37" s="107">
        <f t="shared" si="22"/>
        <v>6.1961527995852862E-5</v>
      </c>
    </row>
    <row r="38" spans="1:70" ht="15.75" thickBot="1" x14ac:dyDescent="0.3">
      <c r="A38" s="110" t="s">
        <v>105</v>
      </c>
      <c r="B38" s="107">
        <f>SUM(BJ4:BJ59)</f>
        <v>0.21984653671485158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8.9911022811529837E-3</v>
      </c>
      <c r="BP38">
        <f>BL11+1</f>
        <v>8</v>
      </c>
      <c r="BQ38">
        <v>7</v>
      </c>
      <c r="BR38" s="107">
        <f t="shared" si="22"/>
        <v>1.3288557542990917E-5</v>
      </c>
    </row>
    <row r="39" spans="1:70" x14ac:dyDescent="0.25">
      <c r="A39" s="111" t="s">
        <v>0</v>
      </c>
      <c r="B39" s="107">
        <f>SUM(BR4:BR47)</f>
        <v>0.61347481334059062</v>
      </c>
      <c r="G39" s="130">
        <v>0</v>
      </c>
      <c r="H39" s="131">
        <f>L39*J39</f>
        <v>8.6537939125761618E-2</v>
      </c>
      <c r="I39" s="97">
        <v>0</v>
      </c>
      <c r="J39" s="98">
        <f t="shared" ref="J39:J49" si="37">Y39+AA39+AC39+AE39+AG39+AI39+AK39+AM39+AO39+AQ39+AS39</f>
        <v>0.11047191240310004</v>
      </c>
      <c r="K39" s="102">
        <v>0</v>
      </c>
      <c r="L39" s="98">
        <f>AC20</f>
        <v>0.78334788674603595</v>
      </c>
      <c r="M39" s="84">
        <v>0</v>
      </c>
      <c r="N39" s="71">
        <f>(1-$C$24)^$B$21</f>
        <v>0.39169174167634963</v>
      </c>
      <c r="O39" s="70">
        <v>0</v>
      </c>
      <c r="P39" s="71">
        <f>N39</f>
        <v>0.39169174167634963</v>
      </c>
      <c r="Q39" s="12">
        <v>0</v>
      </c>
      <c r="R39" s="73">
        <f>P39*N39</f>
        <v>0.15342242049745219</v>
      </c>
      <c r="S39" s="70">
        <v>0</v>
      </c>
      <c r="T39" s="135">
        <f>(1-$C$33)^(INT(B23*2*(1-B31)))</f>
        <v>1.0896201253125005E-2</v>
      </c>
      <c r="U39" s="140">
        <v>0</v>
      </c>
      <c r="V39" s="86">
        <f>R39*T39</f>
        <v>1.6717215704818099E-3</v>
      </c>
      <c r="W39" s="136">
        <f>C31</f>
        <v>0.42348411510016115</v>
      </c>
      <c r="X39" s="12">
        <v>0</v>
      </c>
      <c r="Y39" s="79">
        <f>V39</f>
        <v>1.6717215704818099E-3</v>
      </c>
      <c r="Z39" s="12">
        <v>0</v>
      </c>
      <c r="AA39" s="78">
        <f>((1-W39)^Z40)*V40</f>
        <v>9.0666571294232157E-3</v>
      </c>
      <c r="AB39" s="12">
        <v>0</v>
      </c>
      <c r="AC39" s="79">
        <f>(((1-$W$39)^AB41))*V41</f>
        <v>2.1470485104403504E-2</v>
      </c>
      <c r="AD39" s="12">
        <v>0</v>
      </c>
      <c r="AE39" s="79">
        <f>(((1-$W$39)^AB42))*V42</f>
        <v>2.9250314103333886E-2</v>
      </c>
      <c r="AF39" s="12">
        <v>0</v>
      </c>
      <c r="AG39" s="79">
        <f>(((1-$W$39)^AB43))*V43</f>
        <v>2.5496721258931283E-2</v>
      </c>
      <c r="AH39" s="12">
        <v>0</v>
      </c>
      <c r="AI39" s="79">
        <f>(((1-$W$39)^AB44))*V44</f>
        <v>1.50233452741827E-2</v>
      </c>
      <c r="AJ39" s="12">
        <v>0</v>
      </c>
      <c r="AK39" s="79">
        <f>(((1-$W$39)^AB45))*V45</f>
        <v>6.1941069878701628E-3</v>
      </c>
      <c r="AL39" s="12">
        <v>0</v>
      </c>
      <c r="AM39" s="79">
        <f>(((1-$W$39)^AB46))*V46</f>
        <v>1.8319465230206022E-3</v>
      </c>
      <c r="AN39" s="12">
        <v>0</v>
      </c>
      <c r="AO39" s="79">
        <f>(((1-$W$39)^AB47))*V47</f>
        <v>3.9529826390038639E-4</v>
      </c>
      <c r="AP39" s="12">
        <v>0</v>
      </c>
      <c r="AQ39" s="79">
        <f>(((1-$W$39)^AB48))*V48</f>
        <v>6.2778460199996032E-5</v>
      </c>
      <c r="AR39" s="12">
        <v>0</v>
      </c>
      <c r="AS39" s="79">
        <f>(((1-$W$39)^AB49))*V49</f>
        <v>8.5377273524985921E-6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2.5046239974419265E-3</v>
      </c>
      <c r="BP39">
        <f t="shared" ref="BP39:BP46" si="38">BP31+1</f>
        <v>9</v>
      </c>
      <c r="BQ39">
        <v>0</v>
      </c>
      <c r="BR39" s="107">
        <f t="shared" ref="BR39:BR47" si="39">$H$34*H39</f>
        <v>8.9323326247792018E-5</v>
      </c>
    </row>
    <row r="40" spans="1:70" x14ac:dyDescent="0.25">
      <c r="G40" s="91">
        <v>1</v>
      </c>
      <c r="H40" s="132">
        <f>L39*J40+L40*J39</f>
        <v>0.23501507311068243</v>
      </c>
      <c r="I40" s="93">
        <v>1</v>
      </c>
      <c r="J40" s="86">
        <f t="shared" si="37"/>
        <v>0.27227347772745514</v>
      </c>
      <c r="K40" s="95">
        <v>1</v>
      </c>
      <c r="L40" s="86">
        <f>AD20</f>
        <v>0.1967035714616342</v>
      </c>
      <c r="M40" s="85">
        <v>1</v>
      </c>
      <c r="N40" s="71">
        <f>(($C$24)^M26)*((1-($C$24))^($B$21-M26))*HLOOKUP($B$21,$AV$24:$BF$34,M26+1)</f>
        <v>0.40378954425677599</v>
      </c>
      <c r="O40" s="72">
        <v>1</v>
      </c>
      <c r="P40" s="71">
        <f t="shared" ref="P40:P44" si="40">N40</f>
        <v>0.40378954425677599</v>
      </c>
      <c r="Q40" s="28">
        <v>1</v>
      </c>
      <c r="R40" s="37">
        <f>P40*N39+P39*N40</f>
        <v>0.31632205972127209</v>
      </c>
      <c r="S40" s="72">
        <v>1</v>
      </c>
      <c r="T40" s="135">
        <f t="shared" ref="T40:T49" si="41">(($C$33)^S40)*((1-($C$33))^(INT($B$23*2*(1-$B$31))-S40))*HLOOKUP(INT($B$23*2*(1-$B$31)),$AV$24:$BF$34,S40+1)</f>
        <v>8.0039996859375018E-2</v>
      </c>
      <c r="U40" s="93">
        <v>1</v>
      </c>
      <c r="V40" s="86">
        <f>R40*T39+T40*R39</f>
        <v>1.5726638878299795E-2</v>
      </c>
      <c r="W40" s="137"/>
      <c r="X40" s="28">
        <v>1</v>
      </c>
      <c r="Y40" s="73"/>
      <c r="Z40" s="28">
        <v>1</v>
      </c>
      <c r="AA40" s="79">
        <f>(1-((1-W39)^Z40))*V40</f>
        <v>6.6599817488765794E-3</v>
      </c>
      <c r="AB40" s="28">
        <v>1</v>
      </c>
      <c r="AC40" s="79">
        <f>((($W$39)^M40)*((1-($W$39))^($U$27-M40))*HLOOKUP($U$27,$AV$24:$BF$34,M40+1))*V41</f>
        <v>3.1542615297717874E-2</v>
      </c>
      <c r="AD40" s="28">
        <v>1</v>
      </c>
      <c r="AE40" s="79">
        <f>((($W$39)^M40)*((1-($W$39))^($U$28-M40))*HLOOKUP($U$28,$AV$24:$BF$34,M40+1))*V42</f>
        <v>6.4458120108542252E-2</v>
      </c>
      <c r="AF40" s="28">
        <v>1</v>
      </c>
      <c r="AG40" s="79">
        <f>((($W$39)^M40)*((1-($W$39))^($U$29-M40))*HLOOKUP($U$29,$AV$24:$BF$34,M40+1))*V43</f>
        <v>7.491523979201288E-2</v>
      </c>
      <c r="AH40" s="28">
        <v>1</v>
      </c>
      <c r="AI40" s="79">
        <f>((($W$39)^M40)*((1-($W$39))^($U$30-M40))*HLOOKUP($U$30,$AV$24:$BF$34,M40+1))*V44</f>
        <v>5.5177560982441767E-2</v>
      </c>
      <c r="AJ40" s="28">
        <v>1</v>
      </c>
      <c r="AK40" s="79">
        <f>((($W$39)^M40)*((1-($W$39))^($U$31-M40))*HLOOKUP($U$31,$AV$24:$BF$34,M40+1))*V45</f>
        <v>2.729956955530875E-2</v>
      </c>
      <c r="AL40" s="28">
        <v>1</v>
      </c>
      <c r="AM40" s="79">
        <f>((($W$39)^Q40)*((1-($W$39))^($U$32-Q40))*HLOOKUP($U$32,$AV$24:$BF$34,Q40+1))*V46</f>
        <v>9.4196914737724249E-3</v>
      </c>
      <c r="AN40" s="28">
        <v>1</v>
      </c>
      <c r="AO40" s="79">
        <f>((($W$39)^Q40)*((1-($W$39))^($U$33-Q40))*HLOOKUP($U$33,$AV$24:$BF$34,Q40+1))*V47</f>
        <v>2.3229546990549111E-3</v>
      </c>
      <c r="AP40" s="28">
        <v>1</v>
      </c>
      <c r="AQ40" s="79">
        <f>((($W$39)^Q40)*((1-($W$39))^($U$34-Q40))*HLOOKUP($U$34,$AV$24:$BF$34,Q40+1))*V48</f>
        <v>4.1502954602523032E-4</v>
      </c>
      <c r="AR40" s="28">
        <v>1</v>
      </c>
      <c r="AS40" s="79">
        <f>((($W$39)^Q40)*((1-($W$39))^($U$35-Q40))*HLOOKUP($U$35,$AV$24:$BF$34,Q40+1))*V49</f>
        <v>6.2714523702455557E-5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5.3715331416279198E-4</v>
      </c>
      <c r="BP40">
        <f t="shared" si="38"/>
        <v>9</v>
      </c>
      <c r="BQ40">
        <v>1</v>
      </c>
      <c r="BR40" s="107">
        <f t="shared" si="39"/>
        <v>2.4257947740247192E-4</v>
      </c>
    </row>
    <row r="41" spans="1:70" x14ac:dyDescent="0.25">
      <c r="G41" s="91">
        <v>2</v>
      </c>
      <c r="H41" s="132">
        <f>L39*J41+J40*L40+J39*L41</f>
        <v>0.29130399574290533</v>
      </c>
      <c r="I41" s="93">
        <v>2</v>
      </c>
      <c r="J41" s="86">
        <f t="shared" si="37"/>
        <v>0.30082930427020066</v>
      </c>
      <c r="K41" s="95">
        <v>2</v>
      </c>
      <c r="L41" s="86">
        <f>AE20</f>
        <v>1.8944457851482899E-2</v>
      </c>
      <c r="M41" s="85">
        <v>2</v>
      </c>
      <c r="N41" s="71">
        <f>(($C$24)^M27)*((1-($C$24))^($B$21-M27))*HLOOKUP($B$21,$AV$24:$BF$34,M27+1)</f>
        <v>0.16650439996850164</v>
      </c>
      <c r="O41" s="72">
        <v>2</v>
      </c>
      <c r="P41" s="71">
        <f t="shared" si="40"/>
        <v>0.16650439996850164</v>
      </c>
      <c r="Q41" s="28">
        <v>2</v>
      </c>
      <c r="R41" s="37">
        <f>P41*N39+P40*N40+P39*N41</f>
        <v>0.29348279289197077</v>
      </c>
      <c r="S41" s="72">
        <v>2</v>
      </c>
      <c r="T41" s="135">
        <f t="shared" si="41"/>
        <v>0.23517925003125006</v>
      </c>
      <c r="U41" s="93">
        <v>2</v>
      </c>
      <c r="V41" s="86">
        <f>R41*T39+T40*R40+R39*T41</f>
        <v>6.459803403289166E-2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1.158493363077028E-2</v>
      </c>
      <c r="AD41" s="28">
        <v>2</v>
      </c>
      <c r="AE41" s="79">
        <f>((($W$39)^M41)*((1-($W$39))^($U$28-M41))*HLOOKUP($U$28,$AV$24:$BF$34,M41+1))*V42</f>
        <v>4.7348200925857183E-2</v>
      </c>
      <c r="AF41" s="28">
        <v>2</v>
      </c>
      <c r="AG41" s="79">
        <f>((($W$39)^M41)*((1-($W$39))^($U$29-M41))*HLOOKUP($U$29,$AV$24:$BF$34,M41+1))*V43</f>
        <v>8.2544336231989812E-2</v>
      </c>
      <c r="AH41" s="28">
        <v>2</v>
      </c>
      <c r="AI41" s="79">
        <f>((($W$39)^M41)*((1-($W$39))^($U$30-M41))*HLOOKUP($U$30,$AV$24:$BF$34,M41+1))*V44</f>
        <v>8.1062191686510673E-2</v>
      </c>
      <c r="AJ41" s="28">
        <v>2</v>
      </c>
      <c r="AK41" s="79">
        <f>((($W$39)^M41)*((1-($W$39))^($U$31-M41))*HLOOKUP($U$31,$AV$24:$BF$34,M41+1))*V45</f>
        <v>5.01327645887579E-2</v>
      </c>
      <c r="AL41" s="28">
        <v>2</v>
      </c>
      <c r="AM41" s="79">
        <f>((($W$39)^Q41)*((1-($W$39))^($U$32-Q41))*HLOOKUP($U$32,$AV$24:$BF$34,Q41+1))*V46</f>
        <v>2.0757917410966543E-2</v>
      </c>
      <c r="AN41" s="28">
        <v>2</v>
      </c>
      <c r="AO41" s="79">
        <f>((($W$39)^Q41)*((1-($W$39))^($U$33-Q41))*HLOOKUP($U$33,$AV$24:$BF$34,Q41+1))*V47</f>
        <v>5.9722039638383751E-3</v>
      </c>
      <c r="AP41" s="28">
        <v>2</v>
      </c>
      <c r="AQ41" s="79">
        <f>((($W$39)^Q41)*((1-($W$39))^($U$34-Q41))*HLOOKUP($U$34,$AV$24:$BF$34,Q41+1))*V48</f>
        <v>1.219452401173312E-3</v>
      </c>
      <c r="AR41" s="28">
        <v>2</v>
      </c>
      <c r="AS41" s="79">
        <f>((($W$39)^Q41)*((1-($W$39))^($U$35-Q41))*HLOOKUP($U$35,$AV$24:$BF$34,Q41+1))*V49</f>
        <v>2.0730343033660711E-4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8.9686150074289863E-5</v>
      </c>
      <c r="BP41">
        <f t="shared" si="38"/>
        <v>9</v>
      </c>
      <c r="BQ41">
        <v>2</v>
      </c>
      <c r="BR41" s="107">
        <f t="shared" si="39"/>
        <v>3.0068016539214009E-4</v>
      </c>
    </row>
    <row r="42" spans="1:70" ht="15" customHeight="1" x14ac:dyDescent="0.25">
      <c r="G42" s="91">
        <v>3</v>
      </c>
      <c r="H42" s="132">
        <f>J42*L39+J41*L40+L42*J39+L41*J40</f>
        <v>0.21903240401185245</v>
      </c>
      <c r="I42" s="93">
        <v>3</v>
      </c>
      <c r="J42" s="86">
        <f t="shared" si="37"/>
        <v>0.19734425991457438</v>
      </c>
      <c r="K42" s="95">
        <v>3</v>
      </c>
      <c r="L42" s="86">
        <f>AF20</f>
        <v>1.0040839408469553E-3</v>
      </c>
      <c r="M42" s="85">
        <v>3</v>
      </c>
      <c r="N42" s="71">
        <f>(($C$24)^M28)*((1-($C$24))^($B$21-M28))*HLOOKUP($B$21,$AV$24:$BF$34,M28+1)</f>
        <v>3.4329411946388617E-2</v>
      </c>
      <c r="O42" s="72">
        <v>3</v>
      </c>
      <c r="P42" s="71">
        <f t="shared" si="40"/>
        <v>3.4329411946388617E-2</v>
      </c>
      <c r="Q42" s="28">
        <v>3</v>
      </c>
      <c r="R42" s="37">
        <f>P42*N39+P41*N40+P40*N41+P39*N42</f>
        <v>0.16135856587207015</v>
      </c>
      <c r="S42" s="72">
        <v>3</v>
      </c>
      <c r="T42" s="135">
        <f t="shared" si="41"/>
        <v>0.34551025621875003</v>
      </c>
      <c r="U42" s="93">
        <v>3</v>
      </c>
      <c r="V42" s="86">
        <f>R42*T39+R41*T40+R40*T41+R39*T42</f>
        <v>0.15264996181837623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1.1593326680642902E-2</v>
      </c>
      <c r="AF42" s="28">
        <v>3</v>
      </c>
      <c r="AG42" s="79">
        <f>((($W$39)^M42)*((1-($W$39))^($U$29-M42))*HLOOKUP($U$29,$AV$24:$BF$34,M42+1))*V43</f>
        <v>4.0422378754065041E-2</v>
      </c>
      <c r="AH42" s="28">
        <v>3</v>
      </c>
      <c r="AI42" s="79">
        <f>((($W$39)^M42)*((1-($W$39))^($U$30-M42))*HLOOKUP($U$30,$AV$24:$BF$34,M42+1))*V44</f>
        <v>5.9544847615787204E-2</v>
      </c>
      <c r="AJ42" s="28">
        <v>3</v>
      </c>
      <c r="AK42" s="79">
        <f>((($W$39)^M42)*((1-($W$39))^($U$31-M42))*HLOOKUP($U$31,$AV$24:$BF$34,M42+1))*V45</f>
        <v>4.910053652862964E-2</v>
      </c>
      <c r="AL42" s="28">
        <v>3</v>
      </c>
      <c r="AM42" s="79">
        <f>((($W$39)^Q42)*((1-($W$39))^($U$32-Q42))*HLOOKUP($U$32,$AV$24:$BF$34,Q42+1))*V46</f>
        <v>2.541314274347832E-2</v>
      </c>
      <c r="AN42" s="28">
        <v>3</v>
      </c>
      <c r="AO42" s="79">
        <f>((($W$39)^Q42)*((1-($W$39))^($U$33-Q42))*HLOOKUP($U$33,$AV$24:$BF$34,Q42+1))*V47</f>
        <v>8.7738554203521009E-3</v>
      </c>
      <c r="AP42" s="28">
        <v>3</v>
      </c>
      <c r="AQ42" s="79">
        <f>((($W$39)^Q42)*((1-($W$39))^($U$34-Q42))*HLOOKUP($U$34,$AV$24:$BF$34,Q42+1))*V48</f>
        <v>2.0901020202022521E-3</v>
      </c>
      <c r="AR42" s="28">
        <v>3</v>
      </c>
      <c r="AS42" s="79">
        <f>((($W$39)^Q42)*((1-($W$39))^($U$35-Q42))*HLOOKUP($U$35,$AV$24:$BF$34,Q42+1))*V49</f>
        <v>4.0607015141691782E-4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1.1608023080073737E-5</v>
      </c>
      <c r="BP42">
        <f t="shared" si="38"/>
        <v>9</v>
      </c>
      <c r="BQ42">
        <v>3</v>
      </c>
      <c r="BR42" s="107">
        <f t="shared" si="39"/>
        <v>2.2608237589245571E-4</v>
      </c>
    </row>
    <row r="43" spans="1:70" ht="15" customHeight="1" x14ac:dyDescent="0.25">
      <c r="G43" s="91">
        <v>4</v>
      </c>
      <c r="H43" s="132">
        <f>J43*L39+J42*L40+J41*L41+J40*L42</f>
        <v>0.11207373213003448</v>
      </c>
      <c r="I43" s="93">
        <v>4</v>
      </c>
      <c r="J43" s="86">
        <f t="shared" si="37"/>
        <v>8.5891567506654429E-2</v>
      </c>
      <c r="K43" s="95">
        <v>4</v>
      </c>
      <c r="L43" s="86"/>
      <c r="M43" s="85">
        <v>4</v>
      </c>
      <c r="N43" s="71">
        <f>(($C$24)^M29)*((1-($C$24))^($B$21-M29))*HLOOKUP($B$21,$AV$24:$BF$34,M29+1)</f>
        <v>3.5389711167026026E-3</v>
      </c>
      <c r="O43" s="72">
        <v>4</v>
      </c>
      <c r="P43" s="71">
        <f t="shared" si="40"/>
        <v>3.5389711167026026E-3</v>
      </c>
      <c r="Q43" s="28">
        <v>4</v>
      </c>
      <c r="R43" s="37">
        <f>P43*N39+P42*N40+P41*N41+P40*N42+P39*N43</f>
        <v>5.8219801938628607E-2</v>
      </c>
      <c r="S43" s="72">
        <v>4</v>
      </c>
      <c r="T43" s="135">
        <f t="shared" si="41"/>
        <v>0.253800743765625</v>
      </c>
      <c r="U43" s="93">
        <v>4</v>
      </c>
      <c r="V43" s="86">
        <f>T43*R39+T42*R40+T41*R41+T40*R42+T39*R43</f>
        <v>0.23080181724839982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7.423141211400806E-3</v>
      </c>
      <c r="AH43" s="28">
        <v>4</v>
      </c>
      <c r="AI43" s="79">
        <f>((($W$39)^M43)*((1-($W$39))^($U$30-M43))*HLOOKUP($U$30,$AV$24:$BF$34,M43+1))*V44</f>
        <v>2.1869559678938024E-2</v>
      </c>
      <c r="AJ43" s="28">
        <v>4</v>
      </c>
      <c r="AK43" s="79">
        <f>((($W$39)^M43)*((1-($W$39))^($U$31-M43))*HLOOKUP($U$31,$AV$24:$BF$34,M43+1))*V45</f>
        <v>2.7050378585469149E-2</v>
      </c>
      <c r="AL43" s="28">
        <v>4</v>
      </c>
      <c r="AM43" s="79">
        <f>((($W$39)^Q43)*((1-($W$39))^($U$32-Q43))*HLOOKUP($U$32,$AV$24:$BF$34,Q43+1))*V46</f>
        <v>1.8667416715682953E-2</v>
      </c>
      <c r="AN43" s="28">
        <v>4</v>
      </c>
      <c r="AO43" s="79">
        <f>((($W$39)^Q43)*((1-($W$39))^($U$33-Q43))*HLOOKUP($U$33,$AV$24:$BF$34,Q43+1))*V47</f>
        <v>8.0561275413731457E-3</v>
      </c>
      <c r="AP43" s="28">
        <v>4</v>
      </c>
      <c r="AQ43" s="79">
        <f>((($W$39)^Q43)*((1-($W$39))^($U$34-Q43))*HLOOKUP($U$34,$AV$24:$BF$34,Q43+1))*V48</f>
        <v>2.3029504329655742E-3</v>
      </c>
      <c r="AR43" s="28">
        <v>4</v>
      </c>
      <c r="AS43" s="79">
        <f>((($W$39)^Q43)*((1-($W$39))^($U$35-Q43))*HLOOKUP($U$35,$AV$24:$BF$34,Q43+1))*V49</f>
        <v>5.2199334082477498E-4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1.1344820877798664E-6</v>
      </c>
      <c r="BP43">
        <f t="shared" si="38"/>
        <v>9</v>
      </c>
      <c r="BQ43">
        <v>4</v>
      </c>
      <c r="BR43" s="107">
        <f t="shared" si="39"/>
        <v>1.1568103701095178E-4</v>
      </c>
    </row>
    <row r="44" spans="1:70" ht="15" customHeight="1" thickBot="1" x14ac:dyDescent="0.3">
      <c r="G44" s="91">
        <v>5</v>
      </c>
      <c r="H44" s="132">
        <f>J44*L39+J43*L40+J42*L41+J41*L42</f>
        <v>4.1517664686239214E-2</v>
      </c>
      <c r="I44" s="93">
        <v>5</v>
      </c>
      <c r="J44" s="86">
        <f t="shared" si="37"/>
        <v>2.6274212339041304E-2</v>
      </c>
      <c r="K44" s="95">
        <v>5</v>
      </c>
      <c r="L44" s="86"/>
      <c r="M44" s="85">
        <v>5</v>
      </c>
      <c r="N44" s="71">
        <f>(($C$24)^M30)*((1-($C$24))^($B$21-M30))*HLOOKUP($B$21,$AV$24:$BF$34,M30+1)</f>
        <v>1.4593103528151515E-4</v>
      </c>
      <c r="O44" s="72">
        <v>5</v>
      </c>
      <c r="P44" s="71">
        <f t="shared" si="40"/>
        <v>1.4593103528151515E-4</v>
      </c>
      <c r="Q44" s="28">
        <v>5</v>
      </c>
      <c r="R44" s="37">
        <f>P44*N39+P43*N40+P42*N41+P41*N42+P40*N43+P39*N44</f>
        <v>1.4404315306260469E-2</v>
      </c>
      <c r="S44" s="72">
        <v>5</v>
      </c>
      <c r="T44" s="135">
        <f t="shared" si="41"/>
        <v>7.4573551871874991E-2</v>
      </c>
      <c r="U44" s="93">
        <v>5</v>
      </c>
      <c r="V44" s="86">
        <f>T44*R39+T43*R40+T42*R41+T41*R42+T40*R43+T39*R44</f>
        <v>0.2358903954186311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3.2128901807707412E-3</v>
      </c>
      <c r="AJ44" s="28">
        <v>5</v>
      </c>
      <c r="AK44" s="79">
        <f>((($W$39)^M44)*((1-($W$39))^($U$31-M44))*HLOOKUP($U$31,$AV$24:$BF$34,M44+1))*V45</f>
        <v>7.9480242875749792E-3</v>
      </c>
      <c r="AL44" s="28">
        <v>5</v>
      </c>
      <c r="AM44" s="79">
        <f>((($W$39)^Q44)*((1-($W$39))^($U$32-Q44))*HLOOKUP($U$32,$AV$24:$BF$34,Q44+1))*V46</f>
        <v>8.2273755045834222E-3</v>
      </c>
      <c r="AN44" s="28">
        <v>5</v>
      </c>
      <c r="AO44" s="79">
        <f>((($W$39)^Q44)*((1-($W$39))^($U$33-Q44))*HLOOKUP($U$33,$AV$24:$BF$34,Q44+1))*V47</f>
        <v>4.7341516615247003E-3</v>
      </c>
      <c r="AP44" s="28">
        <v>5</v>
      </c>
      <c r="AQ44" s="79">
        <f>((($W$39)^Q44)*((1-($W$39))^($U$34-Q44))*HLOOKUP($U$34,$AV$24:$BF$34,Q44+1))*V48</f>
        <v>1.6916497043154273E-3</v>
      </c>
      <c r="AR44" s="28">
        <v>5</v>
      </c>
      <c r="AS44" s="79">
        <f>((($W$39)^Q44)*((1-($W$39))^($U$35-Q44))*HLOOKUP($U$35,$AV$24:$BF$34,Q44+1))*V49</f>
        <v>4.6012100027202938E-4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1.5478060290299975E-3</v>
      </c>
      <c r="BP44">
        <f t="shared" si="38"/>
        <v>9</v>
      </c>
      <c r="BQ44">
        <v>5</v>
      </c>
      <c r="BR44" s="107">
        <f t="shared" si="39"/>
        <v>4.2853989189943523E-5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1.1565449489866909E-2</v>
      </c>
      <c r="I45" s="93">
        <v>6</v>
      </c>
      <c r="J45" s="86">
        <f t="shared" si="37"/>
        <v>5.8363579964468663E-3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2.4748679016281848E-3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0.16869842745228683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9.7304691867627316E-4</v>
      </c>
      <c r="AL45" s="28">
        <v>6</v>
      </c>
      <c r="AM45" s="79">
        <f>((($W$39)^Q45)*((1-($W$39))^($U$32-Q45))*HLOOKUP($U$32,$AV$24:$BF$34,Q45+1))*V46</f>
        <v>2.0144936889643405E-3</v>
      </c>
      <c r="AN45" s="28">
        <v>6</v>
      </c>
      <c r="AO45" s="79">
        <f>((($W$39)^Q45)*((1-($W$39))^($U$33-Q45))*HLOOKUP($U$33,$AV$24:$BF$34,Q45+1))*V47</f>
        <v>1.7387535015440697E-3</v>
      </c>
      <c r="AP45" s="28">
        <v>6</v>
      </c>
      <c r="AQ45" s="79">
        <f>((($W$39)^Q45)*((1-($W$39))^($U$34-Q45))*HLOOKUP($U$34,$AV$24:$BF$34,Q45+1))*V48</f>
        <v>8.2840941230489498E-4</v>
      </c>
      <c r="AR45" s="28">
        <v>6</v>
      </c>
      <c r="AS45" s="79">
        <f>((($W$39)^Q45)*((1-($W$39))^($U$35-Q45))*HLOOKUP($U$35,$AV$24:$BF$34,Q45+1))*V49</f>
        <v>2.8165447495728926E-4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3.3194968147864321E-4</v>
      </c>
      <c r="BP45">
        <f t="shared" si="38"/>
        <v>9</v>
      </c>
      <c r="BQ45">
        <v>6</v>
      </c>
      <c r="BR45" s="107">
        <f t="shared" si="39"/>
        <v>1.1937705339671155E-5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2.4803801008092935E-3</v>
      </c>
      <c r="I46" s="93">
        <v>7</v>
      </c>
      <c r="J46" s="86">
        <f t="shared" si="37"/>
        <v>9.5532853208125435E-4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2.9157791359597101E-4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8.6543378576979774E-2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2.1139451651118186E-4</v>
      </c>
      <c r="AN46" s="28">
        <v>7</v>
      </c>
      <c r="AO46" s="79">
        <f>((($W$39)^Q46)*((1-($W$39))^($U$33-Q46))*HLOOKUP($U$33,$AV$24:$BF$34,Q46+1))*V47</f>
        <v>3.6491844854574714E-4</v>
      </c>
      <c r="AP46" s="28">
        <v>7</v>
      </c>
      <c r="AQ46" s="79">
        <f>((($W$39)^Q46)*((1-($W$39))^($U$34-Q46))*HLOOKUP($U$34,$AV$24:$BF$34,Q46+1))*V48</f>
        <v>2.6079189249414241E-4</v>
      </c>
      <c r="AR46" s="28">
        <v>7</v>
      </c>
      <c r="AS46" s="79">
        <f>((($W$39)^Q46)*((1-($W$39))^($U$35-Q46))*HLOOKUP($U$35,$AV$24:$BF$34,Q46+1))*V49</f>
        <v>1.1822367453018294E-4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5.5424192991544502E-5</v>
      </c>
      <c r="BP46">
        <f t="shared" si="38"/>
        <v>9</v>
      </c>
      <c r="BQ46">
        <v>7</v>
      </c>
      <c r="BR46" s="107">
        <f t="shared" si="39"/>
        <v>2.5602158221163888E-6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4.1413826573737968E-4</v>
      </c>
      <c r="I47" s="93">
        <v>8</v>
      </c>
      <c r="J47" s="86">
        <f t="shared" si="37"/>
        <v>1.1396415351389368E-4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2.2543769816739479E-5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3.2391770201837963E-2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3.3506701704534987E-5</v>
      </c>
      <c r="AP47" s="28">
        <v>8</v>
      </c>
      <c r="AQ47" s="79">
        <f>((($W$39)^Q47)*((1-($W$39))^($U$34-Q47))*HLOOKUP($U$34,$AV$24:$BF$34,Q47+1))*V48</f>
        <v>4.789166556848898E-5</v>
      </c>
      <c r="AR47" s="28">
        <v>8</v>
      </c>
      <c r="AS47" s="79">
        <f>((($W$39)^Q47)*((1-($W$39))^($U$35-Q47))*HLOOKUP($U$35,$AV$24:$BF$34,Q47+1))*V49</f>
        <v>3.2565786240869703E-5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7.1735191097777065E-6</v>
      </c>
      <c r="BP47">
        <f>BL12+1</f>
        <v>9</v>
      </c>
      <c r="BQ47">
        <v>8</v>
      </c>
      <c r="BR47" s="107">
        <f t="shared" si="39"/>
        <v>4.2746808851543919E-7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5.360166026793606E-5</v>
      </c>
      <c r="I48" s="93">
        <v>9</v>
      </c>
      <c r="J48" s="86">
        <f t="shared" si="37"/>
        <v>9.2246751766569881E-6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1.0328914377835811E-6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8.9229643337066927E-3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3.9087984573762245E-6</v>
      </c>
      <c r="AR48" s="28">
        <v>9</v>
      </c>
      <c r="AS48" s="79">
        <f>((($W$39)^Q48)*((1-($W$39))^($U$35-Q48))*HLOOKUP($U$35,$AV$24:$BF$34,Q48+1))*V49</f>
        <v>5.3158767192807636E-6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7.0108655713817595E-7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5.2386287509732396E-6</v>
      </c>
      <c r="I49" s="94">
        <v>10</v>
      </c>
      <c r="J49" s="89">
        <f t="shared" si="37"/>
        <v>3.9048175556121465E-7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2.129586705833482E-8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2.1048904681084668E-3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3.9048175556121465E-7</v>
      </c>
      <c r="BH49">
        <f>BP14+1</f>
        <v>6</v>
      </c>
      <c r="BI49">
        <v>0</v>
      </c>
      <c r="BJ49" s="107">
        <f>$H$31*H39</f>
        <v>5.2789983013462665E-3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1.5130846044110832E-4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2.5263314835507703E-5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3.2698152551629043E-6</v>
      </c>
    </row>
    <row r="53" spans="1:62" x14ac:dyDescent="0.25">
      <c r="BH53">
        <f>BH48+1</f>
        <v>6</v>
      </c>
      <c r="BI53">
        <v>10</v>
      </c>
      <c r="BJ53" s="107">
        <f>$H$31*H49</f>
        <v>3.1956749325382153E-7</v>
      </c>
    </row>
    <row r="54" spans="1:62" x14ac:dyDescent="0.25">
      <c r="BH54">
        <f>BH51+1</f>
        <v>7</v>
      </c>
      <c r="BI54">
        <v>8</v>
      </c>
      <c r="BJ54" s="107">
        <f>$H$32*H47</f>
        <v>8.6276257100814419E-6</v>
      </c>
    </row>
    <row r="55" spans="1:62" x14ac:dyDescent="0.25">
      <c r="BH55">
        <f>BH52+1</f>
        <v>7</v>
      </c>
      <c r="BI55">
        <v>9</v>
      </c>
      <c r="BJ55" s="107">
        <f>$H$32*H48</f>
        <v>1.116668273595263E-6</v>
      </c>
    </row>
    <row r="56" spans="1:62" x14ac:dyDescent="0.25">
      <c r="BH56">
        <f>BH53+1</f>
        <v>7</v>
      </c>
      <c r="BI56">
        <v>10</v>
      </c>
      <c r="BJ56" s="107">
        <f>$H$32*H49</f>
        <v>1.0913487556382821E-7</v>
      </c>
    </row>
    <row r="57" spans="1:62" x14ac:dyDescent="0.25">
      <c r="BH57">
        <f>BH55+1</f>
        <v>8</v>
      </c>
      <c r="BI57">
        <v>9</v>
      </c>
      <c r="BJ57" s="107">
        <f>$H$33*H48</f>
        <v>2.8716919097920277E-7</v>
      </c>
    </row>
    <row r="58" spans="1:62" x14ac:dyDescent="0.25">
      <c r="BH58">
        <f>BH56+1</f>
        <v>8</v>
      </c>
      <c r="BI58">
        <v>10</v>
      </c>
      <c r="BJ58" s="107">
        <f>$H$33*H49</f>
        <v>2.8065787006177431E-8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5.4072439180025099E-9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B15" sqref="B1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143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165</v>
      </c>
      <c r="B2" t="s">
        <v>164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130</v>
      </c>
      <c r="C3" s="218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1.0442925142362313E-3</v>
      </c>
      <c r="BL4">
        <v>0</v>
      </c>
      <c r="BM4">
        <v>0</v>
      </c>
      <c r="BN4" s="107">
        <f>H25*H39</f>
        <v>4.917522037159042E-4</v>
      </c>
      <c r="BP4">
        <v>1</v>
      </c>
      <c r="BQ4">
        <v>0</v>
      </c>
      <c r="BR4" s="107">
        <f>$H$26*H39</f>
        <v>3.5934617767349668E-3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1.0195664549275236E-3</v>
      </c>
      <c r="BL5">
        <v>1</v>
      </c>
      <c r="BM5">
        <v>1</v>
      </c>
      <c r="BN5" s="107">
        <f>$H$26*H40</f>
        <v>7.631130486618674E-3</v>
      </c>
      <c r="BP5">
        <f>BP4+1</f>
        <v>2</v>
      </c>
      <c r="BQ5">
        <v>0</v>
      </c>
      <c r="BR5" s="107">
        <f>$H$27*H39</f>
        <v>1.1965721776626862E-2</v>
      </c>
    </row>
    <row r="6" spans="1:70" x14ac:dyDescent="0.25">
      <c r="A6" s="2" t="s">
        <v>1</v>
      </c>
      <c r="B6" s="168">
        <v>15</v>
      </c>
      <c r="C6" s="169">
        <f>12.75</f>
        <v>12.75</v>
      </c>
      <c r="E6" s="192" t="s">
        <v>17</v>
      </c>
      <c r="F6" s="167" t="s">
        <v>154</v>
      </c>
      <c r="G6" s="167"/>
      <c r="H6" s="10"/>
      <c r="I6" s="10"/>
      <c r="J6" s="166" t="s">
        <v>21</v>
      </c>
      <c r="K6" s="166"/>
      <c r="L6" s="10"/>
      <c r="M6" s="10"/>
      <c r="O6" s="67">
        <f t="shared" ref="O6:O19" si="1">AG6*AI6*AO6*AH6</f>
        <v>1.9925403629145699E-2</v>
      </c>
      <c r="P6" s="210">
        <f>P3</f>
        <v>0.56999999999999995</v>
      </c>
      <c r="Q6" s="214">
        <f t="shared" ref="Q6:Q19" si="2">P6*O6</f>
        <v>1.1357480068613047E-2</v>
      </c>
      <c r="R6" s="157">
        <f t="shared" ref="R6:R19" si="3">IF($B$17="JC",IF($C$17="JC",$W$1,$V$1*1.1),IF($C$17="JC",$V$1/0.9,$U$1))*Q6/1.5</f>
        <v>1.1357480068613047E-2</v>
      </c>
      <c r="S6" s="176">
        <f t="shared" ref="S6:S19" si="4">(1-R6)</f>
        <v>0.98864251993138696</v>
      </c>
      <c r="T6" s="177">
        <f>R6*S5*PRODUCT(S7:S19)</f>
        <v>7.4517923655172099E-3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3.2908352732708718E-3</v>
      </c>
      <c r="V6" s="18"/>
      <c r="W6" s="186" t="s">
        <v>38</v>
      </c>
      <c r="X6" s="15" t="s">
        <v>39</v>
      </c>
      <c r="Y6" s="69">
        <f t="shared" ref="Y6:Y19" si="5">AK6*AI6*AL6*AO6</f>
        <v>7.9701614516582794E-2</v>
      </c>
      <c r="Z6" s="69">
        <f>Z3</f>
        <v>0.56999999999999995</v>
      </c>
      <c r="AA6" s="69">
        <f t="shared" ref="AA6:AA19" si="6">Z6*Y6</f>
        <v>4.5429920274452189E-2</v>
      </c>
      <c r="AB6" s="157">
        <f t="shared" ref="AB6:AB19" si="7">IF($B$17="JC",IF($C$17="JC",$W$1,$V$1/0.9),IF($C$17="JC",$V$1*1.1,$U$1))*AA6/1.5</f>
        <v>4.5429920274452189E-2</v>
      </c>
      <c r="AC6" s="176">
        <f t="shared" ref="AC6:AC19" si="8">(1-AB6)</f>
        <v>0.95457007972554786</v>
      </c>
      <c r="AD6" s="177">
        <f>AB6*AC5*PRODUCT(AC7:AC19)</f>
        <v>3.777937563248495E-2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7.0692870786662945E-3</v>
      </c>
      <c r="AF6" s="18"/>
      <c r="AG6" s="203">
        <f>IF(COUNTIF(F11:F18,"IMP")+COUNTIF(J11:J18,"IMP")=0,0,COUNTIF(F11:F18,"IMP")/(COUNTIF(F11:F18,"IMP")+COUNTIF(J11:J18,"IMP")))</f>
        <v>0.33333333333333331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0.66666666666666663</v>
      </c>
      <c r="AL6">
        <f>COUNTIF(J11:J18,"IMP")</f>
        <v>2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6.0638552383863726E-4</v>
      </c>
      <c r="BL6">
        <f>BH14+1</f>
        <v>2</v>
      </c>
      <c r="BM6">
        <v>2</v>
      </c>
      <c r="BN6" s="107">
        <f>$H$27*H41</f>
        <v>2.4808935151193815E-2</v>
      </c>
      <c r="BP6">
        <f>BL5+1</f>
        <v>2</v>
      </c>
      <c r="BQ6">
        <v>1</v>
      </c>
      <c r="BR6" s="107">
        <f>$H$27*H40</f>
        <v>2.5410590098715512E-2</v>
      </c>
    </row>
    <row r="7" spans="1:70" x14ac:dyDescent="0.25">
      <c r="A7" s="5" t="s">
        <v>2</v>
      </c>
      <c r="B7" s="168">
        <v>14</v>
      </c>
      <c r="C7" s="169">
        <v>10.25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5.9876965396517771E-3</v>
      </c>
      <c r="P7" s="210">
        <f>P2</f>
        <v>0.45</v>
      </c>
      <c r="Q7" s="214">
        <f t="shared" si="2"/>
        <v>2.6944634428432996E-3</v>
      </c>
      <c r="R7" s="157">
        <f t="shared" si="3"/>
        <v>2.6944634428432996E-3</v>
      </c>
      <c r="S7" s="176">
        <f t="shared" si="4"/>
        <v>0.9973055365571567</v>
      </c>
      <c r="T7" s="177">
        <f>R7*PRODUCT(S5:S6)*PRODUCT(S8:S19)</f>
        <v>1.7525164875904873E-3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7.6920553847044924E-4</v>
      </c>
      <c r="W7" s="187" t="s">
        <v>155</v>
      </c>
      <c r="X7" s="15" t="s">
        <v>156</v>
      </c>
      <c r="Y7" s="69">
        <f t="shared" si="5"/>
        <v>1.4969241349129443E-3</v>
      </c>
      <c r="Z7" s="69">
        <f>Z2</f>
        <v>0.45</v>
      </c>
      <c r="AA7" s="69">
        <f t="shared" si="6"/>
        <v>6.736158607108249E-4</v>
      </c>
      <c r="AB7" s="157">
        <f t="shared" si="7"/>
        <v>6.736158607108249E-4</v>
      </c>
      <c r="AC7" s="176">
        <f t="shared" si="8"/>
        <v>0.9993263841392892</v>
      </c>
      <c r="AD7" s="177">
        <f>AB7*PRODUCT(AC5:AC6)*PRODUCT(AC8:AC19)</f>
        <v>5.3508844136280391E-4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9.9765208152547761E-5</v>
      </c>
      <c r="AG7" s="203">
        <f>IF(COUNTIF(F14:F18,"IMP")+COUNTIF(J14:J18,"IMP")=0,0,COUNTIF(J14:J18,"IMP")/(COUNTIF(F14:F18,"IMP")+COUNTIF(J14:J18,"IMP")))</f>
        <v>0.66666666666666663</v>
      </c>
      <c r="AH7">
        <f>COUNTIF(J14:J18,"IMP")</f>
        <v>2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0.33333333333333331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2.4540320842877727E-4</v>
      </c>
      <c r="BL7">
        <f>BH23+1</f>
        <v>3</v>
      </c>
      <c r="BM7">
        <v>3</v>
      </c>
      <c r="BN7" s="107">
        <f>$H$28*H42</f>
        <v>2.9599882836278263E-2</v>
      </c>
      <c r="BP7">
        <f>BP5+1</f>
        <v>3</v>
      </c>
      <c r="BQ7">
        <v>0</v>
      </c>
      <c r="BR7" s="107">
        <f>$H$28*H39</f>
        <v>2.400421356091903E-2</v>
      </c>
    </row>
    <row r="8" spans="1:70" x14ac:dyDescent="0.25">
      <c r="A8" s="5" t="s">
        <v>3</v>
      </c>
      <c r="B8" s="168">
        <v>13</v>
      </c>
      <c r="C8" s="169">
        <v>10.25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1.3581560198421192E-2</v>
      </c>
      <c r="P8" s="210">
        <f>P2</f>
        <v>0.45</v>
      </c>
      <c r="Q8" s="214">
        <f t="shared" si="2"/>
        <v>6.1117020892895368E-3</v>
      </c>
      <c r="R8" s="157">
        <f t="shared" si="3"/>
        <v>6.1117020892895368E-3</v>
      </c>
      <c r="S8" s="176">
        <f t="shared" si="4"/>
        <v>0.99388829791071043</v>
      </c>
      <c r="T8" s="177">
        <f>R8*PRODUCT(S5:S7)*PRODUCT(S9:S19)</f>
        <v>3.9888035374519718E-3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1.7262168797163623E-3</v>
      </c>
      <c r="W8" s="186" t="s">
        <v>42</v>
      </c>
      <c r="X8" s="15" t="s">
        <v>43</v>
      </c>
      <c r="Y8" s="69">
        <f t="shared" si="5"/>
        <v>5.4326240793684769E-2</v>
      </c>
      <c r="Z8" s="69">
        <f>Z2</f>
        <v>0.45</v>
      </c>
      <c r="AA8" s="69">
        <f t="shared" si="6"/>
        <v>2.4446808357158147E-2</v>
      </c>
      <c r="AB8" s="157">
        <f t="shared" si="7"/>
        <v>2.4446808357158147E-2</v>
      </c>
      <c r="AC8" s="176">
        <f t="shared" si="8"/>
        <v>0.97555319164284182</v>
      </c>
      <c r="AD8" s="177">
        <f>AB8*PRODUCT(AC5:AC7)*PRODUCT(AC9:AC19)</f>
        <v>1.9892612968671324E-2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3.2104045838657553E-3</v>
      </c>
      <c r="AG8" s="203">
        <f>IF(COUNTIF(F6:F18,"IMP")+COUNTIF(J6:J18,"IMP")=0,0,COUNTIF(F6:F18,"IMP")/(COUNTIF(F6:F18,"IMP")+COUNTIF(J6:J18,"IMP")))</f>
        <v>0.33333333333333331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0.66666666666666663</v>
      </c>
      <c r="AL8">
        <f>COUNTIF(J6:J18,"IMP")</f>
        <v>2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7.1492679725802756E-5</v>
      </c>
      <c r="BL8">
        <f>BH31+1</f>
        <v>4</v>
      </c>
      <c r="BM8">
        <v>4</v>
      </c>
      <c r="BN8" s="107">
        <f>$H$29*H43</f>
        <v>1.6125766673273666E-2</v>
      </c>
      <c r="BP8">
        <f>BP6+1</f>
        <v>3</v>
      </c>
      <c r="BQ8">
        <v>1</v>
      </c>
      <c r="BR8" s="107">
        <f>$H$28*H40</f>
        <v>5.0975715700661214E-2</v>
      </c>
    </row>
    <row r="9" spans="1:70" x14ac:dyDescent="0.25">
      <c r="A9" s="5" t="s">
        <v>4</v>
      </c>
      <c r="B9" s="168">
        <v>14.5</v>
      </c>
      <c r="C9" s="169">
        <v>10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1.5466295629693987E-5</v>
      </c>
      <c r="BL9">
        <f>BH38+1</f>
        <v>5</v>
      </c>
      <c r="BM9">
        <v>5</v>
      </c>
      <c r="BN9" s="107">
        <f>$H$30*H44</f>
        <v>4.4734683064498555E-3</v>
      </c>
      <c r="BP9">
        <f>BL6+1</f>
        <v>3</v>
      </c>
      <c r="BQ9">
        <v>2</v>
      </c>
      <c r="BR9" s="107">
        <f>$H$28*H41</f>
        <v>4.9768746817387917E-2</v>
      </c>
    </row>
    <row r="10" spans="1:70" x14ac:dyDescent="0.25">
      <c r="A10" s="6" t="s">
        <v>5</v>
      </c>
      <c r="B10" s="168">
        <v>16.75</v>
      </c>
      <c r="C10" s="169">
        <v>14.25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3.5983753243099624E-2</v>
      </c>
      <c r="P10" s="210">
        <f>P3</f>
        <v>0.56999999999999995</v>
      </c>
      <c r="Q10" s="214">
        <f t="shared" si="2"/>
        <v>2.0510739348566783E-2</v>
      </c>
      <c r="R10" s="157">
        <f t="shared" si="3"/>
        <v>2.0510739348566783E-2</v>
      </c>
      <c r="S10" s="176">
        <f t="shared" si="4"/>
        <v>0.97948926065143327</v>
      </c>
      <c r="T10" s="177">
        <f>R10*PRODUCT(S5:S9)*PRODUCT(S11:S19)</f>
        <v>1.3583124576629477E-2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5.5938749200995334E-3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1.6622726377109327E-2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2.3346042782388244E-3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2.5250929181949308E-6</v>
      </c>
      <c r="BL10">
        <f>BH44+1</f>
        <v>6</v>
      </c>
      <c r="BM10">
        <v>6</v>
      </c>
      <c r="BN10" s="107">
        <f>$H$31*H45</f>
        <v>6.6946940215576801E-4</v>
      </c>
      <c r="BP10">
        <f>BP7+1</f>
        <v>4</v>
      </c>
      <c r="BQ10">
        <v>0</v>
      </c>
      <c r="BR10" s="107">
        <f>$H$29*H39</f>
        <v>3.2313682241413233E-2</v>
      </c>
    </row>
    <row r="11" spans="1:70" x14ac:dyDescent="0.25">
      <c r="A11" s="6" t="s">
        <v>6</v>
      </c>
      <c r="B11" s="168">
        <v>10.5</v>
      </c>
      <c r="C11" s="169">
        <v>10.75</v>
      </c>
      <c r="E11" s="192" t="s">
        <v>19</v>
      </c>
      <c r="F11" s="167" t="s">
        <v>21</v>
      </c>
      <c r="G11" s="167"/>
      <c r="H11" s="10"/>
      <c r="I11" s="10"/>
      <c r="J11" s="166" t="s">
        <v>131</v>
      </c>
      <c r="K11" s="166"/>
      <c r="L11" s="10"/>
      <c r="M11" s="10"/>
      <c r="O11" s="67">
        <f t="shared" si="1"/>
        <v>3.5983753243099624E-2</v>
      </c>
      <c r="P11" s="210">
        <f>P3</f>
        <v>0.56999999999999995</v>
      </c>
      <c r="Q11" s="214">
        <f t="shared" si="2"/>
        <v>2.0510739348566783E-2</v>
      </c>
      <c r="R11" s="157">
        <f t="shared" si="3"/>
        <v>2.0510739348566783E-2</v>
      </c>
      <c r="S11" s="176">
        <f t="shared" si="4"/>
        <v>0.97948926065143327</v>
      </c>
      <c r="T11" s="177">
        <f>R11*PRODUCT(S5:S10)*PRODUCT(S12:S19)</f>
        <v>1.3583124576629479E-2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5.3094410432594046E-3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1.6622726377109334E-2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1.9865204128203494E-3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3.1267878180649219E-7</v>
      </c>
      <c r="BL11">
        <f>BH50+1</f>
        <v>7</v>
      </c>
      <c r="BM11">
        <v>7</v>
      </c>
      <c r="BN11" s="107">
        <f>$H$32*H46</f>
        <v>5.5538653085798233E-5</v>
      </c>
      <c r="BP11">
        <f>BP8+1</f>
        <v>4</v>
      </c>
      <c r="BQ11">
        <v>1</v>
      </c>
      <c r="BR11" s="107">
        <f>$H$29*H40</f>
        <v>6.8621830704822334E-2</v>
      </c>
    </row>
    <row r="12" spans="1:70" x14ac:dyDescent="0.25">
      <c r="A12" s="6" t="s">
        <v>7</v>
      </c>
      <c r="B12" s="168">
        <v>17.5</v>
      </c>
      <c r="C12" s="169">
        <v>14.5</v>
      </c>
      <c r="E12" s="192" t="s">
        <v>19</v>
      </c>
      <c r="F12" s="167" t="s">
        <v>16</v>
      </c>
      <c r="G12" s="167"/>
      <c r="H12" s="10"/>
      <c r="I12" s="10"/>
      <c r="J12" s="166" t="s">
        <v>131</v>
      </c>
      <c r="K12" s="166"/>
      <c r="L12" s="10"/>
      <c r="M12" s="10"/>
      <c r="O12" s="67">
        <f t="shared" si="1"/>
        <v>3.3105052983651651E-3</v>
      </c>
      <c r="P12" s="210">
        <f>P2</f>
        <v>0.45</v>
      </c>
      <c r="Q12" s="214">
        <f t="shared" si="2"/>
        <v>1.4897273842643243E-3</v>
      </c>
      <c r="R12" s="157">
        <f t="shared" si="3"/>
        <v>1.4897273842643243E-3</v>
      </c>
      <c r="S12" s="176">
        <f t="shared" si="4"/>
        <v>0.99851027261573566</v>
      </c>
      <c r="T12" s="177">
        <f>R12*PRODUCT(S5:S11)*PRODUCT(S13:S19)</f>
        <v>9.6777034638040717E-4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3.7684314615032369E-4</v>
      </c>
      <c r="W12" s="187" t="s">
        <v>50</v>
      </c>
      <c r="X12" s="15" t="s">
        <v>51</v>
      </c>
      <c r="Y12" s="69">
        <f t="shared" si="5"/>
        <v>3.3105052983651651E-3</v>
      </c>
      <c r="Z12" s="69">
        <f>Z2</f>
        <v>0.45</v>
      </c>
      <c r="AA12" s="69">
        <f t="shared" si="6"/>
        <v>1.4897273842643243E-3</v>
      </c>
      <c r="AB12" s="157">
        <f t="shared" si="7"/>
        <v>1.4897273842643243E-3</v>
      </c>
      <c r="AC12" s="176">
        <f t="shared" si="8"/>
        <v>0.99851027261573566</v>
      </c>
      <c r="AD12" s="177">
        <f>AB12*PRODUCT(AC5:AC11)*PRODUCT(AC13:AC19)</f>
        <v>1.1843358700722201E-3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1.3976861989865231E-4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1.324202119346066E-2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2.9183595973474709E-8</v>
      </c>
      <c r="BL12">
        <f>BH54+1</f>
        <v>8</v>
      </c>
      <c r="BM12">
        <v>8</v>
      </c>
      <c r="BN12" s="107">
        <f>$H$33*H47</f>
        <v>2.5660222366240094E-6</v>
      </c>
      <c r="BP12">
        <f>BP9+1</f>
        <v>4</v>
      </c>
      <c r="BQ12">
        <v>2</v>
      </c>
      <c r="BR12" s="107">
        <f>$H$29*H41</f>
        <v>6.6997048919308438E-2</v>
      </c>
    </row>
    <row r="13" spans="1:70" x14ac:dyDescent="0.25">
      <c r="A13" s="7" t="s">
        <v>8</v>
      </c>
      <c r="B13" s="168">
        <v>13.25</v>
      </c>
      <c r="C13" s="169">
        <v>9.75</v>
      </c>
      <c r="E13" s="192" t="s">
        <v>19</v>
      </c>
      <c r="F13" s="167" t="s">
        <v>154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9.1682713127932108E-2</v>
      </c>
      <c r="P13" s="210">
        <f>P3</f>
        <v>0.56999999999999995</v>
      </c>
      <c r="Q13" s="214">
        <f t="shared" si="2"/>
        <v>5.22591464829213E-2</v>
      </c>
      <c r="R13" s="157">
        <f t="shared" si="3"/>
        <v>5.22591464829213E-2</v>
      </c>
      <c r="S13" s="176">
        <f t="shared" si="4"/>
        <v>0.94774085351707871</v>
      </c>
      <c r="T13" s="177">
        <f>R13*PRODUCT(S5:S12)*PRODUCT(S14:S19)</f>
        <v>3.5767678846604686E-2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1.1955432399939519E-2</v>
      </c>
      <c r="W13" s="186" t="s">
        <v>52</v>
      </c>
      <c r="X13" s="15" t="s">
        <v>53</v>
      </c>
      <c r="Y13" s="69">
        <f t="shared" si="5"/>
        <v>7.7930306158742274E-2</v>
      </c>
      <c r="Z13" s="69">
        <f>Z3</f>
        <v>0.56999999999999995</v>
      </c>
      <c r="AA13" s="69">
        <f t="shared" si="6"/>
        <v>4.4420274510483089E-2</v>
      </c>
      <c r="AB13" s="157">
        <f t="shared" si="7"/>
        <v>4.4420274510483089E-2</v>
      </c>
      <c r="AC13" s="176">
        <f t="shared" si="8"/>
        <v>0.95557972548951686</v>
      </c>
      <c r="AD13" s="177">
        <f>AB13*PRODUCT(AC5:AC12)*PRODUCT(AC14:AC19)</f>
        <v>3.6900727678081301E-2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2.6394789864957581E-3</v>
      </c>
      <c r="AG13" s="203">
        <f>B22</f>
        <v>0.54054054054054057</v>
      </c>
      <c r="AH13">
        <v>1</v>
      </c>
      <c r="AI13" s="207">
        <f t="shared" si="9"/>
        <v>0.16961301928667438</v>
      </c>
      <c r="AK13" s="203">
        <f>C22</f>
        <v>0.45945945945945943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2.0096465314681939E-9</v>
      </c>
      <c r="BL13">
        <f>BH57+1</f>
        <v>9</v>
      </c>
      <c r="BM13">
        <v>9</v>
      </c>
      <c r="BN13" s="107">
        <f>$H$34*H48</f>
        <v>6.4943185638147566E-8</v>
      </c>
      <c r="BP13">
        <f>BL7+1</f>
        <v>4</v>
      </c>
      <c r="BQ13">
        <v>3</v>
      </c>
      <c r="BR13" s="107">
        <f>$H$29*H42</f>
        <v>3.9846388048796262E-2</v>
      </c>
    </row>
    <row r="14" spans="1:70" x14ac:dyDescent="0.25">
      <c r="A14" s="7" t="s">
        <v>9</v>
      </c>
      <c r="B14" s="168">
        <v>11.5</v>
      </c>
      <c r="C14" s="169">
        <v>7.5</v>
      </c>
      <c r="E14" s="192" t="s">
        <v>20</v>
      </c>
      <c r="F14" s="167" t="s">
        <v>21</v>
      </c>
      <c r="G14" s="167"/>
      <c r="H14" s="10"/>
      <c r="I14" s="10"/>
      <c r="J14" s="166" t="s">
        <v>131</v>
      </c>
      <c r="K14" s="166"/>
      <c r="L14" s="10"/>
      <c r="M14" s="10"/>
      <c r="O14" s="67">
        <f t="shared" si="1"/>
        <v>0.13027285714647788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7.8163714287886724E-2</v>
      </c>
      <c r="R14" s="157">
        <f t="shared" si="3"/>
        <v>7.8163714287886724E-2</v>
      </c>
      <c r="S14" s="176">
        <f t="shared" si="4"/>
        <v>0.92183628571211329</v>
      </c>
      <c r="T14" s="177">
        <f>R14*PRODUCT(S5:S13)*PRODUCT(S15:S19)</f>
        <v>5.5000854451896099E-2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1.3720572475072971E-2</v>
      </c>
      <c r="W14" s="186" t="s">
        <v>54</v>
      </c>
      <c r="X14" s="15" t="s">
        <v>55</v>
      </c>
      <c r="Y14" s="69">
        <f t="shared" si="5"/>
        <v>0.11073192857450619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1.6609789286175927E-2</v>
      </c>
      <c r="AB14" s="157">
        <f t="shared" si="7"/>
        <v>1.6609789286175927E-2</v>
      </c>
      <c r="AC14" s="176">
        <f t="shared" si="8"/>
        <v>0.98339021071382404</v>
      </c>
      <c r="AD14" s="177">
        <f>AB14*PRODUCT(AC5:AC13)*PRODUCT(AC15:AC19)</f>
        <v>1.3407841316482396E-2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7.3258904509041108E-4</v>
      </c>
      <c r="AG14" s="203">
        <f>IF(AL14=0,1,B22)</f>
        <v>0.54054054054054057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0.45945945945945943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7.4504456857296978E-3</v>
      </c>
      <c r="BL14">
        <f>BP39+1</f>
        <v>10</v>
      </c>
      <c r="BM14">
        <v>10</v>
      </c>
      <c r="BN14" s="107">
        <f>$H$35*H49</f>
        <v>8.6263514403862651E-10</v>
      </c>
      <c r="BP14">
        <f>BP10+1</f>
        <v>5</v>
      </c>
      <c r="BQ14">
        <v>0</v>
      </c>
      <c r="BR14" s="107">
        <f>$H$30*H39</f>
        <v>3.0770113896794061E-2</v>
      </c>
    </row>
    <row r="15" spans="1:70" x14ac:dyDescent="0.25">
      <c r="A15" s="189" t="s">
        <v>71</v>
      </c>
      <c r="B15" s="170">
        <v>10</v>
      </c>
      <c r="C15" s="171">
        <v>8.75</v>
      </c>
      <c r="E15" s="192" t="s">
        <v>20</v>
      </c>
      <c r="F15" s="167" t="s">
        <v>146</v>
      </c>
      <c r="G15" s="167"/>
      <c r="H15" s="10"/>
      <c r="I15" s="10"/>
      <c r="J15" s="166" t="s">
        <v>123</v>
      </c>
      <c r="K15" s="166"/>
      <c r="L15" s="10"/>
      <c r="M15" s="10"/>
      <c r="O15" s="67">
        <f t="shared" si="1"/>
        <v>2.4274445431020718E-2</v>
      </c>
      <c r="P15" s="210">
        <f>R3</f>
        <v>0.7</v>
      </c>
      <c r="Q15" s="214">
        <f t="shared" si="2"/>
        <v>1.6992111801714501E-2</v>
      </c>
      <c r="R15" s="157">
        <f t="shared" si="3"/>
        <v>1.6992111801714501E-2</v>
      </c>
      <c r="S15" s="176">
        <f t="shared" si="4"/>
        <v>0.98300788819828555</v>
      </c>
      <c r="T15" s="177">
        <f>R15*PRODUCT(S5:S14)*PRODUCT(S16:S19)</f>
        <v>1.121265348308464E-2</v>
      </c>
      <c r="U15" s="177">
        <f>R15*R16*PRODUCT(S5:S14)*PRODUCT(S17:S19)+R15*R17*PRODUCT(S5:S14)*S16*PRODUCT(S18:S19)+R15*R18*PRODUCT(S5:S14)*S16*S17*S19+R15*R19*PRODUCT(S5:S14)*S16*S17*S18</f>
        <v>2.6033005578286594E-3</v>
      </c>
      <c r="W15" s="186" t="s">
        <v>56</v>
      </c>
      <c r="X15" s="15" t="s">
        <v>57</v>
      </c>
      <c r="Y15" s="69">
        <f t="shared" si="5"/>
        <v>2.0633278616367608E-2</v>
      </c>
      <c r="Z15" s="69">
        <f>AB3</f>
        <v>0.7</v>
      </c>
      <c r="AA15" s="69">
        <f t="shared" si="6"/>
        <v>1.4443295031457325E-2</v>
      </c>
      <c r="AB15" s="157">
        <f t="shared" si="7"/>
        <v>1.4443295031457325E-2</v>
      </c>
      <c r="AC15" s="176">
        <f t="shared" si="8"/>
        <v>0.98555670496854264</v>
      </c>
      <c r="AD15" s="177">
        <f>AB15*PRODUCT(AC5:AC14)*PRODUCT(AC16:AC19)</f>
        <v>1.1633363137245525E-2</v>
      </c>
      <c r="AE15" s="177">
        <f>AB15*AB16*PRODUCT(AC5:AC14)*PRODUCT(AC17:AC19)+AB15*AB17*PRODUCT(AC5:AC14)*AC16*PRODUCT(AC18:AC19)+AB15*AB18*PRODUCT(AC5:AC14)*AC16*AC17*AC19+AB15*AB19*PRODUCT(AC5:AC14)*AC16*AC17*AC18</f>
        <v>4.6514711353193224E-4</v>
      </c>
      <c r="AG15" s="203">
        <f>IF(AL15=0,1,B22)</f>
        <v>0.54054054054054057</v>
      </c>
      <c r="AH15">
        <v>1</v>
      </c>
      <c r="AI15" s="207">
        <f t="shared" si="9"/>
        <v>4.4907724047388325E-2</v>
      </c>
      <c r="AK15" s="203">
        <f>IF(AH15=0,1,C22)</f>
        <v>0.45945945945945943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4.4311406952807905E-3</v>
      </c>
      <c r="BP15">
        <f>BP11+1</f>
        <v>5</v>
      </c>
      <c r="BQ15">
        <v>1</v>
      </c>
      <c r="BR15" s="107">
        <f>$H$30*H40</f>
        <v>6.5343885318269346E-2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146</v>
      </c>
      <c r="K16" s="166"/>
      <c r="L16" s="10"/>
      <c r="M16" s="10"/>
      <c r="O16" s="67">
        <f t="shared" si="1"/>
        <v>1.650662289309409E-2</v>
      </c>
      <c r="P16" s="210">
        <v>0.15</v>
      </c>
      <c r="Q16" s="214">
        <f t="shared" si="2"/>
        <v>2.4759934339641135E-3</v>
      </c>
      <c r="R16" s="157">
        <f t="shared" si="3"/>
        <v>2.4759934339641135E-3</v>
      </c>
      <c r="S16" s="176">
        <f t="shared" si="4"/>
        <v>0.9975240065660359</v>
      </c>
      <c r="T16" s="177">
        <f>R16*PRODUCT(S5:S15)*PRODUCT(S17:S19)</f>
        <v>1.6100678542834864E-3</v>
      </c>
      <c r="U16" s="177">
        <f>R16*R17*PRODUCT(S5:S15)*PRODUCT(S18:S19)+R16*R18*PRODUCT(S5:S15)*S17*S19+R16*R19*PRODUCT(S5:S15)*S17*S18</f>
        <v>3.6982148432727641E-4</v>
      </c>
      <c r="W16" s="187" t="s">
        <v>58</v>
      </c>
      <c r="X16" s="15" t="s">
        <v>59</v>
      </c>
      <c r="Y16" s="69">
        <f t="shared" si="5"/>
        <v>1.9419556344816576E-2</v>
      </c>
      <c r="Z16" s="69">
        <v>0.15</v>
      </c>
      <c r="AA16" s="69">
        <f t="shared" si="6"/>
        <v>2.9129334517224862E-3</v>
      </c>
      <c r="AB16" s="157">
        <f t="shared" si="7"/>
        <v>2.9129334517224866E-3</v>
      </c>
      <c r="AC16" s="176">
        <f t="shared" si="8"/>
        <v>0.9970870665482775</v>
      </c>
      <c r="AD16" s="177">
        <f>AB16*PRODUCT(AC5:AC15)*PRODUCT(AC17:AC19)</f>
        <v>2.3190926481820211E-3</v>
      </c>
      <c r="AE16" s="177">
        <f>AB16*AB17*PRODUCT(AC5:AC15)*PRODUCT(AC18:AC19)+AB16*AB18*PRODUCT(AC5:AC15)*AC17*AC19+AB16*AB19*PRODUCT(AC5:AC15)*AC17*AC18</f>
        <v>8.5951247686151839E-5</v>
      </c>
      <c r="AG16" s="203">
        <f>C22</f>
        <v>0.45945945945945943</v>
      </c>
      <c r="AH16">
        <v>1</v>
      </c>
      <c r="AI16" s="207">
        <f t="shared" si="9"/>
        <v>3.5926179237910666E-2</v>
      </c>
      <c r="AK16" s="203">
        <f>B22</f>
        <v>0.54054054054054057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1.7932752364164235E-3</v>
      </c>
      <c r="BP16">
        <f>BP12+1</f>
        <v>5</v>
      </c>
      <c r="BQ16">
        <v>2</v>
      </c>
      <c r="BR16" s="107">
        <f>$H$30*H41</f>
        <v>6.3796716530008318E-2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2.4040978114276253E-2</v>
      </c>
      <c r="U17" s="177">
        <f>R17*R18*PRODUCT(S5:S16)*S19+R17*R19*PRODUCT(S5:S16)*S18</f>
        <v>4.6310294343854114E-3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2.942081542263611E-2</v>
      </c>
      <c r="AE17" s="177">
        <f>AB17*AB18*PRODUCT(AC5:AC16)*AC19+AB17*AB19*PRODUCT(AC5:AC16)*AC18</f>
        <v>0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5.2243021987441322E-4</v>
      </c>
      <c r="BP17">
        <f>BP13+1</f>
        <v>5</v>
      </c>
      <c r="BQ17">
        <v>3</v>
      </c>
      <c r="BR17" s="107">
        <f>$H$30*H42</f>
        <v>3.794299546171722E-2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146</v>
      </c>
      <c r="K18" s="166"/>
      <c r="L18" s="10"/>
      <c r="M18" s="10"/>
      <c r="O18" s="67">
        <f t="shared" si="1"/>
        <v>2.3605342127473356E-2</v>
      </c>
      <c r="P18" s="210">
        <f>P17*1.2</f>
        <v>0.68399999999999994</v>
      </c>
      <c r="Q18" s="214">
        <f t="shared" si="2"/>
        <v>1.6146054015191775E-2</v>
      </c>
      <c r="R18" s="157">
        <f t="shared" si="3"/>
        <v>1.6146054015191775E-2</v>
      </c>
      <c r="S18" s="176">
        <f t="shared" si="4"/>
        <v>0.98385394598480824</v>
      </c>
      <c r="T18" s="177">
        <f>R18*PRODUCT(S5:S17)*PRODUCT(S19:S19)</f>
        <v>1.0645199774169637E-2</v>
      </c>
      <c r="U18" s="177">
        <f>R18*R19*PRODUCT(S5:S17)</f>
        <v>1.8758931729697791E-3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1.1301940642669035E-4</v>
      </c>
      <c r="BP18">
        <f>BL8+1</f>
        <v>5</v>
      </c>
      <c r="BQ18">
        <v>4</v>
      </c>
      <c r="BR18" s="107">
        <f>$H$30*H43</f>
        <v>1.5355466873219328E-2</v>
      </c>
    </row>
    <row r="19" spans="1:70" x14ac:dyDescent="0.25">
      <c r="H19" s="13" t="s">
        <v>151</v>
      </c>
      <c r="L19" s="13" t="s">
        <v>151</v>
      </c>
      <c r="O19" s="67">
        <f t="shared" si="1"/>
        <v>0.26283972718889692</v>
      </c>
      <c r="P19" s="210">
        <f>P3</f>
        <v>0.56999999999999995</v>
      </c>
      <c r="Q19" s="214">
        <f t="shared" si="2"/>
        <v>0.14981864449767124</v>
      </c>
      <c r="R19" s="157">
        <f t="shared" si="3"/>
        <v>0.14981864449767124</v>
      </c>
      <c r="S19" s="178">
        <f t="shared" si="4"/>
        <v>0.85018135550232876</v>
      </c>
      <c r="T19" s="179">
        <f>R19*PRODUCT(S5:S18)</f>
        <v>0.11430687019477051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1</v>
      </c>
      <c r="AH19">
        <f>COUNTIF(F11:F18,"TEC")</f>
        <v>3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1.8452026886044788E-5</v>
      </c>
      <c r="BP19">
        <f>BP15+1</f>
        <v>6</v>
      </c>
      <c r="BQ19">
        <v>1</v>
      </c>
      <c r="BR19" s="107">
        <f>$H$31*H40</f>
        <v>4.5202930418530109E-2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0.64866138771486026</v>
      </c>
      <c r="T20" s="181">
        <f>SUM(T5:T19)</f>
        <v>0.29391143460928437</v>
      </c>
      <c r="U20" s="181">
        <f>SUM(U5:U19)</f>
        <v>5.222246632549056E-2</v>
      </c>
      <c r="V20" s="181">
        <f>1-S20-T20-U20</f>
        <v>5.2047113503648074E-3</v>
      </c>
      <c r="W20" s="21"/>
      <c r="X20" s="22"/>
      <c r="Y20" s="22"/>
      <c r="Z20" s="22"/>
      <c r="AA20" s="22"/>
      <c r="AB20" s="23"/>
      <c r="AC20" s="184">
        <f>PRODUCT(AC5:AC19)</f>
        <v>0.79381740913516163</v>
      </c>
      <c r="AD20" s="181">
        <f>SUM(AD5:AD19)</f>
        <v>0.18631870586943733</v>
      </c>
      <c r="AE20" s="181">
        <f>SUM(AE5:AE19)</f>
        <v>1.8763516574446679E-2</v>
      </c>
      <c r="AF20" s="181">
        <f>1-AC20-AD20-AE20</f>
        <v>1.100368420954359E-3</v>
      </c>
      <c r="BH20">
        <v>1</v>
      </c>
      <c r="BI20">
        <v>8</v>
      </c>
      <c r="BJ20" s="107">
        <f t="shared" si="11"/>
        <v>2.2848891013141443E-6</v>
      </c>
      <c r="BP20">
        <f>BP16+1</f>
        <v>6</v>
      </c>
      <c r="BQ20">
        <v>2</v>
      </c>
      <c r="BR20" s="107">
        <f>$H$31*H41</f>
        <v>4.4132645682003563E-2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2.1325809187210796E-7</v>
      </c>
      <c r="BP21">
        <f>BP17+1</f>
        <v>6</v>
      </c>
      <c r="BQ21">
        <v>3</v>
      </c>
      <c r="BR21" s="107">
        <f>$H$31*H42</f>
        <v>2.6247820670177946E-2</v>
      </c>
    </row>
    <row r="22" spans="1:70" x14ac:dyDescent="0.25">
      <c r="A22" s="26" t="s">
        <v>77</v>
      </c>
      <c r="B22" s="62">
        <f>(B6)/((B6)+(C6))</f>
        <v>0.54054054054054057</v>
      </c>
      <c r="C22" s="63">
        <f>1-B22</f>
        <v>0.45945945945945943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1.4685420707847048E-8</v>
      </c>
      <c r="BP22">
        <f>BP18+1</f>
        <v>6</v>
      </c>
      <c r="BQ22">
        <v>4</v>
      </c>
      <c r="BR22" s="107">
        <f>$H$31*H43</f>
        <v>1.0622449173834359E-2</v>
      </c>
    </row>
    <row r="23" spans="1:70" ht="15.75" thickBot="1" x14ac:dyDescent="0.3">
      <c r="A23" s="40" t="s">
        <v>67</v>
      </c>
      <c r="B23" s="56">
        <f>((B22^2.8)/((B22^2.8)+(C22^2.8)))*B21</f>
        <v>3.0591997837951346</v>
      </c>
      <c r="C23" s="57">
        <f>B21-B23</f>
        <v>1.9408002162048654</v>
      </c>
      <c r="D23" s="151">
        <f>SUM(D25:D30)</f>
        <v>1</v>
      </c>
      <c r="E23" s="151">
        <f>SUM(E25:E30)</f>
        <v>1</v>
      </c>
      <c r="H23" s="59">
        <f>SUM(H25:H35)</f>
        <v>0.99978468382610786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0.99217990446349735</v>
      </c>
      <c r="Y23" s="80">
        <f>SUM(Y25:Y35)</f>
        <v>7.6869567429916922E-5</v>
      </c>
      <c r="Z23" s="81"/>
      <c r="AA23" s="80">
        <f>SUM(AA25:AA35)</f>
        <v>1.2124344394708986E-3</v>
      </c>
      <c r="AB23" s="81"/>
      <c r="AC23" s="80">
        <f>SUM(AC25:AC35)</f>
        <v>8.6066863938730146E-3</v>
      </c>
      <c r="AD23" s="81"/>
      <c r="AE23" s="80">
        <f>SUM(AE25:AE35)</f>
        <v>3.6212143829335165E-2</v>
      </c>
      <c r="AF23" s="81"/>
      <c r="AG23" s="80">
        <f>SUM(AG25:AG35)</f>
        <v>0.10001431331445969</v>
      </c>
      <c r="AH23" s="81"/>
      <c r="AI23" s="80">
        <f>SUM(AI25:AI35)</f>
        <v>0.18949316941491401</v>
      </c>
      <c r="AJ23" s="81"/>
      <c r="AK23" s="80">
        <f>SUM(AK25:AK35)</f>
        <v>0.24948842356792075</v>
      </c>
      <c r="AL23" s="81"/>
      <c r="AM23" s="80">
        <f>SUM(AM25:AM35)</f>
        <v>0.22550332298493228</v>
      </c>
      <c r="AN23" s="81"/>
      <c r="AO23" s="80">
        <f>SUM(AO25:AO35)</f>
        <v>0.13406807907084153</v>
      </c>
      <c r="AP23" s="81"/>
      <c r="AQ23" s="80">
        <f>SUM(AQ25:AQ35)</f>
        <v>4.750446188032021E-2</v>
      </c>
      <c r="AR23" s="81"/>
      <c r="AS23" s="80">
        <f>SUM(AS25:AS35)</f>
        <v>7.820095536502647E-3</v>
      </c>
      <c r="BH23">
        <f t="shared" ref="BH23:BH30" si="12">BH15+1</f>
        <v>2</v>
      </c>
      <c r="BI23">
        <v>3</v>
      </c>
      <c r="BJ23" s="107">
        <f t="shared" ref="BJ23:BJ30" si="13">$H$27*H42</f>
        <v>1.4755074634742507E-2</v>
      </c>
      <c r="BP23">
        <f>BL9+1</f>
        <v>6</v>
      </c>
      <c r="BQ23">
        <v>5</v>
      </c>
      <c r="BR23" s="107">
        <f>$H$31*H44</f>
        <v>3.0946105454402175E-3</v>
      </c>
    </row>
    <row r="24" spans="1:70" ht="15.75" thickBot="1" x14ac:dyDescent="0.3">
      <c r="A24" s="26" t="s">
        <v>76</v>
      </c>
      <c r="B24" s="64">
        <f>B23/B21</f>
        <v>0.61183995675902692</v>
      </c>
      <c r="C24" s="65">
        <f>C23/B21</f>
        <v>0.38816004324097308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5.9713540538534277E-3</v>
      </c>
      <c r="BP24">
        <f>BH49+1</f>
        <v>7</v>
      </c>
      <c r="BQ24">
        <v>0</v>
      </c>
      <c r="BR24" s="107">
        <f t="shared" ref="BR24:BR30" si="14">$H$32*H39</f>
        <v>1.0815940613337073E-2</v>
      </c>
    </row>
    <row r="25" spans="1:70" x14ac:dyDescent="0.25">
      <c r="A25" s="26" t="s">
        <v>69</v>
      </c>
      <c r="B25" s="117">
        <f>1/(1+EXP(-3.1416*4*((B11/(B11+C8))-(3.1416/6))))</f>
        <v>0.44500691442140594</v>
      </c>
      <c r="C25" s="118">
        <f>1/(1+EXP(-3.1416*4*((C11/(C11+B8))-(3.1416/6))))</f>
        <v>0.29073488800762715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3.4972279458962479E-3</v>
      </c>
      <c r="I25" s="97">
        <v>0</v>
      </c>
      <c r="J25" s="98">
        <f t="shared" ref="J25:J35" si="15">Y25+AA25+AC25+AE25+AG25+AI25+AK25+AM25+AO25+AQ25+AS25</f>
        <v>5.3914538650380803E-3</v>
      </c>
      <c r="K25" s="97">
        <v>0</v>
      </c>
      <c r="L25" s="98">
        <f>S20</f>
        <v>0.64866138771486026</v>
      </c>
      <c r="M25" s="84">
        <v>0</v>
      </c>
      <c r="N25" s="71">
        <f>(1-$B$24)^$B$21</f>
        <v>8.8115870873653745E-3</v>
      </c>
      <c r="O25" s="70">
        <v>0</v>
      </c>
      <c r="P25" s="71">
        <f>N25</f>
        <v>8.8115870873653745E-3</v>
      </c>
      <c r="Q25" s="12">
        <v>0</v>
      </c>
      <c r="R25" s="73">
        <f>P25*N25</f>
        <v>7.7644066998224206E-5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7.6869567429916922E-5</v>
      </c>
      <c r="W25" s="136">
        <f>B31</f>
        <v>0.66430266986689568</v>
      </c>
      <c r="X25" s="12">
        <v>0</v>
      </c>
      <c r="Y25" s="79">
        <f>V25</f>
        <v>7.6869567429916922E-5</v>
      </c>
      <c r="Z25" s="12">
        <v>0</v>
      </c>
      <c r="AA25" s="78">
        <f>((1-W25)^Z26)*V26</f>
        <v>4.0701100429180751E-4</v>
      </c>
      <c r="AB25" s="12">
        <v>0</v>
      </c>
      <c r="AC25" s="79">
        <f>(((1-$W$25)^AB27))*V27</f>
        <v>9.6991070590487203E-4</v>
      </c>
      <c r="AD25" s="12">
        <v>0</v>
      </c>
      <c r="AE25" s="79">
        <f>(((1-$W$25)^AB28))*V28</f>
        <v>1.3699284921831875E-3</v>
      </c>
      <c r="AF25" s="12">
        <v>0</v>
      </c>
      <c r="AG25" s="79">
        <f>(((1-$W$25)^AB29))*V29</f>
        <v>1.2701461800461394E-3</v>
      </c>
      <c r="AH25" s="12">
        <v>0</v>
      </c>
      <c r="AI25" s="79">
        <f>(((1-$W$25)^AB30))*V30</f>
        <v>8.0785421619806899E-4</v>
      </c>
      <c r="AJ25" s="12">
        <v>0</v>
      </c>
      <c r="AK25" s="79">
        <f>(((1-$W$25)^AB31))*V31</f>
        <v>3.5705714021786405E-4</v>
      </c>
      <c r="AL25" s="12">
        <v>0</v>
      </c>
      <c r="AM25" s="79">
        <f>(((1-$W$25)^AB32))*V32</f>
        <v>1.0833983169753045E-4</v>
      </c>
      <c r="AN25" s="12">
        <v>0</v>
      </c>
      <c r="AO25" s="79">
        <f>(((1-$W$25)^AB33))*V33</f>
        <v>2.1622628399049563E-5</v>
      </c>
      <c r="AP25" s="12">
        <v>0</v>
      </c>
      <c r="AQ25" s="79">
        <f>(((1-$W$25)^AB34))*V34</f>
        <v>2.5719669760082829E-6</v>
      </c>
      <c r="AR25" s="12">
        <v>0</v>
      </c>
      <c r="AS25" s="79">
        <f>(((1-$W$25)^AB35))*V35</f>
        <v>1.4213169363513356E-7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1.7396190768443737E-3</v>
      </c>
      <c r="BP25">
        <f>BP19+1</f>
        <v>7</v>
      </c>
      <c r="BQ25">
        <v>1</v>
      </c>
      <c r="BR25" s="107">
        <f t="shared" si="14"/>
        <v>2.296889720387894E-2</v>
      </c>
    </row>
    <row r="26" spans="1:70" x14ac:dyDescent="0.25">
      <c r="A26" s="40" t="s">
        <v>24</v>
      </c>
      <c r="B26" s="119">
        <f>1/(1+EXP(-3.1416*4*((B10/(B10+C9))-(3.1416/6))))</f>
        <v>0.78396320286255283</v>
      </c>
      <c r="C26" s="120">
        <f>1/(1+EXP(-3.1416*4*((C10/(C10+B9))-(3.1416/6))))</f>
        <v>0.41309059095458539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2.5555869100624965E-2</v>
      </c>
      <c r="I26" s="93">
        <v>1</v>
      </c>
      <c r="J26" s="86">
        <f t="shared" si="15"/>
        <v>3.6954965432687635E-2</v>
      </c>
      <c r="K26" s="93">
        <v>1</v>
      </c>
      <c r="L26" s="86">
        <f>T20</f>
        <v>0.29391143460928437</v>
      </c>
      <c r="M26" s="85">
        <v>1</v>
      </c>
      <c r="N26" s="71">
        <f>(($B$24)^M26)*((1-($B$24))^($B$21-M26))*HLOOKUP($B$21,$AV$24:$BF$34,M26+1)</f>
        <v>6.9446625900712267E-2</v>
      </c>
      <c r="O26" s="72">
        <v>1</v>
      </c>
      <c r="P26" s="71">
        <f t="shared" ref="P26:P30" si="16">N26</f>
        <v>6.9446625900712267E-2</v>
      </c>
      <c r="Q26" s="28">
        <v>1</v>
      </c>
      <c r="R26" s="37">
        <f>N26*P25+P26*N25</f>
        <v>1.2238699840956199E-3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1.2124344394708986E-3</v>
      </c>
      <c r="W26" s="137"/>
      <c r="X26" s="28">
        <v>1</v>
      </c>
      <c r="Y26" s="73"/>
      <c r="Z26" s="28">
        <v>1</v>
      </c>
      <c r="AA26" s="79">
        <f>(1-((1-W25)^Z26))*V26</f>
        <v>8.0542343517909099E-4</v>
      </c>
      <c r="AB26" s="28">
        <v>1</v>
      </c>
      <c r="AC26" s="79">
        <f>((($W$25)^M26)*((1-($W$25))^($U$27-M26))*HLOOKUP($U$27,$AV$24:$BF$34,M26+1))*V27</f>
        <v>3.8386618756224293E-3</v>
      </c>
      <c r="AD26" s="28">
        <v>1</v>
      </c>
      <c r="AE26" s="79">
        <f>((($W$25)^M26)*((1-($W$25))^($U$28-M26))*HLOOKUP($U$28,$AV$24:$BF$34,M26+1))*V28</f>
        <v>8.1327470300986988E-3</v>
      </c>
      <c r="AF26" s="28">
        <v>1</v>
      </c>
      <c r="AG26" s="79">
        <f>((($W$25)^M26)*((1-($W$25))^($U$29-M26))*HLOOKUP($U$29,$AV$24:$BF$34,M26+1))*V29</f>
        <v>1.0053836271993428E-2</v>
      </c>
      <c r="AH26" s="28">
        <v>1</v>
      </c>
      <c r="AI26" s="79">
        <f>((($W$25)^M26)*((1-($W$25))^($U$30-M26))*HLOOKUP($U$30,$AV$24:$BF$34,M26+1))*V30</f>
        <v>7.9932079363100612E-3</v>
      </c>
      <c r="AJ26" s="28">
        <v>1</v>
      </c>
      <c r="AK26" s="79">
        <f>((($W$25)^M26)*((1-($W$25))^($U$31-M26))*HLOOKUP($U$31,$AV$24:$BF$34,M26+1))*V31</f>
        <v>4.2394262375762956E-3</v>
      </c>
      <c r="AL26" s="28">
        <v>1</v>
      </c>
      <c r="AM26" s="79">
        <f>((($W$25)^Q26)*((1-($W$25))^($U$32-Q26))*HLOOKUP($U$32,$AV$24:$BF$34,Q26+1))*V32</f>
        <v>1.5007360229747516E-3</v>
      </c>
      <c r="AN26" s="28">
        <v>1</v>
      </c>
      <c r="AO26" s="79">
        <f>((($W$25)^Q26)*((1-($W$25))^($U$33-Q26))*HLOOKUP($U$33,$AV$24:$BF$34,Q26+1))*V33</f>
        <v>3.4230763215979242E-4</v>
      </c>
      <c r="AP26" s="28">
        <v>1</v>
      </c>
      <c r="AQ26" s="79">
        <f>((($W$25)^Q26)*((1-($W$25))^($U$34-Q26))*HLOOKUP($U$34,$AV$24:$BF$34,Q26+1))*V34</f>
        <v>4.5806383847762706E-5</v>
      </c>
      <c r="AR26" s="28">
        <v>1</v>
      </c>
      <c r="AS26" s="79">
        <f>((($W$25)^Q26)*((1-($W$25))^($U$35-Q26))*HLOOKUP($U$35,$AV$24:$BF$34,Q26+1))*V35</f>
        <v>2.8126069253242459E-6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3.7633871088230939E-4</v>
      </c>
      <c r="BP26">
        <f>BP20+1</f>
        <v>7</v>
      </c>
      <c r="BQ26">
        <v>2</v>
      </c>
      <c r="BR26" s="107">
        <f t="shared" si="14"/>
        <v>2.2425055026733687E-2</v>
      </c>
    </row>
    <row r="27" spans="1:70" x14ac:dyDescent="0.25">
      <c r="A27" s="26" t="s">
        <v>25</v>
      </c>
      <c r="B27" s="119">
        <f>1/(1+EXP(-3.1416*4*((B12/(B12+C7))-(3.1416/6))))</f>
        <v>0.79330930102780806</v>
      </c>
      <c r="C27" s="120">
        <f>1/(1+EXP(-3.1416*4*((C12/(C12+B7))-(3.1416/6))))</f>
        <v>0.45355045454525078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8.5097445977516326E-2</v>
      </c>
      <c r="I27" s="93">
        <v>2</v>
      </c>
      <c r="J27" s="86">
        <f t="shared" si="15"/>
        <v>0.11401080047924052</v>
      </c>
      <c r="K27" s="93">
        <v>2</v>
      </c>
      <c r="L27" s="86">
        <f>U20</f>
        <v>5.222246632549056E-2</v>
      </c>
      <c r="M27" s="85">
        <v>2</v>
      </c>
      <c r="N27" s="71">
        <f>(($B$24)^M27)*((1-($B$24))^($B$21-M27))*HLOOKUP($B$21,$AV$24:$BF$34,M27+1)</f>
        <v>0.2189314501996478</v>
      </c>
      <c r="O27" s="72">
        <v>2</v>
      </c>
      <c r="P27" s="71">
        <f t="shared" si="16"/>
        <v>0.2189314501996478</v>
      </c>
      <c r="Q27" s="28">
        <v>2</v>
      </c>
      <c r="R27" s="37">
        <f>P25*N27+P26*N26+P27*N25</f>
        <v>8.6811009281882647E-3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8.6066863938730146E-3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3.7981138123457134E-3</v>
      </c>
      <c r="AD27" s="28">
        <v>2</v>
      </c>
      <c r="AE27" s="79">
        <f>((($W$25)^M27)*((1-($W$25))^($U$28-M27))*HLOOKUP($U$28,$AV$24:$BF$34,M27+1))*V28</f>
        <v>1.6093680468964391E-2</v>
      </c>
      <c r="AF27" s="28">
        <v>2</v>
      </c>
      <c r="AG27" s="79">
        <f>((($W$25)^M27)*((1-($W$25))^($U$29-M27))*HLOOKUP($U$29,$AV$24:$BF$34,M27+1))*V29</f>
        <v>2.9842910614935741E-2</v>
      </c>
      <c r="AH27" s="28">
        <v>2</v>
      </c>
      <c r="AI27" s="79">
        <f>((($W$25)^M27)*((1-($W$25))^($U$30-M27))*HLOOKUP($U$30,$AV$24:$BF$34,M27+1))*V30</f>
        <v>3.1635100408970475E-2</v>
      </c>
      <c r="AJ27" s="28">
        <v>2</v>
      </c>
      <c r="AK27" s="79">
        <f>((($W$25)^M27)*((1-($W$25))^($U$31-M27))*HLOOKUP($U$31,$AV$24:$BF$34,M27+1))*V31</f>
        <v>2.097322435666267E-2</v>
      </c>
      <c r="AL27" s="28">
        <v>2</v>
      </c>
      <c r="AM27" s="79">
        <f>((($W$25)^Q27)*((1-($W$25))^($U$32-Q27))*HLOOKUP($U$32,$AV$24:$BF$34,Q27+1))*V32</f>
        <v>8.9093018383458612E-3</v>
      </c>
      <c r="AN27" s="28">
        <v>2</v>
      </c>
      <c r="AO27" s="79">
        <f>((($W$25)^Q27)*((1-($W$25))^($U$33-Q27))*HLOOKUP($U$33,$AV$24:$BF$34,Q27+1))*V33</f>
        <v>2.3708426830291117E-3</v>
      </c>
      <c r="AP27" s="28">
        <v>2</v>
      </c>
      <c r="AQ27" s="79">
        <f>((($W$25)^Q27)*((1-($W$25))^($U$34-Q27))*HLOOKUP($U$34,$AV$24:$BF$34,Q27+1))*V34</f>
        <v>3.6258022159367623E-4</v>
      </c>
      <c r="AR27" s="28">
        <v>2</v>
      </c>
      <c r="AS27" s="79">
        <f>((($W$25)^Q27)*((1-($W$25))^($U$35-Q27))*HLOOKUP($U$35,$AV$24:$BF$34,Q27+1))*V35</f>
        <v>2.5046074392881934E-5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6.1442651585364236E-5</v>
      </c>
      <c r="BP27">
        <f>BP21+1</f>
        <v>7</v>
      </c>
      <c r="BQ27">
        <v>3</v>
      </c>
      <c r="BR27" s="107">
        <f t="shared" si="14"/>
        <v>1.333726573071964E-2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0.17071241542011756</v>
      </c>
      <c r="I28" s="93">
        <v>3</v>
      </c>
      <c r="J28" s="86">
        <f t="shared" si="15"/>
        <v>0.20849922571739068</v>
      </c>
      <c r="K28" s="93">
        <v>3</v>
      </c>
      <c r="L28" s="86">
        <f>V20</f>
        <v>5.2047113503648074E-3</v>
      </c>
      <c r="M28" s="85">
        <v>3</v>
      </c>
      <c r="N28" s="71">
        <f>(($B$24)^M28)*((1-($B$24))^($B$21-M28))*HLOOKUP($B$21,$AV$24:$BF$34,M28+1)</f>
        <v>0.34509221481147045</v>
      </c>
      <c r="O28" s="72">
        <v>3</v>
      </c>
      <c r="P28" s="71">
        <f t="shared" si="16"/>
        <v>0.34509221481147045</v>
      </c>
      <c r="Q28" s="28">
        <v>3</v>
      </c>
      <c r="R28" s="37">
        <f>P25*N28+P26*N27+P27*N26+P28*N25</f>
        <v>3.6489721247796862E-2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3.6212143829335165E-2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1.0615787838088888E-2</v>
      </c>
      <c r="AF28" s="28">
        <v>3</v>
      </c>
      <c r="AG28" s="79">
        <f>((($W$25)^M28)*((1-($W$25))^($U$29-M28))*HLOOKUP($U$29,$AV$24:$BF$34,M28+1))*V29</f>
        <v>3.9370237053003299E-2</v>
      </c>
      <c r="AH28" s="28">
        <v>3</v>
      </c>
      <c r="AI28" s="79">
        <f>((($W$25)^M28)*((1-($W$25))^($U$30-M28))*HLOOKUP($U$30,$AV$24:$BF$34,M28+1))*V30</f>
        <v>6.260187310650886E-2</v>
      </c>
      <c r="AJ28" s="28">
        <v>3</v>
      </c>
      <c r="AK28" s="79">
        <f>((($W$25)^M28)*((1-($W$25))^($U$31-M28))*HLOOKUP($U$31,$AV$24:$BF$34,M28+1))*V31</f>
        <v>5.533782045202898E-2</v>
      </c>
      <c r="AL28" s="28">
        <v>3</v>
      </c>
      <c r="AM28" s="79">
        <f>((($W$25)^Q28)*((1-($W$25))^($U$32-Q28))*HLOOKUP($U$32,$AV$24:$BF$34,Q28+1))*V32</f>
        <v>2.938397412691425E-2</v>
      </c>
      <c r="AN28" s="28">
        <v>3</v>
      </c>
      <c r="AO28" s="79">
        <f>((($W$25)^Q28)*((1-($W$25))^($U$33-Q28))*HLOOKUP($U$33,$AV$24:$BF$34,Q28+1))*V33</f>
        <v>9.383197200562552E-3</v>
      </c>
      <c r="AP28" s="28">
        <v>3</v>
      </c>
      <c r="AQ28" s="79">
        <f>((($W$25)^Q28)*((1-($W$25))^($U$34-Q28))*HLOOKUP($U$34,$AV$24:$BF$34,Q28+1))*V34</f>
        <v>1.6741678821720659E-3</v>
      </c>
      <c r="AR28" s="28">
        <v>3</v>
      </c>
      <c r="AS28" s="79">
        <f>((($W$25)^Q28)*((1-($W$25))^($U$35-Q28))*HLOOKUP($U$35,$AV$24:$BF$34,Q28+1))*V35</f>
        <v>1.3216805811178624E-4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7.6083590074008193E-6</v>
      </c>
      <c r="BP28">
        <f>BP22+1</f>
        <v>7</v>
      </c>
      <c r="BQ28">
        <v>4</v>
      </c>
      <c r="BR28" s="107">
        <f t="shared" si="14"/>
        <v>5.3975691590829392E-3</v>
      </c>
    </row>
    <row r="29" spans="1:70" x14ac:dyDescent="0.25">
      <c r="A29" s="26" t="s">
        <v>27</v>
      </c>
      <c r="B29" s="123">
        <f>1/(1+EXP(-3.1416*4*((B14/(B14+C13))-(3.1416/6))))</f>
        <v>0.55499484523556442</v>
      </c>
      <c r="C29" s="118">
        <f>1/(1+EXP(-3.1416*4*((C14/(C14+B13))-(3.1416/6))))</f>
        <v>0.11530167559750559</v>
      </c>
      <c r="D29" s="153">
        <v>0.04</v>
      </c>
      <c r="E29" s="153">
        <v>0.04</v>
      </c>
      <c r="G29" s="87">
        <v>4</v>
      </c>
      <c r="H29" s="128">
        <f>J29*L25+J28*L26+J27*L27+J26*L28</f>
        <v>0.22980743495512423</v>
      </c>
      <c r="I29" s="93">
        <v>4</v>
      </c>
      <c r="J29" s="86">
        <f t="shared" si="15"/>
        <v>0.25033224786947145</v>
      </c>
      <c r="K29" s="93">
        <v>4</v>
      </c>
      <c r="L29" s="86"/>
      <c r="M29" s="85">
        <v>4</v>
      </c>
      <c r="N29" s="71">
        <f>(($B$24)^M29)*((1-($B$24))^($B$21-M29))*HLOOKUP($B$21,$AV$24:$BF$34,M29+1)</f>
        <v>0.27197699694330546</v>
      </c>
      <c r="O29" s="72">
        <v>4</v>
      </c>
      <c r="P29" s="71">
        <f t="shared" si="16"/>
        <v>0.27197699694330546</v>
      </c>
      <c r="Q29" s="28">
        <v>4</v>
      </c>
      <c r="R29" s="37">
        <f>P25*N29+P26*N28+P27*N27+P28*N26+P29*N25</f>
        <v>0.10065505776169378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0.10001431331445969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1.9477183194481083E-2</v>
      </c>
      <c r="AH29" s="28">
        <v>4</v>
      </c>
      <c r="AI29" s="79">
        <f>((($W$25)^M29)*((1-($W$25))^($U$30-M29))*HLOOKUP($U$30,$AV$24:$BF$34,M29+1))*V30</f>
        <v>6.1940604989073528E-2</v>
      </c>
      <c r="AJ29" s="28">
        <v>4</v>
      </c>
      <c r="AK29" s="79">
        <f>((($W$25)^M29)*((1-($W$25))^($U$31-M29))*HLOOKUP($U$31,$AV$24:$BF$34,M29+1))*V31</f>
        <v>8.2129924572952262E-2</v>
      </c>
      <c r="AL29" s="28">
        <v>4</v>
      </c>
      <c r="AM29" s="79">
        <f>((($W$25)^Q29)*((1-($W$25))^($U$32-Q29))*HLOOKUP($U$32,$AV$24:$BF$34,Q29+1))*V32</f>
        <v>5.8147178162153618E-2</v>
      </c>
      <c r="AN29" s="28">
        <v>4</v>
      </c>
      <c r="AO29" s="79">
        <f>((($W$25)^Q29)*((1-($W$25))^($U$33-Q29))*HLOOKUP($U$33,$AV$24:$BF$34,Q29+1))*V33</f>
        <v>2.3210204523185295E-2</v>
      </c>
      <c r="AP29" s="28">
        <v>4</v>
      </c>
      <c r="AQ29" s="79">
        <f>((($W$25)^Q29)*((1-($W$25))^($U$34-Q29))*HLOOKUP($U$34,$AV$24:$BF$34,Q29+1))*V34</f>
        <v>4.9694505769140602E-3</v>
      </c>
      <c r="AR29" s="28">
        <v>4</v>
      </c>
      <c r="AS29" s="79">
        <f>((($W$25)^Q29)*((1-($W$25))^($U$35-Q29))*HLOOKUP($U$35,$AV$24:$BF$34,Q29+1))*V35</f>
        <v>4.5770185071161414E-4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7.1011942035307734E-7</v>
      </c>
      <c r="BP29">
        <f>BP23+1</f>
        <v>7</v>
      </c>
      <c r="BQ29">
        <v>5</v>
      </c>
      <c r="BR29" s="107">
        <f t="shared" si="14"/>
        <v>1.5724598128071415E-3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0.21882993386735761</v>
      </c>
      <c r="I30" s="93">
        <v>5</v>
      </c>
      <c r="J30" s="86">
        <f t="shared" si="15"/>
        <v>0.20622884173374376</v>
      </c>
      <c r="K30" s="93">
        <v>5</v>
      </c>
      <c r="L30" s="86"/>
      <c r="M30" s="85">
        <v>5</v>
      </c>
      <c r="N30" s="71">
        <f>(($B$24)^M30)*((1-($B$24))^($B$21-M30))*HLOOKUP($B$21,$AV$24:$BF$34,M30+1)</f>
        <v>8.5741125057498757E-2</v>
      </c>
      <c r="O30" s="72">
        <v>5</v>
      </c>
      <c r="P30" s="71">
        <f t="shared" si="16"/>
        <v>8.5741125057498757E-2</v>
      </c>
      <c r="Q30" s="28">
        <v>5</v>
      </c>
      <c r="R30" s="37">
        <f>P25*N30+P26*N29+P27*N28+P28*N27+P29*N26+P30*N25</f>
        <v>0.19038987838403468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0.18949316941491398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2.4514528757853007E-2</v>
      </c>
      <c r="AJ30" s="28">
        <v>5</v>
      </c>
      <c r="AK30" s="79">
        <f>((($W$25)^M30)*((1-($W$25))^($U$31-M30))*HLOOKUP($U$31,$AV$24:$BF$34,M30+1))*V31</f>
        <v>6.5009904187377607E-2</v>
      </c>
      <c r="AL30" s="28">
        <v>5</v>
      </c>
      <c r="AM30" s="79">
        <f>((($W$25)^Q30)*((1-($W$25))^($U$32-Q30))*HLOOKUP($U$32,$AV$24:$BF$34,Q30+1))*V32</f>
        <v>6.9039558371874324E-2</v>
      </c>
      <c r="AN30" s="28">
        <v>5</v>
      </c>
      <c r="AO30" s="79">
        <f>((($W$25)^Q30)*((1-($W$25))^($U$33-Q30))*HLOOKUP($U$33,$AV$24:$BF$34,Q30+1))*V33</f>
        <v>3.6744053524155704E-2</v>
      </c>
      <c r="AP30" s="28">
        <v>5</v>
      </c>
      <c r="AQ30" s="79">
        <f>((($W$25)^Q30)*((1-($W$25))^($U$34-Q30))*HLOOKUP($U$34,$AV$24:$BF$34,Q30+1))*V34</f>
        <v>9.8339158214533848E-3</v>
      </c>
      <c r="AR30" s="28">
        <v>5</v>
      </c>
      <c r="AS30" s="79">
        <f>((($W$25)^Q30)*((1-($W$25))^($U$35-Q30))*HLOOKUP($U$35,$AV$24:$BF$34,Q30+1))*V35</f>
        <v>1.0868810710297429E-3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4.8900383329657634E-8</v>
      </c>
      <c r="BP30">
        <f>BL10+1</f>
        <v>7</v>
      </c>
      <c r="BQ30">
        <v>6</v>
      </c>
      <c r="BR30" s="107">
        <f t="shared" si="14"/>
        <v>3.4017648273870798E-4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0.66430266986689568</v>
      </c>
      <c r="C31" s="61">
        <f>(C25*E25)+(C26*E26)+(C27*E27)+(C28*E28)+(C29*E29)+(C30*E30)/(C25+C26+C27+C28+C29+C30)</f>
        <v>0.40856795603730123</v>
      </c>
      <c r="G31" s="87">
        <v>6</v>
      </c>
      <c r="H31" s="128">
        <f>J31*L25+J30*L26+J29*L27+J28*L28</f>
        <v>0.15137995278239291</v>
      </c>
      <c r="I31" s="93">
        <v>6</v>
      </c>
      <c r="J31" s="86">
        <f t="shared" si="15"/>
        <v>0.11810290211556673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0.25008613711932076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0.24948842356792075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2.14410666211051E-2</v>
      </c>
      <c r="AL31" s="28">
        <v>6</v>
      </c>
      <c r="AM31" s="79">
        <f>((($W$25)^Q31)*((1-($W$25))^($U$32-Q31))*HLOOKUP($U$32,$AV$24:$BF$34,Q31+1))*V32</f>
        <v>4.5540192345967026E-2</v>
      </c>
      <c r="AN31" s="28">
        <v>6</v>
      </c>
      <c r="AO31" s="79">
        <f>((($W$25)^Q31)*((1-($W$25))^($U$33-Q31))*HLOOKUP($U$33,$AV$24:$BF$34,Q31+1))*V33</f>
        <v>3.6355923426841803E-2</v>
      </c>
      <c r="AP31" s="28">
        <v>6</v>
      </c>
      <c r="AQ31" s="79">
        <f>((($W$25)^Q31)*((1-($W$25))^($U$34-Q31))*HLOOKUP($U$34,$AV$24:$BF$34,Q31+1))*V34</f>
        <v>1.2973385942326022E-2</v>
      </c>
      <c r="AR31" s="28">
        <v>6</v>
      </c>
      <c r="AS31" s="79">
        <f>((($W$25)^Q31)*((1-($W$25))^($U$35-Q31))*HLOOKUP($U$35,$AV$24:$BF$34,Q31+1))*V35</f>
        <v>1.7923337793267725E-3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1.1979023132273109E-2</v>
      </c>
      <c r="BP31">
        <f t="shared" ref="BP31:BP37" si="21">BP24+1</f>
        <v>8</v>
      </c>
      <c r="BQ31">
        <v>0</v>
      </c>
      <c r="BR31" s="107">
        <f t="shared" ref="BR31:BR38" si="22">$H$33*H39</f>
        <v>4.0356019118201331E-3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7.6920468252684032E-2</v>
      </c>
      <c r="I32" s="93">
        <v>7</v>
      </c>
      <c r="J32" s="86">
        <f t="shared" si="15"/>
        <v>4.6458737326586841E-2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0.22525714620705076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0.22550332298493228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1.2874042285004911E-2</v>
      </c>
      <c r="AN32" s="28">
        <v>7</v>
      </c>
      <c r="AO32" s="79">
        <f>((($W$25)^Q32)*((1-($W$25))^($U$33-Q32))*HLOOKUP($U$33,$AV$24:$BF$34,Q32+1))*V33</f>
        <v>2.0555367529053115E-2</v>
      </c>
      <c r="AP32" s="28">
        <v>7</v>
      </c>
      <c r="AQ32" s="79">
        <f>((($W$25)^Q32)*((1-($W$25))^($U$34-Q32))*HLOOKUP($U$34,$AV$24:$BF$34,Q32+1))*V34</f>
        <v>1.1002583252109463E-2</v>
      </c>
      <c r="AR32" s="28">
        <v>7</v>
      </c>
      <c r="AS32" s="79">
        <f>((($W$25)^Q32)*((1-($W$25))^($U$35-Q32))*HLOOKUP($U$35,$AV$24:$BF$34,Q32+1))*V35</f>
        <v>2.0267442604193554E-3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3.4898177155338137E-3</v>
      </c>
      <c r="BP32">
        <f t="shared" si="21"/>
        <v>8</v>
      </c>
      <c r="BQ32">
        <v>1</v>
      </c>
      <c r="BR32" s="107">
        <f t="shared" si="22"/>
        <v>8.5700660517749484E-3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2.8700267488141896E-2</v>
      </c>
      <c r="I33" s="93">
        <v>8</v>
      </c>
      <c r="J33" s="86">
        <f t="shared" si="15"/>
        <v>1.2031742718378795E-2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0.1331486763593378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0.13406807907084153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5.0845599234551047E-3</v>
      </c>
      <c r="AP33" s="28">
        <v>8</v>
      </c>
      <c r="AQ33" s="79">
        <f>((($W$25)^Q33)*((1-($W$25))^($U$34-Q33))*HLOOKUP($U$34,$AV$24:$BF$34,Q33+1))*V34</f>
        <v>5.4431810843647939E-3</v>
      </c>
      <c r="AR33" s="28">
        <v>8</v>
      </c>
      <c r="AS33" s="79">
        <f>((($W$25)^Q33)*((1-($W$25))^($U$35-Q33))*HLOOKUP($U$35,$AV$24:$BF$34,Q33+1))*V35</f>
        <v>1.5040017105588986E-3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7.5496614043841853E-4</v>
      </c>
      <c r="BP33">
        <f t="shared" si="21"/>
        <v>8</v>
      </c>
      <c r="BQ33">
        <v>2</v>
      </c>
      <c r="BR33" s="107">
        <f t="shared" si="22"/>
        <v>8.3671497629124233E-3</v>
      </c>
    </row>
    <row r="34" spans="1:70" x14ac:dyDescent="0.25">
      <c r="A34" s="40" t="s">
        <v>86</v>
      </c>
      <c r="B34" s="56">
        <f>B23*2</f>
        <v>6.1183995675902692</v>
      </c>
      <c r="C34" s="57">
        <f>C23*2</f>
        <v>3.8816004324097308</v>
      </c>
      <c r="G34" s="87">
        <v>9</v>
      </c>
      <c r="H34" s="128">
        <f>J34*L25+J33*L26+J32*L27+J31*L28</f>
        <v>7.7824927372106721E-3</v>
      </c>
      <c r="I34" s="93">
        <v>9</v>
      </c>
      <c r="J34" s="86">
        <f t="shared" si="15"/>
        <v>1.8582031181692456E-3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4.6639227415357823E-2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4.7504461880320217E-2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1.1968187485629793E-3</v>
      </c>
      <c r="AR34" s="28">
        <v>9</v>
      </c>
      <c r="AS34" s="79">
        <f>((($W$25)^Q34)*((1-($W$25))^($U$35-Q34))*HLOOKUP($U$35,$AV$24:$BF$34,Q34+1))*V35</f>
        <v>6.6138436960626627E-4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1.2325896907323819E-4</v>
      </c>
      <c r="BP34">
        <f t="shared" si="21"/>
        <v>8</v>
      </c>
      <c r="BQ34">
        <v>3</v>
      </c>
      <c r="BR34" s="107">
        <f t="shared" si="22"/>
        <v>4.9763489839224333E-3</v>
      </c>
    </row>
    <row r="35" spans="1:70" ht="15.75" thickBot="1" x14ac:dyDescent="0.3">
      <c r="G35" s="88">
        <v>10</v>
      </c>
      <c r="H35" s="129">
        <f>J35*L25+J34*L26+J33*L27+J32*L28</f>
        <v>1.5011752990413212E-3</v>
      </c>
      <c r="I35" s="94">
        <v>10</v>
      </c>
      <c r="J35" s="89">
        <f t="shared" si="15"/>
        <v>1.3087962372636982E-4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7.3515405261256415E-3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7.820095536502647E-3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1.3087962372636982E-4</v>
      </c>
      <c r="BH35">
        <f t="shared" si="19"/>
        <v>3</v>
      </c>
      <c r="BI35">
        <v>8</v>
      </c>
      <c r="BJ35" s="107">
        <f t="shared" si="20"/>
        <v>1.5262988549385722E-5</v>
      </c>
      <c r="BP35">
        <f t="shared" si="21"/>
        <v>8</v>
      </c>
      <c r="BQ35">
        <v>4</v>
      </c>
      <c r="BR35" s="107">
        <f t="shared" si="22"/>
        <v>2.0139201199678093E-3</v>
      </c>
    </row>
    <row r="36" spans="1:70" x14ac:dyDescent="0.25">
      <c r="A36" s="1"/>
      <c r="B36" s="108">
        <f>SUM(B37:B39)</f>
        <v>0.9982834807159211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1.4245574598941185E-6</v>
      </c>
      <c r="BP36">
        <f t="shared" si="21"/>
        <v>8</v>
      </c>
      <c r="BQ36">
        <v>5</v>
      </c>
      <c r="BR36" s="107">
        <f t="shared" si="22"/>
        <v>5.8671012107812729E-4</v>
      </c>
    </row>
    <row r="37" spans="1:70" ht="15.75" thickBot="1" x14ac:dyDescent="0.3">
      <c r="A37" s="109" t="s">
        <v>104</v>
      </c>
      <c r="B37" s="107">
        <f>SUM(BN4:BN14)</f>
        <v>8.385857554082915E-2</v>
      </c>
      <c r="G37" s="13"/>
      <c r="H37" s="59">
        <f>SUM(H39:H49)</f>
        <v>0.99999997127691609</v>
      </c>
      <c r="I37" s="13"/>
      <c r="J37" s="59">
        <f>SUM(J39:J49)</f>
        <v>1.0000000000000004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0.99990993080238744</v>
      </c>
      <c r="W37" s="13"/>
      <c r="X37" s="13"/>
      <c r="Y37" s="80">
        <f>SUM(Y39:Y49)</f>
        <v>7.2782089093775381E-3</v>
      </c>
      <c r="Z37" s="81"/>
      <c r="AA37" s="80">
        <f>SUM(AA39:AA49)</f>
        <v>4.6247148950124578E-2</v>
      </c>
      <c r="AB37" s="81"/>
      <c r="AC37" s="80">
        <f>SUM(AC39:AC49)</f>
        <v>0.1322847624139494</v>
      </c>
      <c r="AD37" s="81"/>
      <c r="AE37" s="80">
        <f>SUM(AE39:AE49)</f>
        <v>0.22433620148409625</v>
      </c>
      <c r="AF37" s="81"/>
      <c r="AG37" s="80">
        <f>SUM(AG39:AG49)</f>
        <v>0.24983616522322472</v>
      </c>
      <c r="AH37" s="81"/>
      <c r="AI37" s="80">
        <f>SUM(AI39:AI49)</f>
        <v>0.19098472784014639</v>
      </c>
      <c r="AJ37" s="81"/>
      <c r="AK37" s="80">
        <f>SUM(AK39:AK49)</f>
        <v>0.10155165500387003</v>
      </c>
      <c r="AL37" s="81"/>
      <c r="AM37" s="80">
        <f>SUM(AM39:AM49)</f>
        <v>3.7132013850038545E-2</v>
      </c>
      <c r="AN37" s="81"/>
      <c r="AO37" s="80">
        <f>SUM(AO39:AO49)</f>
        <v>8.9600960492892089E-3</v>
      </c>
      <c r="AP37" s="81"/>
      <c r="AQ37" s="80">
        <f>SUM(AQ39:AQ49)</f>
        <v>1.2989510782709347E-3</v>
      </c>
      <c r="AR37" s="81"/>
      <c r="AS37" s="80">
        <f>SUM(AS39:AS49)</f>
        <v>9.0069197612563392E-5</v>
      </c>
      <c r="BH37">
        <f t="shared" si="19"/>
        <v>3</v>
      </c>
      <c r="BI37">
        <v>10</v>
      </c>
      <c r="BJ37" s="107">
        <f t="shared" si="20"/>
        <v>9.8098156264068285E-8</v>
      </c>
      <c r="BP37">
        <f t="shared" si="21"/>
        <v>8</v>
      </c>
      <c r="BQ37">
        <v>6</v>
      </c>
      <c r="BR37" s="107">
        <f t="shared" si="22"/>
        <v>1.2692533300374874E-4</v>
      </c>
    </row>
    <row r="38" spans="1:70" ht="15.75" thickBot="1" x14ac:dyDescent="0.3">
      <c r="A38" s="110" t="s">
        <v>105</v>
      </c>
      <c r="B38" s="107">
        <f>SUM(BJ4:BJ59)</f>
        <v>8.5080639180231038E-2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4.6978777477555819E-3</v>
      </c>
      <c r="BP38">
        <f>BL11+1</f>
        <v>8</v>
      </c>
      <c r="BQ38">
        <v>7</v>
      </c>
      <c r="BR38" s="107">
        <f t="shared" si="22"/>
        <v>2.0722367345155978E-5</v>
      </c>
    </row>
    <row r="39" spans="1:70" x14ac:dyDescent="0.25">
      <c r="A39" s="111" t="s">
        <v>0</v>
      </c>
      <c r="B39" s="107">
        <f>SUM(BR4:BR47)</f>
        <v>0.82934426599486089</v>
      </c>
      <c r="G39" s="130">
        <v>0</v>
      </c>
      <c r="H39" s="131">
        <f>L39*J39</f>
        <v>0.14061199650796025</v>
      </c>
      <c r="I39" s="97">
        <v>0</v>
      </c>
      <c r="J39" s="98">
        <f t="shared" ref="J39:J49" si="37">Y39+AA39+AC39+AE39+AG39+AI39+AK39+AM39+AO39+AQ39+AS39</f>
        <v>0.17713392889827456</v>
      </c>
      <c r="K39" s="102">
        <v>0</v>
      </c>
      <c r="L39" s="98">
        <f>AC20</f>
        <v>0.79381740913516163</v>
      </c>
      <c r="M39" s="84">
        <v>0</v>
      </c>
      <c r="N39" s="71">
        <f>(1-$C$24)^$B$21</f>
        <v>8.5741125057498757E-2</v>
      </c>
      <c r="O39" s="70">
        <v>0</v>
      </c>
      <c r="P39" s="71">
        <f>N39</f>
        <v>8.5741125057498757E-2</v>
      </c>
      <c r="Q39" s="12">
        <v>0</v>
      </c>
      <c r="R39" s="73">
        <f>P39*N39</f>
        <v>7.3515405261256415E-3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7.2782089093775381E-3</v>
      </c>
      <c r="W39" s="136">
        <f>C31</f>
        <v>0.40856795603730123</v>
      </c>
      <c r="X39" s="12">
        <v>0</v>
      </c>
      <c r="Y39" s="79">
        <f>V39</f>
        <v>7.2782089093775381E-3</v>
      </c>
      <c r="Z39" s="12">
        <v>0</v>
      </c>
      <c r="AA39" s="78">
        <f>((1-W39)^Z40)*V40</f>
        <v>2.7352045831019557E-2</v>
      </c>
      <c r="AB39" s="12">
        <v>0</v>
      </c>
      <c r="AC39" s="79">
        <f>(((1-$W$39)^AB41))*V41</f>
        <v>4.627213344179943E-2</v>
      </c>
      <c r="AD39" s="12">
        <v>0</v>
      </c>
      <c r="AE39" s="79">
        <f>(((1-$W$39)^AB42))*V42</f>
        <v>4.6410250775173544E-2</v>
      </c>
      <c r="AF39" s="12">
        <v>0</v>
      </c>
      <c r="AG39" s="79">
        <f>(((1-$W$39)^AB43))*V43</f>
        <v>3.0568540892669034E-2</v>
      </c>
      <c r="AH39" s="12">
        <v>0</v>
      </c>
      <c r="AI39" s="79">
        <f>(((1-$W$39)^AB44))*V44</f>
        <v>1.3820472632098513E-2</v>
      </c>
      <c r="AJ39" s="12">
        <v>0</v>
      </c>
      <c r="AK39" s="79">
        <f>(((1-$W$39)^AB45))*V45</f>
        <v>4.3462640913361165E-3</v>
      </c>
      <c r="AL39" s="12">
        <v>0</v>
      </c>
      <c r="AM39" s="79">
        <f>(((1-$W$39)^AB46))*V46</f>
        <v>9.3990175600035697E-4</v>
      </c>
      <c r="AN39" s="12">
        <v>0</v>
      </c>
      <c r="AO39" s="79">
        <f>(((1-$W$39)^AB47))*V47</f>
        <v>1.3413789088241124E-4</v>
      </c>
      <c r="AP39" s="12">
        <v>0</v>
      </c>
      <c r="AQ39" s="79">
        <f>(((1-$W$39)^AB48))*V48</f>
        <v>1.1501022525585251E-5</v>
      </c>
      <c r="AR39" s="12">
        <v>0</v>
      </c>
      <c r="AS39" s="79">
        <f>(((1-$W$39)^AB49))*V49</f>
        <v>4.7165539247460144E-7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1.0163105699439207E-3</v>
      </c>
      <c r="BP39">
        <f t="shared" ref="BP39:BP46" si="38">BP31+1</f>
        <v>9</v>
      </c>
      <c r="BQ39">
        <v>0</v>
      </c>
      <c r="BR39" s="107">
        <f t="shared" ref="BR39:BR47" si="39">$H$34*H39</f>
        <v>1.0943118415878931E-3</v>
      </c>
    </row>
    <row r="40" spans="1:70" x14ac:dyDescent="0.25">
      <c r="G40" s="91">
        <v>1</v>
      </c>
      <c r="H40" s="132">
        <f>L39*J40+L40*J39</f>
        <v>0.29860579018351818</v>
      </c>
      <c r="I40" s="93">
        <v>1</v>
      </c>
      <c r="J40" s="86">
        <f t="shared" si="37"/>
        <v>0.33458881441638827</v>
      </c>
      <c r="K40" s="95">
        <v>1</v>
      </c>
      <c r="L40" s="86">
        <f>AD20</f>
        <v>0.18631870586943733</v>
      </c>
      <c r="M40" s="85">
        <v>1</v>
      </c>
      <c r="N40" s="71">
        <f>(($C$24)^M26)*((1-($C$24))^($B$21-M26))*HLOOKUP($B$21,$AV$24:$BF$34,M26+1)</f>
        <v>0.27197699694330546</v>
      </c>
      <c r="O40" s="72">
        <v>1</v>
      </c>
      <c r="P40" s="71">
        <f t="shared" ref="P40:P44" si="40">N40</f>
        <v>0.27197699694330546</v>
      </c>
      <c r="Q40" s="28">
        <v>1</v>
      </c>
      <c r="R40" s="37">
        <f>P40*N39+P39*N40</f>
        <v>4.6639227415357823E-2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4.6247148950124578E-2</v>
      </c>
      <c r="W40" s="137"/>
      <c r="X40" s="28">
        <v>1</v>
      </c>
      <c r="Y40" s="73"/>
      <c r="Z40" s="28">
        <v>1</v>
      </c>
      <c r="AA40" s="79">
        <f>(1-((1-W39)^Z40))*V40</f>
        <v>1.8895103119105021E-2</v>
      </c>
      <c r="AB40" s="28">
        <v>1</v>
      </c>
      <c r="AC40" s="79">
        <f>((($W$39)^M40)*((1-($W$39))^($U$27-M40))*HLOOKUP($U$27,$AV$24:$BF$34,M40+1))*V41</f>
        <v>6.3930627955605293E-2</v>
      </c>
      <c r="AD40" s="28">
        <v>1</v>
      </c>
      <c r="AE40" s="79">
        <f>((($W$39)^M40)*((1-($W$39))^($U$28-M40))*HLOOKUP($U$28,$AV$24:$BF$34,M40+1))*V42</f>
        <v>9.6182180989100099E-2</v>
      </c>
      <c r="AF40" s="28">
        <v>1</v>
      </c>
      <c r="AG40" s="79">
        <f>((($W$39)^M40)*((1-($W$39))^($U$29-M40))*HLOOKUP($U$29,$AV$24:$BF$34,M40+1))*V43</f>
        <v>8.4468377383678864E-2</v>
      </c>
      <c r="AH40" s="28">
        <v>1</v>
      </c>
      <c r="AI40" s="79">
        <f>((($W$39)^M40)*((1-($W$39))^($U$30-M40))*HLOOKUP($U$30,$AV$24:$BF$34,M40+1))*V44</f>
        <v>4.7736695300889691E-2</v>
      </c>
      <c r="AJ40" s="28">
        <v>1</v>
      </c>
      <c r="AK40" s="79">
        <f>((($W$39)^M40)*((1-($W$39))^($U$31-M40))*HLOOKUP($U$31,$AV$24:$BF$34,M40+1))*V45</f>
        <v>1.8014690827007445E-2</v>
      </c>
      <c r="AL40" s="28">
        <v>1</v>
      </c>
      <c r="AM40" s="79">
        <f>((($W$39)^Q40)*((1-($W$39))^($U$32-Q40))*HLOOKUP($U$32,$AV$24:$BF$34,Q40+1))*V46</f>
        <v>4.5450634653878995E-3</v>
      </c>
      <c r="AN40" s="28">
        <v>1</v>
      </c>
      <c r="AO40" s="79">
        <f>((($W$39)^Q40)*((1-($W$39))^($U$33-Q40))*HLOOKUP($U$33,$AV$24:$BF$34,Q40+1))*V47</f>
        <v>7.4131179687569003E-4</v>
      </c>
      <c r="AP40" s="28">
        <v>1</v>
      </c>
      <c r="AQ40" s="79">
        <f>((($W$39)^Q40)*((1-($W$39))^($U$34-Q40))*HLOOKUP($U$34,$AV$24:$BF$34,Q40+1))*V48</f>
        <v>7.1505329855315006E-5</v>
      </c>
      <c r="AR40" s="28">
        <v>1</v>
      </c>
      <c r="AS40" s="79">
        <f>((($W$39)^Q40)*((1-($W$39))^($U$35-Q40))*HLOOKUP($U$35,$AV$24:$BF$34,Q40+1))*V49</f>
        <v>3.2582488829345989E-6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1.6592716732538135E-4</v>
      </c>
      <c r="BP40">
        <f t="shared" si="38"/>
        <v>9</v>
      </c>
      <c r="BQ40">
        <v>1</v>
      </c>
      <c r="BR40" s="107">
        <f t="shared" si="39"/>
        <v>2.3238973933922841E-3</v>
      </c>
    </row>
    <row r="41" spans="1:70" x14ac:dyDescent="0.25">
      <c r="G41" s="91">
        <v>2</v>
      </c>
      <c r="H41" s="132">
        <f>L39*J41+J40*L40+J39*L41</f>
        <v>0.29153560211135604</v>
      </c>
      <c r="I41" s="93">
        <v>2</v>
      </c>
      <c r="J41" s="86">
        <f t="shared" si="37"/>
        <v>0.28453872288616805</v>
      </c>
      <c r="K41" s="95">
        <v>2</v>
      </c>
      <c r="L41" s="86">
        <f>AE20</f>
        <v>1.8763516574446679E-2</v>
      </c>
      <c r="M41" s="85">
        <v>2</v>
      </c>
      <c r="N41" s="71">
        <f>(($C$24)^M27)*((1-($C$24))^($B$21-M27))*HLOOKUP($B$21,$AV$24:$BF$34,M27+1)</f>
        <v>0.34509221481147045</v>
      </c>
      <c r="O41" s="72">
        <v>2</v>
      </c>
      <c r="P41" s="71">
        <f t="shared" si="40"/>
        <v>0.34509221481147045</v>
      </c>
      <c r="Q41" s="28">
        <v>2</v>
      </c>
      <c r="R41" s="37">
        <f>P41*N39+P40*N40+P39*N41</f>
        <v>0.1331486763593378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0.13228476241394937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2.2082001016544662E-2</v>
      </c>
      <c r="AD41" s="28">
        <v>2</v>
      </c>
      <c r="AE41" s="79">
        <f>((($W$39)^M41)*((1-($W$39))^($U$28-M41))*HLOOKUP($U$28,$AV$24:$BF$34,M41+1))*V42</f>
        <v>6.6443740231979756E-2</v>
      </c>
      <c r="AF41" s="28">
        <v>2</v>
      </c>
      <c r="AG41" s="79">
        <f>((($W$39)^M41)*((1-($W$39))^($U$29-M41))*HLOOKUP($U$29,$AV$24:$BF$34,M41+1))*V43</f>
        <v>8.7527568001405931E-2</v>
      </c>
      <c r="AH41" s="28">
        <v>2</v>
      </c>
      <c r="AI41" s="79">
        <f>((($W$39)^M41)*((1-($W$39))^($U$30-M41))*HLOOKUP($U$30,$AV$24:$BF$34,M41+1))*V44</f>
        <v>6.5954099802850802E-2</v>
      </c>
      <c r="AJ41" s="28">
        <v>2</v>
      </c>
      <c r="AK41" s="79">
        <f>((($W$39)^M41)*((1-($W$39))^($U$31-M41))*HLOOKUP($U$31,$AV$24:$BF$34,M41+1))*V45</f>
        <v>3.1111881259085768E-2</v>
      </c>
      <c r="AL41" s="28">
        <v>2</v>
      </c>
      <c r="AM41" s="79">
        <f>((($W$39)^Q41)*((1-($W$39))^($U$32-Q41))*HLOOKUP($U$32,$AV$24:$BF$34,Q41+1))*V46</f>
        <v>9.4193439926149748E-3</v>
      </c>
      <c r="AN41" s="28">
        <v>2</v>
      </c>
      <c r="AO41" s="79">
        <f>((($W$39)^Q41)*((1-($W$39))^($U$33-Q41))*HLOOKUP($U$33,$AV$24:$BF$34,Q41+1))*V47</f>
        <v>1.7923730554448903E-3</v>
      </c>
      <c r="AP41" s="28">
        <v>2</v>
      </c>
      <c r="AQ41" s="79">
        <f>((($W$39)^Q41)*((1-($W$39))^($U$34-Q41))*HLOOKUP($U$34,$AV$24:$BF$34,Q41+1))*V48</f>
        <v>1.9758676766321178E-4</v>
      </c>
      <c r="AR41" s="28">
        <v>2</v>
      </c>
      <c r="AS41" s="79">
        <f>((($W$39)^Q41)*((1-($W$39))^($U$35-Q41))*HLOOKUP($U$35,$AV$24:$BF$34,Q41+1))*V49</f>
        <v>1.0128758578059319E-5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2.054653283214233E-5</v>
      </c>
      <c r="BP41">
        <f t="shared" si="38"/>
        <v>9</v>
      </c>
      <c r="BQ41">
        <v>2</v>
      </c>
      <c r="BR41" s="107">
        <f t="shared" si="39"/>
        <v>2.2688737060699688E-3</v>
      </c>
    </row>
    <row r="42" spans="1:70" ht="15" customHeight="1" x14ac:dyDescent="0.25">
      <c r="G42" s="91">
        <v>3</v>
      </c>
      <c r="H42" s="132">
        <f>J42*L39+J41*L40+L42*J39+L41*J40</f>
        <v>0.17339033463637626</v>
      </c>
      <c r="I42" s="93">
        <v>3</v>
      </c>
      <c r="J42" s="86">
        <f t="shared" si="37"/>
        <v>0.14348699255161262</v>
      </c>
      <c r="K42" s="95">
        <v>3</v>
      </c>
      <c r="L42" s="86">
        <f>AF20</f>
        <v>1.100368420954359E-3</v>
      </c>
      <c r="M42" s="85">
        <v>3</v>
      </c>
      <c r="N42" s="71">
        <f>(($C$24)^M28)*((1-($C$24))^($B$21-M28))*HLOOKUP($B$21,$AV$24:$BF$34,M28+1)</f>
        <v>0.2189314501996478</v>
      </c>
      <c r="O42" s="72">
        <v>3</v>
      </c>
      <c r="P42" s="71">
        <f t="shared" si="40"/>
        <v>0.2189314501996478</v>
      </c>
      <c r="Q42" s="28">
        <v>3</v>
      </c>
      <c r="R42" s="37">
        <f>P42*N39+P41*N40+P40*N41+P39*N42</f>
        <v>0.22525714620705076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0.22433620148409622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1.5300029487842844E-2</v>
      </c>
      <c r="AF42" s="28">
        <v>3</v>
      </c>
      <c r="AG42" s="79">
        <f>((($W$39)^M42)*((1-($W$39))^($U$29-M42))*HLOOKUP($U$29,$AV$24:$BF$34,M42+1))*V43</f>
        <v>4.0310023690572669E-2</v>
      </c>
      <c r="AH42" s="28">
        <v>3</v>
      </c>
      <c r="AI42" s="79">
        <f>((($W$39)^M42)*((1-($W$39))^($U$30-M42))*HLOOKUP($U$30,$AV$24:$BF$34,M42+1))*V44</f>
        <v>4.5561839308169851E-2</v>
      </c>
      <c r="AJ42" s="28">
        <v>3</v>
      </c>
      <c r="AK42" s="79">
        <f>((($W$39)^M42)*((1-($W$39))^($U$31-M42))*HLOOKUP($U$31,$AV$24:$BF$34,M42+1))*V45</f>
        <v>2.865658670173234E-2</v>
      </c>
      <c r="AL42" s="28">
        <v>3</v>
      </c>
      <c r="AM42" s="79">
        <f>((($W$39)^Q42)*((1-($W$39))^($U$32-Q42))*HLOOKUP($U$32,$AV$24:$BF$34,Q42+1))*V46</f>
        <v>1.0844982562689965E-2</v>
      </c>
      <c r="AN42" s="28">
        <v>3</v>
      </c>
      <c r="AO42" s="79">
        <f>((($W$39)^Q42)*((1-($W$39))^($U$33-Q42))*HLOOKUP($U$33,$AV$24:$BF$34,Q42+1))*V47</f>
        <v>2.4763832233805627E-3</v>
      </c>
      <c r="AP42" s="28">
        <v>3</v>
      </c>
      <c r="AQ42" s="79">
        <f>((($W$39)^Q42)*((1-($W$39))^($U$34-Q42))*HLOOKUP($U$34,$AV$24:$BF$34,Q42+1))*V48</f>
        <v>3.1848874743805672E-4</v>
      </c>
      <c r="AR42" s="28">
        <v>3</v>
      </c>
      <c r="AS42" s="79">
        <f>((($W$39)^Q42)*((1-($W$39))^($U$35-Q42))*HLOOKUP($U$35,$AV$24:$BF$34,Q42+1))*V49</f>
        <v>1.865882978634133E-5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1.9176923658352465E-6</v>
      </c>
      <c r="BP42">
        <f t="shared" si="38"/>
        <v>9</v>
      </c>
      <c r="BQ42">
        <v>3</v>
      </c>
      <c r="BR42" s="107">
        <f t="shared" si="39"/>
        <v>1.3494090200101264E-3</v>
      </c>
    </row>
    <row r="43" spans="1:70" ht="15" customHeight="1" x14ac:dyDescent="0.25">
      <c r="G43" s="91">
        <v>4</v>
      </c>
      <c r="H43" s="132">
        <f>J43*L39+J42*L40+J41*L41+J40*L42</f>
        <v>7.0170778749706827E-2</v>
      </c>
      <c r="I43" s="93">
        <v>4</v>
      </c>
      <c r="J43" s="86">
        <f t="shared" si="37"/>
        <v>4.7529002949384558E-2</v>
      </c>
      <c r="K43" s="95">
        <v>4</v>
      </c>
      <c r="L43" s="86"/>
      <c r="M43" s="85">
        <v>4</v>
      </c>
      <c r="N43" s="71">
        <f>(($C$24)^M29)*((1-($C$24))^($B$21-M29))*HLOOKUP($B$21,$AV$24:$BF$34,M29+1)</f>
        <v>6.9446625900712267E-2</v>
      </c>
      <c r="O43" s="72">
        <v>4</v>
      </c>
      <c r="P43" s="71">
        <f t="shared" si="40"/>
        <v>6.9446625900712267E-2</v>
      </c>
      <c r="Q43" s="28">
        <v>4</v>
      </c>
      <c r="R43" s="37">
        <f>P43*N39+P42*N40+P41*N41+P40*N42+P39*N43</f>
        <v>0.25008613711932076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0.24983616522322469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6.9616552548982186E-3</v>
      </c>
      <c r="AH43" s="28">
        <v>4</v>
      </c>
      <c r="AI43" s="79">
        <f>((($W$39)^M43)*((1-($W$39))^($U$30-M43))*HLOOKUP($U$30,$AV$24:$BF$34,M43+1))*V44</f>
        <v>1.5737317371844133E-2</v>
      </c>
      <c r="AJ43" s="28">
        <v>4</v>
      </c>
      <c r="AK43" s="79">
        <f>((($W$39)^M43)*((1-($W$39))^($U$31-M43))*HLOOKUP($U$31,$AV$24:$BF$34,M43+1))*V45</f>
        <v>1.4847221048363063E-2</v>
      </c>
      <c r="AL43" s="28">
        <v>4</v>
      </c>
      <c r="AM43" s="79">
        <f>((($W$39)^Q43)*((1-($W$39))^($U$32-Q43))*HLOOKUP($U$32,$AV$24:$BF$34,Q43+1))*V46</f>
        <v>7.4918368122405404E-3</v>
      </c>
      <c r="AN43" s="28">
        <v>4</v>
      </c>
      <c r="AO43" s="79">
        <f>((($W$39)^Q43)*((1-($W$39))^($U$33-Q43))*HLOOKUP($U$33,$AV$24:$BF$34,Q43+1))*V47</f>
        <v>2.1383919806800991E-3</v>
      </c>
      <c r="AP43" s="28">
        <v>4</v>
      </c>
      <c r="AQ43" s="79">
        <f>((($W$39)^Q43)*((1-($W$39))^($U$34-Q43))*HLOOKUP($U$34,$AV$24:$BF$34,Q43+1))*V48</f>
        <v>3.3002345211917698E-4</v>
      </c>
      <c r="AR43" s="28">
        <v>4</v>
      </c>
      <c r="AS43" s="79">
        <f>((($W$39)^Q43)*((1-($W$39))^($U$35-Q43))*HLOOKUP($U$35,$AV$24:$BF$34,Q43+1))*V49</f>
        <v>2.2557029239330223E-5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1.3205650924329801E-7</v>
      </c>
      <c r="BP43">
        <f t="shared" si="38"/>
        <v>9</v>
      </c>
      <c r="BQ43">
        <v>4</v>
      </c>
      <c r="BR43" s="107">
        <f t="shared" si="39"/>
        <v>5.4610357598401031E-4</v>
      </c>
    </row>
    <row r="44" spans="1:70" ht="15" customHeight="1" thickBot="1" x14ac:dyDescent="0.3">
      <c r="G44" s="91">
        <v>5</v>
      </c>
      <c r="H44" s="132">
        <f>J44*L39+J43*L40+J42*L41+J41*L42</f>
        <v>2.0442670832964836E-2</v>
      </c>
      <c r="I44" s="93">
        <v>5</v>
      </c>
      <c r="J44" s="86">
        <f t="shared" si="37"/>
        <v>1.0810685713428757E-2</v>
      </c>
      <c r="K44" s="95">
        <v>5</v>
      </c>
      <c r="L44" s="86"/>
      <c r="M44" s="85">
        <v>5</v>
      </c>
      <c r="N44" s="71">
        <f>(($C$24)^M30)*((1-($C$24))^($B$21-M30))*HLOOKUP($B$21,$AV$24:$BF$34,M30+1)</f>
        <v>8.8115870873653745E-3</v>
      </c>
      <c r="O44" s="72">
        <v>5</v>
      </c>
      <c r="P44" s="71">
        <f t="shared" si="40"/>
        <v>8.8115870873653745E-3</v>
      </c>
      <c r="Q44" s="28">
        <v>5</v>
      </c>
      <c r="R44" s="37">
        <f>P44*N39+P43*N40+P42*N41+P41*N42+P40*N43+P39*N44</f>
        <v>0.19038987838403468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0.19098472784014636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2.1743034242933884E-3</v>
      </c>
      <c r="AJ44" s="28">
        <v>5</v>
      </c>
      <c r="AK44" s="79">
        <f>((($W$39)^M44)*((1-($W$39))^($U$31-M44))*HLOOKUP($U$31,$AV$24:$BF$34,M44+1))*V45</f>
        <v>4.102651399081972E-3</v>
      </c>
      <c r="AL44" s="28">
        <v>5</v>
      </c>
      <c r="AM44" s="79">
        <f>((($W$39)^Q44)*((1-($W$39))^($U$32-Q44))*HLOOKUP($U$32,$AV$24:$BF$34,Q44+1))*V46</f>
        <v>3.1052674449291544E-3</v>
      </c>
      <c r="AN44" s="28">
        <v>5</v>
      </c>
      <c r="AO44" s="79">
        <f>((($W$39)^Q44)*((1-($W$39))^($U$33-Q44))*HLOOKUP($U$33,$AV$24:$BF$34,Q44+1))*V47</f>
        <v>1.1817803241085483E-3</v>
      </c>
      <c r="AP44" s="28">
        <v>5</v>
      </c>
      <c r="AQ44" s="79">
        <f>((($W$39)^Q44)*((1-($W$39))^($U$34-Q44))*HLOOKUP($U$34,$AV$24:$BF$34,Q44+1))*V48</f>
        <v>2.2798393941132208E-4</v>
      </c>
      <c r="AR44" s="28">
        <v>5</v>
      </c>
      <c r="AS44" s="79">
        <f>((($W$39)^Q44)*((1-($W$39))^($U$35-Q44))*HLOOKUP($U$35,$AV$24:$BF$34,Q44+1))*V49</f>
        <v>1.8699181604373217E-5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9.6776318334937167E-4</v>
      </c>
      <c r="BP44">
        <f t="shared" si="38"/>
        <v>9</v>
      </c>
      <c r="BQ44">
        <v>5</v>
      </c>
      <c r="BR44" s="107">
        <f t="shared" si="39"/>
        <v>1.5909493728673727E-4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4.4224442526952243E-3</v>
      </c>
      <c r="I45" s="93">
        <v>6</v>
      </c>
      <c r="J45" s="86">
        <f t="shared" si="37"/>
        <v>1.711365202306168E-3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0.10065505776169378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0.10155165500387003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4.7235967726333672E-4</v>
      </c>
      <c r="AL45" s="28">
        <v>6</v>
      </c>
      <c r="AM45" s="79">
        <f>((($W$39)^Q45)*((1-($W$39))^($U$32-Q45))*HLOOKUP($U$32,$AV$24:$BF$34,Q45+1))*V46</f>
        <v>7.1505130971220225E-4</v>
      </c>
      <c r="AN45" s="28">
        <v>6</v>
      </c>
      <c r="AO45" s="79">
        <f>((($W$39)^Q45)*((1-($W$39))^($U$33-Q45))*HLOOKUP($U$33,$AV$24:$BF$34,Q45+1))*V47</f>
        <v>4.081936178762249E-4</v>
      </c>
      <c r="AP45" s="28">
        <v>6</v>
      </c>
      <c r="AQ45" s="79">
        <f>((($W$39)^Q45)*((1-($W$39))^($U$34-Q45))*HLOOKUP($U$34,$AV$24:$BF$34,Q45+1))*V48</f>
        <v>1.0499592538196492E-4</v>
      </c>
      <c r="AR45" s="28">
        <v>6</v>
      </c>
      <c r="AS45" s="79">
        <f>((($W$39)^Q45)*((1-($W$39))^($U$35-Q45))*HLOOKUP($U$35,$AV$24:$BF$34,Q45+1))*V49</f>
        <v>1.0764672072439188E-5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1.5800111541082907E-4</v>
      </c>
      <c r="BP45">
        <f t="shared" si="38"/>
        <v>9</v>
      </c>
      <c r="BQ45">
        <v>6</v>
      </c>
      <c r="BR45" s="107">
        <f t="shared" si="39"/>
        <v>3.4417640277319661E-5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7.2202697601051445E-4</v>
      </c>
      <c r="I46" s="93">
        <v>7</v>
      </c>
      <c r="J46" s="86">
        <f t="shared" si="37"/>
        <v>1.8646823570939649E-4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3.6489721247796862E-2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3.7132013850038545E-2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7.0566506463453155E-5</v>
      </c>
      <c r="AN46" s="28">
        <v>7</v>
      </c>
      <c r="AO46" s="79">
        <f>((($W$39)^Q46)*((1-($W$39))^($U$33-Q46))*HLOOKUP($U$33,$AV$24:$BF$34,Q46+1))*V47</f>
        <v>8.0567078705992329E-5</v>
      </c>
      <c r="AP46" s="28">
        <v>7</v>
      </c>
      <c r="AQ46" s="79">
        <f>((($W$39)^Q46)*((1-($W$39))^($U$34-Q46))*HLOOKUP($U$34,$AV$24:$BF$34,Q46+1))*V48</f>
        <v>3.1085303445223116E-5</v>
      </c>
      <c r="AR46" s="28">
        <v>7</v>
      </c>
      <c r="AS46" s="79">
        <f>((($W$39)^Q46)*((1-($W$39))^($U$35-Q46))*HLOOKUP($U$35,$AV$24:$BF$34,Q46+1))*V49</f>
        <v>4.2493470947279114E-6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1.9565060728949847E-5</v>
      </c>
      <c r="BP46">
        <f t="shared" si="38"/>
        <v>9</v>
      </c>
      <c r="BQ46">
        <v>7</v>
      </c>
      <c r="BR46" s="107">
        <f t="shared" si="39"/>
        <v>5.6191696968720125E-6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8.9407607008687787E-5</v>
      </c>
      <c r="I47" s="93">
        <v>8</v>
      </c>
      <c r="J47" s="86">
        <f t="shared" si="37"/>
        <v>1.342641269463337E-5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8.6811009281882647E-3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8.9600960492892089E-3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6.9570813347914677E-6</v>
      </c>
      <c r="AP47" s="28">
        <v>8</v>
      </c>
      <c r="AQ47" s="79">
        <f>((($W$39)^Q47)*((1-($W$39))^($U$34-Q47))*HLOOKUP($U$34,$AV$24:$BF$34,Q47+1))*V48</f>
        <v>5.3685199428487076E-6</v>
      </c>
      <c r="AR47" s="28">
        <v>8</v>
      </c>
      <c r="AS47" s="79">
        <f>((($W$39)^Q47)*((1-($W$39))^($U$35-Q47))*HLOOKUP($U$35,$AV$24:$BF$34,Q47+1))*V49</f>
        <v>1.1008114169931951E-6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1.826087540098999E-6</v>
      </c>
      <c r="BP47">
        <f>BL12+1</f>
        <v>9</v>
      </c>
      <c r="BQ47">
        <v>8</v>
      </c>
      <c r="BR47" s="107">
        <f t="shared" si="39"/>
        <v>6.9581405219649864E-7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8.344779472473224E-6</v>
      </c>
      <c r="I48" s="93">
        <v>9</v>
      </c>
      <c r="J48" s="86">
        <f t="shared" si="37"/>
        <v>5.810600432203996E-7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1.2238699840956199E-3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1.2989510782709345E-3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4.1207048823000002E-7</v>
      </c>
      <c r="AR48" s="28">
        <v>9</v>
      </c>
      <c r="AS48" s="79">
        <f>((($W$39)^Q48)*((1-($W$39))^($U$35-Q48))*HLOOKUP($U$35,$AV$24:$BF$34,Q48+1))*V49</f>
        <v>1.6898955499039955E-7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1.2574839969867842E-7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5.7463984691829233E-7</v>
      </c>
      <c r="I49" s="94">
        <v>10</v>
      </c>
      <c r="J49" s="89">
        <f t="shared" si="37"/>
        <v>1.1673989899410185E-8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7.7644066998224206E-5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9.0069197612563379E-5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1.1673989899410185E-8</v>
      </c>
      <c r="BH49">
        <f>BP14+1</f>
        <v>6</v>
      </c>
      <c r="BI49">
        <v>0</v>
      </c>
      <c r="BJ49" s="107">
        <f>$H$31*H39</f>
        <v>2.1285837392013018E-2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1.0930040953608561E-4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1.3534519327361899E-5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1.2632323225224783E-6</v>
      </c>
    </row>
    <row r="53" spans="1:62" x14ac:dyDescent="0.25">
      <c r="BH53">
        <f>BH48+1</f>
        <v>6</v>
      </c>
      <c r="BI53">
        <v>10</v>
      </c>
      <c r="BJ53" s="107">
        <f>$H$31*H49</f>
        <v>8.6988952893372581E-8</v>
      </c>
    </row>
    <row r="54" spans="1:62" x14ac:dyDescent="0.25">
      <c r="BH54">
        <f>BH51+1</f>
        <v>7</v>
      </c>
      <c r="BI54">
        <v>8</v>
      </c>
      <c r="BJ54" s="107">
        <f>$H$32*H47</f>
        <v>6.877274996460219E-6</v>
      </c>
    </row>
    <row r="55" spans="1:62" x14ac:dyDescent="0.25">
      <c r="BH55">
        <f>BH52+1</f>
        <v>7</v>
      </c>
      <c r="BI55">
        <v>9</v>
      </c>
      <c r="BJ55" s="107">
        <f>$H$32*H48</f>
        <v>6.4188434448802598E-7</v>
      </c>
    </row>
    <row r="56" spans="1:62" x14ac:dyDescent="0.25">
      <c r="BH56">
        <f>BH53+1</f>
        <v>7</v>
      </c>
      <c r="BI56">
        <v>10</v>
      </c>
      <c r="BJ56" s="107">
        <f>$H$32*H49</f>
        <v>4.420156610160572E-8</v>
      </c>
    </row>
    <row r="57" spans="1:62" x14ac:dyDescent="0.25">
      <c r="BH57">
        <f>BH55+1</f>
        <v>8</v>
      </c>
      <c r="BI57">
        <v>9</v>
      </c>
      <c r="BJ57" s="107">
        <f>$H$33*H48</f>
        <v>2.3949740298953718E-7</v>
      </c>
    </row>
    <row r="58" spans="1:62" x14ac:dyDescent="0.25">
      <c r="BH58">
        <f>BH56+1</f>
        <v>8</v>
      </c>
      <c r="BI58">
        <v>10</v>
      </c>
      <c r="BJ58" s="107">
        <f>$H$33*H49</f>
        <v>1.64923173158999E-8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4.4721304351534626E-9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7"/>
      <c r="Q1" s="21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9" t="s">
        <v>23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0" t="s">
        <v>130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Filthy-OBIWAN</vt:lpstr>
      <vt:lpstr>OBIWAN-Antioch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2018-06-24T09:23:36Z</dcterms:modified>
</cp:coreProperties>
</file>