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432D16F0-21DB-4915-BC0E-CA3B91A4D1A7}" xr6:coauthVersionLast="47" xr6:coauthVersionMax="47" xr10:uidLastSave="{00000000-0000-0000-0000-000000000000}"/>
  <bookViews>
    <workbookView xWindow="990" yWindow="-120" windowWidth="27930" windowHeight="16440" tabRatio="500" firstSheet="3" activeTab="3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Calculadora_Tactica" sheetId="9" r:id="rId6"/>
    <sheet name="ECONOMIA" sheetId="25" r:id="rId7"/>
    <sheet name="Planning_v3" sheetId="23" r:id="rId8"/>
    <sheet name="T78_III.7" sheetId="26" r:id="rId9"/>
    <sheet name="Evaluacion" sheetId="7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  <sheet name="Hoja1" sheetId="28" r:id="rId24"/>
    <sheet name="Inner" sheetId="24" r:id="rId25"/>
  </sheets>
  <definedNames>
    <definedName name="_xlnm._FilterDatabase" localSheetId="10" hidden="1">Estudio_Conversion_TL!$L$1:$O$1</definedName>
  </definedNames>
  <calcPr calcId="191029"/>
  <pivotCaches>
    <pivotCache cacheId="0" r:id="rId26"/>
    <pivotCache cacheId="1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AC5" i="2" l="1"/>
  <c r="AC9" i="2"/>
  <c r="O7" i="9" s="1"/>
  <c r="W11" i="9" s="1"/>
  <c r="AC8" i="2"/>
  <c r="O6" i="9" s="1"/>
  <c r="AC12" i="2"/>
  <c r="AC6" i="2"/>
  <c r="AC7" i="2"/>
  <c r="O5" i="9" s="1"/>
  <c r="AC16" i="2"/>
  <c r="O14" i="9" s="1"/>
  <c r="W4" i="9" s="1"/>
  <c r="AC19" i="2"/>
  <c r="AC18" i="2"/>
  <c r="Z6" i="2"/>
  <c r="Z8" i="2"/>
  <c r="Z7" i="2"/>
  <c r="Z9" i="2"/>
  <c r="Z14" i="2"/>
  <c r="Z19" i="2"/>
  <c r="Y19" i="2"/>
  <c r="Y17" i="2"/>
  <c r="Y5" i="2"/>
  <c r="Y15" i="2"/>
  <c r="Y16" i="2"/>
  <c r="Y18" i="2"/>
  <c r="Y12" i="2"/>
  <c r="Y13" i="2"/>
  <c r="Y14" i="2"/>
  <c r="Y7" i="2"/>
  <c r="Y10" i="2"/>
  <c r="Y9" i="2"/>
  <c r="Y8" i="2"/>
  <c r="X2" i="9"/>
  <c r="X3" i="9"/>
  <c r="X4" i="9"/>
  <c r="X5" i="9"/>
  <c r="X6" i="9"/>
  <c r="X7" i="9"/>
  <c r="X8" i="9"/>
  <c r="X9" i="9"/>
  <c r="X10" i="9"/>
  <c r="X11" i="9"/>
  <c r="W2" i="9"/>
  <c r="W3" i="9"/>
  <c r="W5" i="9"/>
  <c r="W6" i="9"/>
  <c r="W8" i="9"/>
  <c r="V2" i="9"/>
  <c r="V3" i="9"/>
  <c r="V4" i="9"/>
  <c r="V5" i="9"/>
  <c r="V6" i="9"/>
  <c r="V7" i="9"/>
  <c r="V8" i="9"/>
  <c r="V9" i="9"/>
  <c r="V10" i="9"/>
  <c r="V11" i="9"/>
  <c r="U11" i="9"/>
  <c r="U10" i="9"/>
  <c r="U9" i="9"/>
  <c r="U8" i="9"/>
  <c r="U7" i="9"/>
  <c r="U6" i="9"/>
  <c r="U5" i="9"/>
  <c r="U4" i="9"/>
  <c r="U3" i="9"/>
  <c r="U2" i="9"/>
  <c r="M4" i="9"/>
  <c r="N4" i="9"/>
  <c r="O4" i="9"/>
  <c r="W10" i="9" s="1"/>
  <c r="P4" i="9"/>
  <c r="M5" i="9"/>
  <c r="N5" i="9"/>
  <c r="P5" i="9"/>
  <c r="M6" i="9"/>
  <c r="N6" i="9"/>
  <c r="P6" i="9"/>
  <c r="M7" i="9"/>
  <c r="N7" i="9"/>
  <c r="P7" i="9"/>
  <c r="M8" i="9"/>
  <c r="N8" i="9"/>
  <c r="O8" i="9"/>
  <c r="P8" i="9"/>
  <c r="M9" i="9"/>
  <c r="N9" i="9"/>
  <c r="O9" i="9"/>
  <c r="P9" i="9"/>
  <c r="M10" i="9"/>
  <c r="N10" i="9"/>
  <c r="O10" i="9"/>
  <c r="W9" i="9" s="1"/>
  <c r="P10" i="9"/>
  <c r="M11" i="9"/>
  <c r="N11" i="9"/>
  <c r="O11" i="9"/>
  <c r="P11" i="9"/>
  <c r="M12" i="9"/>
  <c r="N12" i="9"/>
  <c r="O12" i="9"/>
  <c r="P12" i="9"/>
  <c r="M13" i="9"/>
  <c r="N13" i="9"/>
  <c r="O13" i="9"/>
  <c r="P13" i="9"/>
  <c r="M14" i="9"/>
  <c r="N14" i="9"/>
  <c r="P14" i="9"/>
  <c r="M15" i="9"/>
  <c r="N15" i="9"/>
  <c r="O15" i="9"/>
  <c r="P15" i="9"/>
  <c r="M16" i="9"/>
  <c r="N16" i="9"/>
  <c r="O16" i="9"/>
  <c r="P16" i="9"/>
  <c r="M17" i="9"/>
  <c r="N17" i="9"/>
  <c r="O17" i="9"/>
  <c r="W7" i="9" s="1"/>
  <c r="P17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C24" i="25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M35" i="25" l="1"/>
  <c r="N35" i="25" s="1"/>
  <c r="N31" i="25" s="1"/>
  <c r="M31" i="25" l="1"/>
  <c r="Z12" i="2"/>
  <c r="Z17" i="2"/>
  <c r="E24" i="3" l="1"/>
  <c r="AD18" i="2" l="1"/>
  <c r="AD8" i="2"/>
  <c r="AD13" i="2"/>
  <c r="AD7" i="2"/>
  <c r="AD16" i="2"/>
  <c r="AD9" i="2"/>
  <c r="AD14" i="2"/>
  <c r="AD19" i="2"/>
  <c r="W5" i="21" l="1"/>
  <c r="W6" i="21"/>
  <c r="W7" i="21"/>
  <c r="W4" i="21"/>
  <c r="V5" i="21"/>
  <c r="V6" i="21"/>
  <c r="V7" i="21"/>
  <c r="V4" i="21"/>
  <c r="U5" i="21"/>
  <c r="U6" i="21"/>
  <c r="U7" i="21"/>
  <c r="U4" i="21"/>
  <c r="AD6" i="2"/>
  <c r="AA5" i="24" l="1"/>
  <c r="AB5" i="24" s="1"/>
  <c r="U5" i="24"/>
  <c r="T5" i="24"/>
  <c r="V5" i="24" s="1"/>
  <c r="S5" i="24"/>
  <c r="P5" i="24"/>
  <c r="R5" i="24" s="1"/>
  <c r="Q5" i="24"/>
  <c r="H5" i="24"/>
  <c r="W5" i="24" s="1"/>
  <c r="AA8" i="24"/>
  <c r="AB8" i="24" s="1"/>
  <c r="U8" i="24"/>
  <c r="T8" i="24"/>
  <c r="V8" i="24" s="1"/>
  <c r="S8" i="24"/>
  <c r="P8" i="24"/>
  <c r="R8" i="24" s="1"/>
  <c r="Q8" i="24"/>
  <c r="H8" i="24"/>
  <c r="W8" i="24" s="1"/>
  <c r="AA4" i="24"/>
  <c r="AB4" i="24" s="1"/>
  <c r="U4" i="24"/>
  <c r="T4" i="24"/>
  <c r="V4" i="24" s="1"/>
  <c r="S4" i="24"/>
  <c r="P4" i="24"/>
  <c r="R4" i="24" s="1"/>
  <c r="Q4" i="24"/>
  <c r="H4" i="24"/>
  <c r="W4" i="24" s="1"/>
  <c r="AA9" i="24"/>
  <c r="AB9" i="24" s="1"/>
  <c r="U9" i="24"/>
  <c r="T9" i="24"/>
  <c r="V9" i="24" s="1"/>
  <c r="S9" i="24"/>
  <c r="P9" i="24"/>
  <c r="R9" i="24" s="1"/>
  <c r="Q9" i="24"/>
  <c r="H9" i="24"/>
  <c r="W9" i="24" s="1"/>
  <c r="Y7" i="24"/>
  <c r="AA7" i="24" s="1"/>
  <c r="AB7" i="24" s="1"/>
  <c r="W7" i="24"/>
  <c r="U7" i="24"/>
  <c r="T7" i="24"/>
  <c r="V7" i="24" s="1"/>
  <c r="S7" i="24"/>
  <c r="P7" i="24"/>
  <c r="R7" i="24" s="1"/>
  <c r="Q7" i="24"/>
  <c r="H7" i="24"/>
  <c r="AA6" i="24"/>
  <c r="AB6" i="24" s="1"/>
  <c r="W6" i="24"/>
  <c r="U6" i="24"/>
  <c r="T6" i="24"/>
  <c r="V6" i="24" s="1"/>
  <c r="S6" i="24"/>
  <c r="P6" i="24"/>
  <c r="R6" i="24" s="1"/>
  <c r="Q6" i="24"/>
  <c r="H6" i="24"/>
  <c r="Y10" i="24"/>
  <c r="AA10" i="24" s="1"/>
  <c r="AB10" i="24" s="1"/>
  <c r="W10" i="24"/>
  <c r="U10" i="24"/>
  <c r="T10" i="24"/>
  <c r="V10" i="24" s="1"/>
  <c r="S10" i="24"/>
  <c r="P10" i="24"/>
  <c r="R10" i="24" s="1"/>
  <c r="Q10" i="24"/>
  <c r="H10" i="24"/>
  <c r="AA11" i="24"/>
  <c r="AB11" i="24" s="1"/>
  <c r="W11" i="24"/>
  <c r="U11" i="24"/>
  <c r="T11" i="24"/>
  <c r="V11" i="24" s="1"/>
  <c r="S11" i="24"/>
  <c r="P11" i="24"/>
  <c r="R11" i="24" s="1"/>
  <c r="Q11" i="24"/>
  <c r="H11" i="24"/>
  <c r="AA12" i="24"/>
  <c r="AB12" i="24" s="1"/>
  <c r="W12" i="24"/>
  <c r="U12" i="24"/>
  <c r="T12" i="24"/>
  <c r="V12" i="24" s="1"/>
  <c r="S12" i="24"/>
  <c r="P12" i="24"/>
  <c r="R12" i="24" s="1"/>
  <c r="Q12" i="24"/>
  <c r="H12" i="24"/>
  <c r="AA13" i="24"/>
  <c r="AB13" i="24" s="1"/>
  <c r="W13" i="24"/>
  <c r="U13" i="24"/>
  <c r="T13" i="24"/>
  <c r="V13" i="24" s="1"/>
  <c r="S13" i="24"/>
  <c r="P13" i="24"/>
  <c r="R13" i="24" s="1"/>
  <c r="Q13" i="24"/>
  <c r="H13" i="24"/>
  <c r="AA14" i="24"/>
  <c r="AB14" i="24" s="1"/>
  <c r="W14" i="24"/>
  <c r="U14" i="24"/>
  <c r="T14" i="24"/>
  <c r="V14" i="24" s="1"/>
  <c r="S14" i="24"/>
  <c r="P14" i="24"/>
  <c r="R14" i="24" s="1"/>
  <c r="Q14" i="24"/>
  <c r="H14" i="24"/>
  <c r="O6" i="25" l="1"/>
  <c r="C25" i="25" l="1"/>
  <c r="C8" i="25"/>
  <c r="AC15" i="2" l="1"/>
  <c r="U18" i="2" l="1"/>
  <c r="E28" i="3" l="1"/>
  <c r="A32" i="3"/>
  <c r="A36" i="3" s="1"/>
  <c r="A33" i="3" s="1"/>
  <c r="X24" i="3"/>
  <c r="W24" i="3"/>
  <c r="X3" i="3"/>
  <c r="W3" i="3"/>
  <c r="E3" i="3"/>
  <c r="X17" i="3"/>
  <c r="W17" i="3"/>
  <c r="E17" i="3"/>
  <c r="X27" i="3"/>
  <c r="W27" i="3"/>
  <c r="E27" i="3"/>
  <c r="X22" i="3"/>
  <c r="W22" i="3"/>
  <c r="E22" i="3"/>
  <c r="X21" i="3"/>
  <c r="W21" i="3"/>
  <c r="E21" i="3"/>
  <c r="X7" i="3"/>
  <c r="W7" i="3"/>
  <c r="E7" i="3"/>
  <c r="X26" i="3"/>
  <c r="W26" i="3"/>
  <c r="E26" i="3"/>
  <c r="X12" i="3"/>
  <c r="W12" i="3"/>
  <c r="E12" i="3"/>
  <c r="X15" i="3"/>
  <c r="W15" i="3"/>
  <c r="E15" i="3"/>
  <c r="X16" i="3"/>
  <c r="W16" i="3"/>
  <c r="E16" i="3"/>
  <c r="X14" i="3"/>
  <c r="W14" i="3"/>
  <c r="E14" i="3"/>
  <c r="X23" i="3"/>
  <c r="W23" i="3"/>
  <c r="E23" i="3"/>
  <c r="X8" i="3"/>
  <c r="W8" i="3"/>
  <c r="E8" i="3"/>
  <c r="X13" i="3"/>
  <c r="W13" i="3"/>
  <c r="E13" i="3"/>
  <c r="X25" i="3"/>
  <c r="W25" i="3"/>
  <c r="E25" i="3"/>
  <c r="X28" i="3"/>
  <c r="W28" i="3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AB11" i="3" s="1"/>
  <c r="AB19" i="3" s="1"/>
  <c r="AA6" i="3"/>
  <c r="AA11" i="3" s="1"/>
  <c r="AA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T11" i="3" s="1"/>
  <c r="T19" i="3" s="1"/>
  <c r="S6" i="3"/>
  <c r="S11" i="3" s="1"/>
  <c r="S19" i="3" s="1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K11" i="3" s="1"/>
  <c r="K19" i="3" s="1"/>
  <c r="J6" i="3"/>
  <c r="J11" i="3" s="1"/>
  <c r="J19" i="3" s="1"/>
  <c r="H6" i="3"/>
  <c r="H11" i="3" s="1"/>
  <c r="H19" i="3" s="1"/>
  <c r="G6" i="3"/>
  <c r="G11" i="3" s="1"/>
  <c r="G19" i="3" s="1"/>
  <c r="F6" i="3"/>
  <c r="F11" i="3" s="1"/>
  <c r="F19" i="3" s="1"/>
  <c r="X20" i="3"/>
  <c r="W20" i="3"/>
  <c r="E20" i="3"/>
  <c r="C21" i="3" l="1"/>
  <c r="C27" i="3"/>
  <c r="C12" i="3"/>
  <c r="C22" i="3"/>
  <c r="C25" i="3"/>
  <c r="C7" i="3"/>
  <c r="C20" i="3"/>
  <c r="C24" i="3"/>
  <c r="C26" i="3"/>
  <c r="C28" i="3"/>
  <c r="C16" i="3"/>
  <c r="C17" i="3"/>
  <c r="C3" i="3"/>
  <c r="C13" i="3"/>
  <c r="C23" i="3"/>
  <c r="C15" i="3"/>
  <c r="C14" i="3"/>
  <c r="C8" i="3"/>
  <c r="A6" i="12"/>
  <c r="B6" i="12"/>
  <c r="C6" i="12"/>
  <c r="D6" i="12"/>
  <c r="P6" i="12" s="1"/>
  <c r="G6" i="12"/>
  <c r="H6" i="12"/>
  <c r="R6" i="12" s="1"/>
  <c r="I6" i="12"/>
  <c r="S6" i="12" s="1"/>
  <c r="Z6" i="12" s="1"/>
  <c r="J6" i="12"/>
  <c r="T6" i="12" s="1"/>
  <c r="AA6" i="12" s="1"/>
  <c r="K6" i="12"/>
  <c r="U6" i="12" s="1"/>
  <c r="AB6" i="12" s="1"/>
  <c r="L6" i="12"/>
  <c r="V6" i="12" s="1"/>
  <c r="AC6" i="12" s="1"/>
  <c r="M6" i="12"/>
  <c r="W6" i="12" s="1"/>
  <c r="AD6" i="12" s="1"/>
  <c r="N6" i="12"/>
  <c r="X6" i="12" s="1"/>
  <c r="AE6" i="12" s="1"/>
  <c r="O6" i="12"/>
  <c r="Y6" i="12" s="1"/>
  <c r="AF6" i="12" s="1"/>
  <c r="A7" i="12"/>
  <c r="B7" i="12"/>
  <c r="C7" i="12"/>
  <c r="D7" i="12"/>
  <c r="P7" i="12" s="1"/>
  <c r="F7" i="12"/>
  <c r="G7" i="12"/>
  <c r="H7" i="12"/>
  <c r="R7" i="12" s="1"/>
  <c r="I7" i="12"/>
  <c r="S7" i="12" s="1"/>
  <c r="Z7" i="12" s="1"/>
  <c r="J7" i="12"/>
  <c r="T7" i="12" s="1"/>
  <c r="AA7" i="12" s="1"/>
  <c r="K7" i="12"/>
  <c r="U7" i="12" s="1"/>
  <c r="AB7" i="12" s="1"/>
  <c r="L7" i="12"/>
  <c r="V7" i="12" s="1"/>
  <c r="AC7" i="12" s="1"/>
  <c r="M7" i="12"/>
  <c r="W7" i="12" s="1"/>
  <c r="AD7" i="12" s="1"/>
  <c r="N7" i="12"/>
  <c r="X7" i="12" s="1"/>
  <c r="AE7" i="12" s="1"/>
  <c r="O7" i="12"/>
  <c r="Y7" i="12" s="1"/>
  <c r="AF7" i="12" s="1"/>
  <c r="A8" i="12"/>
  <c r="B8" i="12"/>
  <c r="C8" i="12"/>
  <c r="D8" i="12"/>
  <c r="P8" i="12" s="1"/>
  <c r="G8" i="12"/>
  <c r="H8" i="12"/>
  <c r="R8" i="12" s="1"/>
  <c r="I8" i="12"/>
  <c r="S8" i="12" s="1"/>
  <c r="Z8" i="12" s="1"/>
  <c r="J8" i="12"/>
  <c r="T8" i="12" s="1"/>
  <c r="AA8" i="12" s="1"/>
  <c r="K8" i="12"/>
  <c r="U8" i="12" s="1"/>
  <c r="AB8" i="12" s="1"/>
  <c r="L8" i="12"/>
  <c r="V8" i="12" s="1"/>
  <c r="AC8" i="12" s="1"/>
  <c r="M8" i="12"/>
  <c r="W8" i="12" s="1"/>
  <c r="AD8" i="12" s="1"/>
  <c r="N8" i="12"/>
  <c r="X8" i="12" s="1"/>
  <c r="AE8" i="12" s="1"/>
  <c r="A9" i="12"/>
  <c r="B9" i="12"/>
  <c r="C9" i="12"/>
  <c r="D9" i="12"/>
  <c r="P9" i="12" s="1"/>
  <c r="F9" i="12"/>
  <c r="G9" i="12"/>
  <c r="H9" i="12"/>
  <c r="R9" i="12" s="1"/>
  <c r="I9" i="12"/>
  <c r="S9" i="12" s="1"/>
  <c r="Z9" i="12" s="1"/>
  <c r="J9" i="12"/>
  <c r="T9" i="12" s="1"/>
  <c r="AA9" i="12" s="1"/>
  <c r="K9" i="12"/>
  <c r="U9" i="12" s="1"/>
  <c r="AB9" i="12" s="1"/>
  <c r="L9" i="12"/>
  <c r="V9" i="12" s="1"/>
  <c r="AC9" i="12" s="1"/>
  <c r="M9" i="12"/>
  <c r="W9" i="12" s="1"/>
  <c r="AD9" i="12" s="1"/>
  <c r="N9" i="12"/>
  <c r="X9" i="12" s="1"/>
  <c r="AE9" i="12" s="1"/>
  <c r="O9" i="12"/>
  <c r="Y9" i="12" s="1"/>
  <c r="AF9" i="12" s="1"/>
  <c r="A10" i="12"/>
  <c r="B10" i="12"/>
  <c r="C10" i="12"/>
  <c r="D10" i="12"/>
  <c r="P10" i="12" s="1"/>
  <c r="G10" i="12"/>
  <c r="H10" i="12"/>
  <c r="R10" i="12" s="1"/>
  <c r="I10" i="12"/>
  <c r="S10" i="12" s="1"/>
  <c r="Z10" i="12" s="1"/>
  <c r="J10" i="12"/>
  <c r="T10" i="12" s="1"/>
  <c r="AA10" i="12" s="1"/>
  <c r="K10" i="12"/>
  <c r="U10" i="12" s="1"/>
  <c r="AB10" i="12" s="1"/>
  <c r="L10" i="12"/>
  <c r="V10" i="12" s="1"/>
  <c r="AC10" i="12" s="1"/>
  <c r="M10" i="12"/>
  <c r="W10" i="12" s="1"/>
  <c r="AD10" i="12" s="1"/>
  <c r="N10" i="12"/>
  <c r="X10" i="12" s="1"/>
  <c r="AE10" i="12" s="1"/>
  <c r="O10" i="12"/>
  <c r="Y10" i="12" s="1"/>
  <c r="AF10" i="12" s="1"/>
  <c r="A11" i="12"/>
  <c r="B11" i="12"/>
  <c r="C11" i="12"/>
  <c r="D11" i="12"/>
  <c r="P11" i="12" s="1"/>
  <c r="F11" i="12"/>
  <c r="G11" i="12"/>
  <c r="H11" i="12"/>
  <c r="I11" i="12"/>
  <c r="J11" i="12"/>
  <c r="T11" i="12" s="1"/>
  <c r="AA11" i="12" s="1"/>
  <c r="K11" i="12"/>
  <c r="U11" i="12" s="1"/>
  <c r="AB11" i="12" s="1"/>
  <c r="L11" i="12"/>
  <c r="V11" i="12" s="1"/>
  <c r="AC11" i="12" s="1"/>
  <c r="M11" i="12"/>
  <c r="W11" i="12" s="1"/>
  <c r="AD11" i="12" s="1"/>
  <c r="N11" i="12"/>
  <c r="X11" i="12" s="1"/>
  <c r="AE11" i="12" s="1"/>
  <c r="O11" i="12"/>
  <c r="Y11" i="12" s="1"/>
  <c r="AF11" i="12" s="1"/>
  <c r="R11" i="12"/>
  <c r="S11" i="12"/>
  <c r="Z11" i="12" s="1"/>
  <c r="A12" i="12"/>
  <c r="B12" i="12"/>
  <c r="C12" i="12"/>
  <c r="D12" i="12"/>
  <c r="P12" i="12" s="1"/>
  <c r="G12" i="12"/>
  <c r="H12" i="12"/>
  <c r="R12" i="12" s="1"/>
  <c r="I12" i="12"/>
  <c r="S12" i="12" s="1"/>
  <c r="Z12" i="12" s="1"/>
  <c r="J12" i="12"/>
  <c r="T12" i="12" s="1"/>
  <c r="AA12" i="12" s="1"/>
  <c r="K12" i="12"/>
  <c r="U12" i="12" s="1"/>
  <c r="AB12" i="12" s="1"/>
  <c r="L12" i="12"/>
  <c r="V12" i="12" s="1"/>
  <c r="AC12" i="12" s="1"/>
  <c r="M12" i="12"/>
  <c r="W12" i="12" s="1"/>
  <c r="AD12" i="12" s="1"/>
  <c r="N12" i="12"/>
  <c r="X12" i="12" s="1"/>
  <c r="AE12" i="12" s="1"/>
  <c r="A13" i="12"/>
  <c r="B13" i="12"/>
  <c r="C13" i="12"/>
  <c r="D13" i="12"/>
  <c r="P13" i="12" s="1"/>
  <c r="F13" i="12"/>
  <c r="G13" i="12"/>
  <c r="H13" i="12"/>
  <c r="R13" i="12" s="1"/>
  <c r="I13" i="12"/>
  <c r="J13" i="12"/>
  <c r="T13" i="12" s="1"/>
  <c r="AA13" i="12" s="1"/>
  <c r="K13" i="12"/>
  <c r="U13" i="12" s="1"/>
  <c r="AB13" i="12" s="1"/>
  <c r="L13" i="12"/>
  <c r="V13" i="12" s="1"/>
  <c r="AC13" i="12" s="1"/>
  <c r="M13" i="12"/>
  <c r="W13" i="12" s="1"/>
  <c r="AD13" i="12" s="1"/>
  <c r="N13" i="12"/>
  <c r="X13" i="12" s="1"/>
  <c r="AE13" i="12" s="1"/>
  <c r="O13" i="12"/>
  <c r="Y13" i="12" s="1"/>
  <c r="AF13" i="12" s="1"/>
  <c r="S13" i="12"/>
  <c r="Z13" i="12" s="1"/>
  <c r="A14" i="12"/>
  <c r="B14" i="12"/>
  <c r="C14" i="12"/>
  <c r="D14" i="12"/>
  <c r="P14" i="12" s="1"/>
  <c r="G14" i="12"/>
  <c r="H14" i="12"/>
  <c r="R14" i="12" s="1"/>
  <c r="I14" i="12"/>
  <c r="S14" i="12" s="1"/>
  <c r="Z14" i="12" s="1"/>
  <c r="J14" i="12"/>
  <c r="T14" i="12" s="1"/>
  <c r="AA14" i="12" s="1"/>
  <c r="K14" i="12"/>
  <c r="U14" i="12" s="1"/>
  <c r="AB14" i="12" s="1"/>
  <c r="L14" i="12"/>
  <c r="V14" i="12" s="1"/>
  <c r="AC14" i="12" s="1"/>
  <c r="M14" i="12"/>
  <c r="W14" i="12" s="1"/>
  <c r="AD14" i="12" s="1"/>
  <c r="N14" i="12"/>
  <c r="X14" i="12" s="1"/>
  <c r="AE14" i="12" s="1"/>
  <c r="O14" i="12"/>
  <c r="Y14" i="12" s="1"/>
  <c r="AF14" i="12" s="1"/>
  <c r="A15" i="12"/>
  <c r="B15" i="12"/>
  <c r="C15" i="12"/>
  <c r="D15" i="12"/>
  <c r="P15" i="12" s="1"/>
  <c r="F15" i="12"/>
  <c r="G15" i="12"/>
  <c r="H15" i="12"/>
  <c r="R15" i="12" s="1"/>
  <c r="I15" i="12"/>
  <c r="S15" i="12" s="1"/>
  <c r="Z15" i="12" s="1"/>
  <c r="J15" i="12"/>
  <c r="T15" i="12" s="1"/>
  <c r="AA15" i="12" s="1"/>
  <c r="K15" i="12"/>
  <c r="U15" i="12" s="1"/>
  <c r="AB15" i="12" s="1"/>
  <c r="L15" i="12"/>
  <c r="V15" i="12" s="1"/>
  <c r="AC15" i="12" s="1"/>
  <c r="M15" i="12"/>
  <c r="W15" i="12" s="1"/>
  <c r="AD15" i="12" s="1"/>
  <c r="N15" i="12"/>
  <c r="X15" i="12" s="1"/>
  <c r="AE15" i="12" s="1"/>
  <c r="A16" i="12"/>
  <c r="B16" i="12"/>
  <c r="C16" i="12"/>
  <c r="D16" i="12"/>
  <c r="P16" i="12" s="1"/>
  <c r="G16" i="12"/>
  <c r="H16" i="12"/>
  <c r="R16" i="12" s="1"/>
  <c r="I16" i="12"/>
  <c r="S16" i="12" s="1"/>
  <c r="Z16" i="12" s="1"/>
  <c r="J16" i="12"/>
  <c r="T16" i="12" s="1"/>
  <c r="AA16" i="12" s="1"/>
  <c r="K16" i="12"/>
  <c r="U16" i="12" s="1"/>
  <c r="AB16" i="12" s="1"/>
  <c r="L16" i="12"/>
  <c r="V16" i="12" s="1"/>
  <c r="AC16" i="12" s="1"/>
  <c r="M16" i="12"/>
  <c r="W16" i="12" s="1"/>
  <c r="AD16" i="12" s="1"/>
  <c r="N16" i="12"/>
  <c r="X16" i="12" s="1"/>
  <c r="AE16" i="12" s="1"/>
  <c r="A17" i="12"/>
  <c r="B17" i="12"/>
  <c r="C17" i="12"/>
  <c r="D17" i="12"/>
  <c r="P17" i="12" s="1"/>
  <c r="F17" i="12"/>
  <c r="G17" i="12"/>
  <c r="H17" i="12"/>
  <c r="R17" i="12" s="1"/>
  <c r="I17" i="12"/>
  <c r="S17" i="12" s="1"/>
  <c r="Z17" i="12" s="1"/>
  <c r="J17" i="12"/>
  <c r="T17" i="12" s="1"/>
  <c r="AA17" i="12" s="1"/>
  <c r="K17" i="12"/>
  <c r="U17" i="12" s="1"/>
  <c r="AB17" i="12" s="1"/>
  <c r="L17" i="12"/>
  <c r="M17" i="12"/>
  <c r="W17" i="12" s="1"/>
  <c r="AD17" i="12" s="1"/>
  <c r="N17" i="12"/>
  <c r="X17" i="12" s="1"/>
  <c r="AE17" i="12" s="1"/>
  <c r="V17" i="12"/>
  <c r="AC17" i="12" s="1"/>
  <c r="A18" i="12"/>
  <c r="B18" i="12"/>
  <c r="C18" i="12"/>
  <c r="D18" i="12"/>
  <c r="P18" i="12" s="1"/>
  <c r="G18" i="12"/>
  <c r="H18" i="12"/>
  <c r="R18" i="12" s="1"/>
  <c r="I18" i="12"/>
  <c r="S18" i="12" s="1"/>
  <c r="Z18" i="12" s="1"/>
  <c r="J18" i="12"/>
  <c r="T18" i="12" s="1"/>
  <c r="AA18" i="12" s="1"/>
  <c r="K18" i="12"/>
  <c r="U18" i="12" s="1"/>
  <c r="AB18" i="12" s="1"/>
  <c r="L18" i="12"/>
  <c r="V18" i="12" s="1"/>
  <c r="AC18" i="12" s="1"/>
  <c r="M18" i="12"/>
  <c r="W18" i="12" s="1"/>
  <c r="AD18" i="12" s="1"/>
  <c r="N18" i="12"/>
  <c r="X18" i="12" s="1"/>
  <c r="AE18" i="12" s="1"/>
  <c r="A19" i="12"/>
  <c r="B19" i="12"/>
  <c r="C19" i="12"/>
  <c r="D19" i="12"/>
  <c r="P19" i="12" s="1"/>
  <c r="F19" i="12"/>
  <c r="G19" i="12"/>
  <c r="H19" i="12"/>
  <c r="R19" i="12" s="1"/>
  <c r="I19" i="12"/>
  <c r="S19" i="12" s="1"/>
  <c r="Z19" i="12" s="1"/>
  <c r="J19" i="12"/>
  <c r="T19" i="12" s="1"/>
  <c r="AA19" i="12" s="1"/>
  <c r="K19" i="12"/>
  <c r="U19" i="12" s="1"/>
  <c r="AB19" i="12" s="1"/>
  <c r="L19" i="12"/>
  <c r="V19" i="12" s="1"/>
  <c r="AC19" i="12" s="1"/>
  <c r="M19" i="12"/>
  <c r="W19" i="12" s="1"/>
  <c r="AD19" i="12" s="1"/>
  <c r="N19" i="12"/>
  <c r="X19" i="12" s="1"/>
  <c r="AE19" i="12" s="1"/>
  <c r="A20" i="12"/>
  <c r="B20" i="12"/>
  <c r="C20" i="12"/>
  <c r="D20" i="12"/>
  <c r="P20" i="12" s="1"/>
  <c r="G20" i="12"/>
  <c r="H20" i="12"/>
  <c r="R20" i="12" s="1"/>
  <c r="I20" i="12"/>
  <c r="S20" i="12" s="1"/>
  <c r="Z20" i="12" s="1"/>
  <c r="J20" i="12"/>
  <c r="T20" i="12" s="1"/>
  <c r="AA20" i="12" s="1"/>
  <c r="K20" i="12"/>
  <c r="U20" i="12" s="1"/>
  <c r="AB20" i="12" s="1"/>
  <c r="L20" i="12"/>
  <c r="V20" i="12" s="1"/>
  <c r="AC20" i="12" s="1"/>
  <c r="M20" i="12"/>
  <c r="W20" i="12" s="1"/>
  <c r="AD20" i="12" s="1"/>
  <c r="N20" i="12"/>
  <c r="X20" i="12" s="1"/>
  <c r="AE20" i="12" s="1"/>
  <c r="O20" i="12"/>
  <c r="Y20" i="12" s="1"/>
  <c r="AF20" i="12" s="1"/>
  <c r="A21" i="12"/>
  <c r="B21" i="12"/>
  <c r="C21" i="12"/>
  <c r="D21" i="12"/>
  <c r="P21" i="12" s="1"/>
  <c r="E21" i="12"/>
  <c r="Q21" i="12" s="1"/>
  <c r="F21" i="12"/>
  <c r="G21" i="12"/>
  <c r="H21" i="12"/>
  <c r="R21" i="12" s="1"/>
  <c r="I21" i="12"/>
  <c r="S21" i="12" s="1"/>
  <c r="Z21" i="12" s="1"/>
  <c r="J21" i="12"/>
  <c r="T21" i="12" s="1"/>
  <c r="AA21" i="12" s="1"/>
  <c r="K21" i="12"/>
  <c r="U21" i="12" s="1"/>
  <c r="AB21" i="12" s="1"/>
  <c r="L21" i="12"/>
  <c r="V21" i="12" s="1"/>
  <c r="AC21" i="12" s="1"/>
  <c r="M21" i="12"/>
  <c r="W21" i="12" s="1"/>
  <c r="AD21" i="12" s="1"/>
  <c r="N21" i="12"/>
  <c r="X21" i="12" s="1"/>
  <c r="AE21" i="12" s="1"/>
  <c r="O21" i="12"/>
  <c r="Y21" i="12" s="1"/>
  <c r="AF21" i="12" s="1"/>
  <c r="A22" i="12"/>
  <c r="B22" i="12"/>
  <c r="C22" i="12"/>
  <c r="D22" i="12"/>
  <c r="P22" i="12" s="1"/>
  <c r="E22" i="12"/>
  <c r="Q22" i="12" s="1"/>
  <c r="G22" i="12"/>
  <c r="H22" i="12"/>
  <c r="R22" i="12" s="1"/>
  <c r="I22" i="12"/>
  <c r="S22" i="12" s="1"/>
  <c r="Z22" i="12" s="1"/>
  <c r="J22" i="12"/>
  <c r="T22" i="12" s="1"/>
  <c r="AA22" i="12" s="1"/>
  <c r="K22" i="12"/>
  <c r="U22" i="12" s="1"/>
  <c r="AB22" i="12" s="1"/>
  <c r="L22" i="12"/>
  <c r="V22" i="12" s="1"/>
  <c r="AC22" i="12" s="1"/>
  <c r="M22" i="12"/>
  <c r="W22" i="12" s="1"/>
  <c r="AD22" i="12" s="1"/>
  <c r="N22" i="12"/>
  <c r="O22" i="12"/>
  <c r="Y22" i="12" s="1"/>
  <c r="AF22" i="12" s="1"/>
  <c r="X22" i="12"/>
  <c r="AE22" i="12" s="1"/>
  <c r="A23" i="12"/>
  <c r="B23" i="12"/>
  <c r="C23" i="12"/>
  <c r="D23" i="12"/>
  <c r="P23" i="12" s="1"/>
  <c r="E23" i="12"/>
  <c r="F23" i="12"/>
  <c r="G23" i="12"/>
  <c r="H23" i="12"/>
  <c r="R23" i="12" s="1"/>
  <c r="I23" i="12"/>
  <c r="S23" i="12" s="1"/>
  <c r="Z23" i="12" s="1"/>
  <c r="J23" i="12"/>
  <c r="T23" i="12" s="1"/>
  <c r="AA23" i="12" s="1"/>
  <c r="K23" i="12"/>
  <c r="U23" i="12" s="1"/>
  <c r="AB23" i="12" s="1"/>
  <c r="L23" i="12"/>
  <c r="V23" i="12" s="1"/>
  <c r="AC23" i="12" s="1"/>
  <c r="M23" i="12"/>
  <c r="W23" i="12" s="1"/>
  <c r="AD23" i="12" s="1"/>
  <c r="N23" i="12"/>
  <c r="X23" i="12" s="1"/>
  <c r="AE23" i="12" s="1"/>
  <c r="O23" i="12"/>
  <c r="Y23" i="12" s="1"/>
  <c r="AF23" i="12" s="1"/>
  <c r="Q23" i="12"/>
  <c r="A24" i="12"/>
  <c r="B24" i="12"/>
  <c r="C24" i="12"/>
  <c r="D24" i="12"/>
  <c r="P24" i="12" s="1"/>
  <c r="E24" i="12"/>
  <c r="G24" i="12"/>
  <c r="H24" i="12"/>
  <c r="R24" i="12" s="1"/>
  <c r="I24" i="12"/>
  <c r="S24" i="12" s="1"/>
  <c r="Z24" i="12" s="1"/>
  <c r="J24" i="12"/>
  <c r="T24" i="12" s="1"/>
  <c r="AA24" i="12" s="1"/>
  <c r="K24" i="12"/>
  <c r="U24" i="12" s="1"/>
  <c r="AB24" i="12" s="1"/>
  <c r="L24" i="12"/>
  <c r="V24" i="12" s="1"/>
  <c r="AC24" i="12" s="1"/>
  <c r="M24" i="12"/>
  <c r="N24" i="12"/>
  <c r="X24" i="12" s="1"/>
  <c r="AE24" i="12" s="1"/>
  <c r="O24" i="12"/>
  <c r="Y24" i="12" s="1"/>
  <c r="AF24" i="12" s="1"/>
  <c r="Q24" i="12"/>
  <c r="W24" i="12"/>
  <c r="AD24" i="12" s="1"/>
  <c r="A25" i="12"/>
  <c r="B25" i="12"/>
  <c r="C25" i="12"/>
  <c r="D25" i="12"/>
  <c r="P25" i="12" s="1"/>
  <c r="E25" i="12"/>
  <c r="Q25" i="12" s="1"/>
  <c r="F25" i="12"/>
  <c r="G25" i="12"/>
  <c r="H25" i="12"/>
  <c r="R25" i="12" s="1"/>
  <c r="I25" i="12"/>
  <c r="S25" i="12" s="1"/>
  <c r="Z25" i="12" s="1"/>
  <c r="J25" i="12"/>
  <c r="T25" i="12" s="1"/>
  <c r="AA25" i="12" s="1"/>
  <c r="K25" i="12"/>
  <c r="U25" i="12" s="1"/>
  <c r="AB25" i="12" s="1"/>
  <c r="L25" i="12"/>
  <c r="V25" i="12" s="1"/>
  <c r="AC25" i="12" s="1"/>
  <c r="M25" i="12"/>
  <c r="W25" i="12" s="1"/>
  <c r="AD25" i="12" s="1"/>
  <c r="N25" i="12"/>
  <c r="X25" i="12" s="1"/>
  <c r="AE25" i="12" s="1"/>
  <c r="O25" i="12"/>
  <c r="Y25" i="12" s="1"/>
  <c r="AF25" i="12" s="1"/>
  <c r="A26" i="12"/>
  <c r="B26" i="12"/>
  <c r="C26" i="12"/>
  <c r="D26" i="12"/>
  <c r="P26" i="12" s="1"/>
  <c r="E26" i="12"/>
  <c r="Q26" i="12" s="1"/>
  <c r="G26" i="12"/>
  <c r="H26" i="12"/>
  <c r="R26" i="12" s="1"/>
  <c r="I26" i="12"/>
  <c r="S26" i="12" s="1"/>
  <c r="Z26" i="12" s="1"/>
  <c r="J26" i="12"/>
  <c r="T26" i="12" s="1"/>
  <c r="AA26" i="12" s="1"/>
  <c r="K26" i="12"/>
  <c r="U26" i="12" s="1"/>
  <c r="AB26" i="12" s="1"/>
  <c r="L26" i="12"/>
  <c r="V26" i="12" s="1"/>
  <c r="AC26" i="12" s="1"/>
  <c r="M26" i="12"/>
  <c r="W26" i="12" s="1"/>
  <c r="AD26" i="12" s="1"/>
  <c r="N26" i="12"/>
  <c r="X26" i="12" s="1"/>
  <c r="AE26" i="12" s="1"/>
  <c r="O26" i="12"/>
  <c r="Y26" i="12" s="1"/>
  <c r="AF26" i="12" s="1"/>
  <c r="A27" i="12"/>
  <c r="B27" i="12"/>
  <c r="C27" i="12"/>
  <c r="D27" i="12"/>
  <c r="P27" i="12" s="1"/>
  <c r="E27" i="12"/>
  <c r="F27" i="12"/>
  <c r="G27" i="12"/>
  <c r="H27" i="12"/>
  <c r="R27" i="12" s="1"/>
  <c r="I27" i="12"/>
  <c r="J27" i="12"/>
  <c r="T27" i="12" s="1"/>
  <c r="AA27" i="12" s="1"/>
  <c r="K27" i="12"/>
  <c r="U27" i="12" s="1"/>
  <c r="AB27" i="12" s="1"/>
  <c r="L27" i="12"/>
  <c r="V27" i="12" s="1"/>
  <c r="AC27" i="12" s="1"/>
  <c r="M27" i="12"/>
  <c r="W27" i="12" s="1"/>
  <c r="AD27" i="12" s="1"/>
  <c r="N27" i="12"/>
  <c r="X27" i="12" s="1"/>
  <c r="AE27" i="12" s="1"/>
  <c r="O27" i="12"/>
  <c r="Y27" i="12" s="1"/>
  <c r="AF27" i="12" s="1"/>
  <c r="Q27" i="12"/>
  <c r="S27" i="12"/>
  <c r="Z27" i="12" s="1"/>
  <c r="A5" i="10"/>
  <c r="B5" i="10"/>
  <c r="C5" i="10"/>
  <c r="G5" i="10" s="1"/>
  <c r="D5" i="10"/>
  <c r="E5" i="10" s="1"/>
  <c r="F5" i="10" s="1"/>
  <c r="A6" i="10"/>
  <c r="B6" i="10"/>
  <c r="C6" i="10"/>
  <c r="G6" i="10" s="1"/>
  <c r="H6" i="10" s="1"/>
  <c r="D6" i="10"/>
  <c r="E6" i="10" s="1"/>
  <c r="F6" i="10" s="1"/>
  <c r="A7" i="10"/>
  <c r="B7" i="10"/>
  <c r="C7" i="10"/>
  <c r="G7" i="10" s="1"/>
  <c r="H7" i="10" s="1"/>
  <c r="D7" i="10"/>
  <c r="E7" i="10" s="1"/>
  <c r="F7" i="10" s="1"/>
  <c r="A8" i="10"/>
  <c r="B8" i="10"/>
  <c r="C8" i="10"/>
  <c r="G8" i="10" s="1"/>
  <c r="D8" i="10"/>
  <c r="E8" i="10" s="1"/>
  <c r="F8" i="10" s="1"/>
  <c r="A9" i="10"/>
  <c r="B9" i="10"/>
  <c r="C9" i="10"/>
  <c r="G9" i="10" s="1"/>
  <c r="D9" i="10"/>
  <c r="E9" i="10" s="1"/>
  <c r="F9" i="10" s="1"/>
  <c r="A10" i="10"/>
  <c r="B10" i="10"/>
  <c r="C10" i="10"/>
  <c r="G10" i="10" s="1"/>
  <c r="H10" i="10" s="1"/>
  <c r="D10" i="10"/>
  <c r="E10" i="10" s="1"/>
  <c r="F10" i="10" s="1"/>
  <c r="A11" i="10"/>
  <c r="B11" i="10"/>
  <c r="C11" i="10"/>
  <c r="G11" i="10" s="1"/>
  <c r="H11" i="10" s="1"/>
  <c r="D11" i="10"/>
  <c r="E11" i="10" s="1"/>
  <c r="F11" i="10" s="1"/>
  <c r="A12" i="10"/>
  <c r="B12" i="10"/>
  <c r="C12" i="10"/>
  <c r="G12" i="10" s="1"/>
  <c r="D12" i="10"/>
  <c r="E12" i="10" s="1"/>
  <c r="F12" i="10" s="1"/>
  <c r="A13" i="10"/>
  <c r="B13" i="10"/>
  <c r="C13" i="10"/>
  <c r="G13" i="10" s="1"/>
  <c r="D13" i="10"/>
  <c r="E13" i="10" s="1"/>
  <c r="F13" i="10" s="1"/>
  <c r="A14" i="10"/>
  <c r="B14" i="10"/>
  <c r="C14" i="10"/>
  <c r="G14" i="10" s="1"/>
  <c r="H14" i="10" s="1"/>
  <c r="D14" i="10"/>
  <c r="E14" i="10" s="1"/>
  <c r="F14" i="10" s="1"/>
  <c r="A15" i="10"/>
  <c r="B15" i="10"/>
  <c r="C15" i="10"/>
  <c r="G15" i="10" s="1"/>
  <c r="H15" i="10" s="1"/>
  <c r="D15" i="10"/>
  <c r="E15" i="10" s="1"/>
  <c r="F15" i="10" s="1"/>
  <c r="A16" i="10"/>
  <c r="B16" i="10"/>
  <c r="C16" i="10"/>
  <c r="G16" i="10" s="1"/>
  <c r="D16" i="10"/>
  <c r="E16" i="10" s="1"/>
  <c r="F16" i="10" s="1"/>
  <c r="A17" i="10"/>
  <c r="B17" i="10"/>
  <c r="C17" i="10"/>
  <c r="G17" i="10" s="1"/>
  <c r="D17" i="10"/>
  <c r="E17" i="10" s="1"/>
  <c r="F17" i="10" s="1"/>
  <c r="A18" i="10"/>
  <c r="B18" i="10"/>
  <c r="C18" i="10"/>
  <c r="G18" i="10" s="1"/>
  <c r="H18" i="10" s="1"/>
  <c r="D18" i="10"/>
  <c r="E18" i="10" s="1"/>
  <c r="F18" i="10" s="1"/>
  <c r="A19" i="10"/>
  <c r="B19" i="10"/>
  <c r="C19" i="10"/>
  <c r="G19" i="10" s="1"/>
  <c r="H19" i="10" s="1"/>
  <c r="D19" i="10"/>
  <c r="E19" i="10" s="1"/>
  <c r="F19" i="10" s="1"/>
  <c r="A20" i="10"/>
  <c r="B20" i="10"/>
  <c r="C20" i="10"/>
  <c r="G20" i="10" s="1"/>
  <c r="D20" i="10"/>
  <c r="E20" i="10" s="1"/>
  <c r="F20" i="10" s="1"/>
  <c r="A21" i="10"/>
  <c r="B21" i="10"/>
  <c r="C21" i="10"/>
  <c r="G21" i="10" s="1"/>
  <c r="D21" i="10"/>
  <c r="E21" i="10" s="1"/>
  <c r="F21" i="10" s="1"/>
  <c r="A22" i="10"/>
  <c r="B22" i="10"/>
  <c r="C22" i="10"/>
  <c r="G22" i="10" s="1"/>
  <c r="H22" i="10" s="1"/>
  <c r="J22" i="10" s="1"/>
  <c r="D22" i="10"/>
  <c r="E22" i="10" s="1"/>
  <c r="F22" i="10" s="1"/>
  <c r="A23" i="10"/>
  <c r="B23" i="10"/>
  <c r="C23" i="10"/>
  <c r="G23" i="10" s="1"/>
  <c r="H23" i="10" s="1"/>
  <c r="D23" i="10"/>
  <c r="E23" i="10" s="1"/>
  <c r="F23" i="10" s="1"/>
  <c r="A24" i="10"/>
  <c r="B24" i="10"/>
  <c r="C24" i="10"/>
  <c r="G24" i="10" s="1"/>
  <c r="D24" i="10"/>
  <c r="E24" i="10" s="1"/>
  <c r="F24" i="10" s="1"/>
  <c r="A25" i="10"/>
  <c r="B25" i="10"/>
  <c r="C25" i="10"/>
  <c r="G25" i="10" s="1"/>
  <c r="D25" i="10"/>
  <c r="E25" i="10" s="1"/>
  <c r="F25" i="10" s="1"/>
  <c r="A26" i="10"/>
  <c r="B26" i="10"/>
  <c r="C26" i="10"/>
  <c r="G26" i="10" s="1"/>
  <c r="H26" i="10" s="1"/>
  <c r="J26" i="10" s="1"/>
  <c r="D26" i="10"/>
  <c r="E26" i="10" s="1"/>
  <c r="F26" i="10" s="1"/>
  <c r="A27" i="10"/>
  <c r="B27" i="10"/>
  <c r="C27" i="10"/>
  <c r="G27" i="10" s="1"/>
  <c r="H27" i="10" s="1"/>
  <c r="D27" i="10"/>
  <c r="E27" i="10" s="1"/>
  <c r="F27" i="10" s="1"/>
  <c r="A28" i="10"/>
  <c r="B28" i="10"/>
  <c r="C28" i="10"/>
  <c r="G28" i="10" s="1"/>
  <c r="D28" i="10"/>
  <c r="E28" i="10" s="1"/>
  <c r="F28" i="10" s="1"/>
  <c r="A5" i="7"/>
  <c r="B5" i="7"/>
  <c r="D5" i="7"/>
  <c r="E5" i="7"/>
  <c r="F5" i="7"/>
  <c r="G5" i="7" s="1"/>
  <c r="J5" i="7"/>
  <c r="K5" i="7"/>
  <c r="L5" i="7"/>
  <c r="M5" i="7"/>
  <c r="N5" i="7"/>
  <c r="O5" i="7"/>
  <c r="P5" i="7"/>
  <c r="Q5" i="7"/>
  <c r="A6" i="7"/>
  <c r="B6" i="7"/>
  <c r="D6" i="7"/>
  <c r="E6" i="7"/>
  <c r="F6" i="7"/>
  <c r="H6" i="7" s="1"/>
  <c r="J6" i="7"/>
  <c r="K6" i="7"/>
  <c r="L6" i="7"/>
  <c r="M6" i="7"/>
  <c r="N6" i="7"/>
  <c r="O6" i="7"/>
  <c r="P6" i="7"/>
  <c r="Q6" i="7"/>
  <c r="A7" i="7"/>
  <c r="B7" i="7"/>
  <c r="D7" i="7"/>
  <c r="E7" i="7"/>
  <c r="F7" i="7"/>
  <c r="G7" i="7" s="1"/>
  <c r="J7" i="7"/>
  <c r="K7" i="7"/>
  <c r="L7" i="7"/>
  <c r="M7" i="7"/>
  <c r="N7" i="7"/>
  <c r="O7" i="7"/>
  <c r="P7" i="7"/>
  <c r="A8" i="7"/>
  <c r="B8" i="7"/>
  <c r="D8" i="7"/>
  <c r="E8" i="7"/>
  <c r="F8" i="7"/>
  <c r="H8" i="7" s="1"/>
  <c r="J8" i="7"/>
  <c r="K8" i="7"/>
  <c r="L8" i="7"/>
  <c r="M8" i="7"/>
  <c r="N8" i="7"/>
  <c r="O8" i="7"/>
  <c r="P8" i="7"/>
  <c r="Q8" i="7"/>
  <c r="A9" i="7"/>
  <c r="B9" i="7"/>
  <c r="D9" i="7"/>
  <c r="E9" i="7"/>
  <c r="F9" i="7"/>
  <c r="G9" i="7" s="1"/>
  <c r="J9" i="7"/>
  <c r="K9" i="7"/>
  <c r="L9" i="7"/>
  <c r="M9" i="7"/>
  <c r="N9" i="7"/>
  <c r="O9" i="7"/>
  <c r="P9" i="7"/>
  <c r="Q9" i="7"/>
  <c r="A10" i="7"/>
  <c r="B10" i="7"/>
  <c r="D10" i="7"/>
  <c r="E10" i="7"/>
  <c r="F10" i="7"/>
  <c r="G10" i="7" s="1"/>
  <c r="J10" i="7"/>
  <c r="K10" i="7"/>
  <c r="L10" i="7"/>
  <c r="M10" i="7"/>
  <c r="N10" i="7"/>
  <c r="O10" i="7"/>
  <c r="P10" i="7"/>
  <c r="Q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A12" i="7"/>
  <c r="B12" i="7"/>
  <c r="D12" i="7"/>
  <c r="E12" i="7"/>
  <c r="F12" i="7"/>
  <c r="G12" i="7" s="1"/>
  <c r="J12" i="7"/>
  <c r="K12" i="7"/>
  <c r="L12" i="7"/>
  <c r="M12" i="7"/>
  <c r="N12" i="7"/>
  <c r="O12" i="7"/>
  <c r="P12" i="7"/>
  <c r="Q12" i="7"/>
  <c r="A13" i="7"/>
  <c r="B13" i="7"/>
  <c r="D13" i="7"/>
  <c r="E13" i="7"/>
  <c r="F13" i="7"/>
  <c r="G13" i="7" s="1"/>
  <c r="J13" i="7"/>
  <c r="K13" i="7"/>
  <c r="L13" i="7"/>
  <c r="M13" i="7"/>
  <c r="N13" i="7"/>
  <c r="O13" i="7"/>
  <c r="P13" i="7"/>
  <c r="Q13" i="7"/>
  <c r="A14" i="7"/>
  <c r="B14" i="7"/>
  <c r="D14" i="7"/>
  <c r="E14" i="7"/>
  <c r="F14" i="7"/>
  <c r="H14" i="7" s="1"/>
  <c r="J14" i="7"/>
  <c r="K14" i="7"/>
  <c r="L14" i="7"/>
  <c r="M14" i="7"/>
  <c r="N14" i="7"/>
  <c r="O14" i="7"/>
  <c r="P14" i="7"/>
  <c r="A15" i="7"/>
  <c r="B15" i="7"/>
  <c r="D15" i="7"/>
  <c r="E15" i="7"/>
  <c r="F15" i="7"/>
  <c r="G15" i="7" s="1"/>
  <c r="J15" i="7"/>
  <c r="K15" i="7"/>
  <c r="L15" i="7"/>
  <c r="M15" i="7"/>
  <c r="N15" i="7"/>
  <c r="O15" i="7"/>
  <c r="P15" i="7"/>
  <c r="A16" i="7"/>
  <c r="B16" i="7"/>
  <c r="D16" i="7"/>
  <c r="E16" i="7"/>
  <c r="F16" i="7"/>
  <c r="G16" i="7" s="1"/>
  <c r="J16" i="7"/>
  <c r="K16" i="7"/>
  <c r="L16" i="7"/>
  <c r="M16" i="7"/>
  <c r="N16" i="7"/>
  <c r="O16" i="7"/>
  <c r="P16" i="7"/>
  <c r="A17" i="7"/>
  <c r="B17" i="7"/>
  <c r="D17" i="7"/>
  <c r="E17" i="7"/>
  <c r="F17" i="7"/>
  <c r="G17" i="7" s="1"/>
  <c r="J17" i="7"/>
  <c r="K17" i="7"/>
  <c r="L17" i="7"/>
  <c r="M17" i="7"/>
  <c r="N17" i="7"/>
  <c r="O17" i="7"/>
  <c r="P17" i="7"/>
  <c r="A18" i="7"/>
  <c r="B18" i="7"/>
  <c r="D18" i="7"/>
  <c r="E18" i="7"/>
  <c r="F18" i="7"/>
  <c r="G18" i="7" s="1"/>
  <c r="J18" i="7"/>
  <c r="K18" i="7"/>
  <c r="L18" i="7"/>
  <c r="M18" i="7"/>
  <c r="N18" i="7"/>
  <c r="O18" i="7"/>
  <c r="P18" i="7"/>
  <c r="A19" i="7"/>
  <c r="B19" i="7"/>
  <c r="D19" i="7"/>
  <c r="E19" i="7"/>
  <c r="F19" i="7"/>
  <c r="H19" i="7" s="1"/>
  <c r="J19" i="7"/>
  <c r="K19" i="7"/>
  <c r="L19" i="7"/>
  <c r="M19" i="7"/>
  <c r="N19" i="7"/>
  <c r="O19" i="7"/>
  <c r="P19" i="7"/>
  <c r="Q19" i="7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H5" i="7" l="1"/>
  <c r="J10" i="10"/>
  <c r="J18" i="10"/>
  <c r="H13" i="7"/>
  <c r="H10" i="7"/>
  <c r="G6" i="7"/>
  <c r="H16" i="7"/>
  <c r="G14" i="7"/>
  <c r="G11" i="7"/>
  <c r="H12" i="7"/>
  <c r="H18" i="7"/>
  <c r="G19" i="7"/>
  <c r="G8" i="7"/>
  <c r="I25" i="10"/>
  <c r="H25" i="10"/>
  <c r="J25" i="10" s="1"/>
  <c r="J23" i="10"/>
  <c r="I17" i="10"/>
  <c r="H17" i="10"/>
  <c r="J17" i="10" s="1"/>
  <c r="J15" i="10"/>
  <c r="H28" i="10"/>
  <c r="J28" i="10" s="1"/>
  <c r="I28" i="10"/>
  <c r="H20" i="10"/>
  <c r="J20" i="10" s="1"/>
  <c r="I20" i="10"/>
  <c r="H12" i="10"/>
  <c r="J12" i="10" s="1"/>
  <c r="I12" i="10"/>
  <c r="I9" i="10"/>
  <c r="H9" i="10"/>
  <c r="J9" i="10" s="1"/>
  <c r="J7" i="10"/>
  <c r="J27" i="10"/>
  <c r="I21" i="10"/>
  <c r="H21" i="10"/>
  <c r="J21" i="10" s="1"/>
  <c r="J19" i="10"/>
  <c r="I13" i="10"/>
  <c r="H13" i="10"/>
  <c r="J13" i="10" s="1"/>
  <c r="J11" i="10"/>
  <c r="I5" i="10"/>
  <c r="H5" i="10"/>
  <c r="J5" i="10" s="1"/>
  <c r="H24" i="10"/>
  <c r="J24" i="10" s="1"/>
  <c r="I24" i="10"/>
  <c r="H16" i="10"/>
  <c r="J16" i="10" s="1"/>
  <c r="I16" i="10"/>
  <c r="J14" i="10"/>
  <c r="H8" i="10"/>
  <c r="J8" i="10" s="1"/>
  <c r="I8" i="10"/>
  <c r="J6" i="10"/>
  <c r="I27" i="10"/>
  <c r="I23" i="10"/>
  <c r="I19" i="10"/>
  <c r="I15" i="10"/>
  <c r="I11" i="10"/>
  <c r="I7" i="10"/>
  <c r="I26" i="10"/>
  <c r="I22" i="10"/>
  <c r="I18" i="10"/>
  <c r="I14" i="10"/>
  <c r="I10" i="10"/>
  <c r="I6" i="10"/>
  <c r="H17" i="7"/>
  <c r="H9" i="7"/>
  <c r="H15" i="7"/>
  <c r="H7" i="7"/>
  <c r="V17" i="22" l="1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A27" i="9"/>
  <c r="A28" i="9"/>
  <c r="A31" i="9"/>
  <c r="A29" i="9"/>
  <c r="A30" i="9"/>
  <c r="R14" i="7"/>
  <c r="L17" i="25"/>
  <c r="C4" i="25" s="1"/>
  <c r="L8" i="25"/>
  <c r="C23" i="25" s="1"/>
  <c r="L9" i="25"/>
  <c r="L12" i="25"/>
  <c r="G9" i="25" l="1"/>
  <c r="C16" i="25"/>
  <c r="R10" i="7"/>
  <c r="R8" i="7"/>
  <c r="R16" i="7"/>
  <c r="R15" i="7"/>
  <c r="R9" i="7"/>
  <c r="R11" i="7"/>
  <c r="R5" i="7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Q15" i="7"/>
  <c r="O16" i="12"/>
  <c r="Y16" i="12" s="1"/>
  <c r="AF16" i="12" s="1"/>
  <c r="O15" i="12"/>
  <c r="Y15" i="12" s="1"/>
  <c r="AF15" i="12" s="1"/>
  <c r="Q14" i="7"/>
  <c r="O17" i="12"/>
  <c r="Y17" i="12" s="1"/>
  <c r="AF17" i="12" s="1"/>
  <c r="Q16" i="7"/>
  <c r="T16" i="7" s="1"/>
  <c r="O12" i="12"/>
  <c r="Y12" i="12" s="1"/>
  <c r="AF12" i="12" s="1"/>
  <c r="Q11" i="7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V12" i="7"/>
  <c r="W12" i="7" s="1"/>
  <c r="T13" i="7"/>
  <c r="O26" i="25"/>
  <c r="P4" i="25" s="1"/>
  <c r="P14" i="25"/>
  <c r="O25" i="25"/>
  <c r="P16" i="25"/>
  <c r="I2" i="2"/>
  <c r="M2" i="2"/>
  <c r="Q2" i="2"/>
  <c r="V2" i="2"/>
  <c r="T2" i="2"/>
  <c r="V20" i="2"/>
  <c r="T20" i="2"/>
  <c r="P15" i="2"/>
  <c r="C13" i="9" l="1"/>
  <c r="B13" i="9"/>
  <c r="G17" i="25"/>
  <c r="C21" i="25"/>
  <c r="G18" i="25"/>
  <c r="G20" i="25"/>
  <c r="V11" i="7"/>
  <c r="W11" i="7" s="1"/>
  <c r="T11" i="7"/>
  <c r="U11" i="7"/>
  <c r="Q14" i="25"/>
  <c r="L26" i="25"/>
  <c r="C9" i="25" s="1"/>
  <c r="C7" i="25" s="1"/>
  <c r="I10" i="7"/>
  <c r="T10" i="7"/>
  <c r="U10" i="7"/>
  <c r="V10" i="7"/>
  <c r="W10" i="7" s="1"/>
  <c r="T5" i="7"/>
  <c r="T15" i="7"/>
  <c r="V15" i="7"/>
  <c r="W15" i="7" s="1"/>
  <c r="U15" i="7"/>
  <c r="V13" i="7"/>
  <c r="W13" i="7" s="1"/>
  <c r="T14" i="7"/>
  <c r="U14" i="7"/>
  <c r="V14" i="7"/>
  <c r="W14" i="7" s="1"/>
  <c r="V16" i="7"/>
  <c r="W16" i="7" s="1"/>
  <c r="U16" i="7"/>
  <c r="V5" i="7"/>
  <c r="W5" i="7" s="1"/>
  <c r="U5" i="7"/>
  <c r="P26" i="25"/>
  <c r="Q4" i="25" s="1"/>
  <c r="Q26" i="25" s="1"/>
  <c r="R4" i="25" s="1"/>
  <c r="R14" i="25"/>
  <c r="Q16" i="25"/>
  <c r="P25" i="25"/>
  <c r="O39" i="1"/>
  <c r="O42" i="1"/>
  <c r="O30" i="1"/>
  <c r="O32" i="1"/>
  <c r="O28" i="1"/>
  <c r="O29" i="1"/>
  <c r="O26" i="1"/>
  <c r="O24" i="1"/>
  <c r="O21" i="1"/>
  <c r="O20" i="1"/>
  <c r="O17" i="1"/>
  <c r="L59" i="1"/>
  <c r="D13" i="9" l="1"/>
  <c r="R26" i="25"/>
  <c r="S4" i="25" s="1"/>
  <c r="L7" i="25"/>
  <c r="C18" i="25" s="1"/>
  <c r="S14" i="25"/>
  <c r="R16" i="25"/>
  <c r="Q25" i="25"/>
  <c r="AO11" i="2"/>
  <c r="U11" i="2"/>
  <c r="W11" i="2"/>
  <c r="R11" i="2"/>
  <c r="S11" i="2"/>
  <c r="P11" i="2"/>
  <c r="N11" i="2"/>
  <c r="J11" i="2"/>
  <c r="K11" i="2"/>
  <c r="L11" i="2"/>
  <c r="C9" i="9" l="1"/>
  <c r="B9" i="9"/>
  <c r="F13" i="9"/>
  <c r="E13" i="9"/>
  <c r="C14" i="25"/>
  <c r="C2" i="25" s="1"/>
  <c r="O19" i="12"/>
  <c r="Y19" i="12" s="1"/>
  <c r="AF19" i="12" s="1"/>
  <c r="Q18" i="7"/>
  <c r="I14" i="7"/>
  <c r="R7" i="7"/>
  <c r="U13" i="7"/>
  <c r="R13" i="7"/>
  <c r="T12" i="7"/>
  <c r="U12" i="7"/>
  <c r="R12" i="7"/>
  <c r="R17" i="7"/>
  <c r="U19" i="7"/>
  <c r="R19" i="7"/>
  <c r="R6" i="7"/>
  <c r="R18" i="7"/>
  <c r="S26" i="25"/>
  <c r="T4" i="25" s="1"/>
  <c r="S16" i="25"/>
  <c r="R25" i="25"/>
  <c r="T14" i="25"/>
  <c r="AL11" i="2"/>
  <c r="AF11" i="2"/>
  <c r="AG11" i="2"/>
  <c r="AH11" i="2"/>
  <c r="Q9" i="9" s="1"/>
  <c r="AI11" i="2"/>
  <c r="R9" i="9" s="1"/>
  <c r="AK11" i="2"/>
  <c r="AJ11" i="2"/>
  <c r="D9" i="9" l="1"/>
  <c r="V19" i="7"/>
  <c r="W19" i="7" s="1"/>
  <c r="T19" i="7"/>
  <c r="W27" i="22"/>
  <c r="T26" i="25"/>
  <c r="U4" i="25" s="1"/>
  <c r="T16" i="25"/>
  <c r="S25" i="25"/>
  <c r="U14" i="25"/>
  <c r="F9" i="9" l="1"/>
  <c r="E9" i="9"/>
  <c r="U26" i="25"/>
  <c r="V4" i="25" s="1"/>
  <c r="V14" i="25"/>
  <c r="U16" i="25"/>
  <c r="T25" i="25"/>
  <c r="Y3" i="24"/>
  <c r="U3" i="24"/>
  <c r="T3" i="24"/>
  <c r="V3" i="24" s="1"/>
  <c r="S3" i="24"/>
  <c r="P3" i="24"/>
  <c r="R3" i="24" s="1"/>
  <c r="Q3" i="24"/>
  <c r="H3" i="24"/>
  <c r="W3" i="24" s="1"/>
  <c r="V26" i="25" l="1"/>
  <c r="W4" i="25" s="1"/>
  <c r="V16" i="25"/>
  <c r="U25" i="25"/>
  <c r="W14" i="25"/>
  <c r="AA3" i="24"/>
  <c r="AB3" i="24" s="1"/>
  <c r="W26" i="25" l="1"/>
  <c r="X4" i="25" s="1"/>
  <c r="W16" i="25"/>
  <c r="V25" i="25"/>
  <c r="X14" i="25"/>
  <c r="O8" i="12" l="1"/>
  <c r="Y8" i="12" s="1"/>
  <c r="AF8" i="12" s="1"/>
  <c r="Q7" i="7"/>
  <c r="Q17" i="7"/>
  <c r="O18" i="12"/>
  <c r="Y18" i="12" s="1"/>
  <c r="AF18" i="12" s="1"/>
  <c r="X26" i="25"/>
  <c r="Y4" i="25" s="1"/>
  <c r="Y14" i="25"/>
  <c r="X16" i="25"/>
  <c r="W25" i="25"/>
  <c r="T17" i="7" l="1"/>
  <c r="V17" i="7"/>
  <c r="W17" i="7" s="1"/>
  <c r="U17" i="7"/>
  <c r="T7" i="7"/>
  <c r="V7" i="7"/>
  <c r="W7" i="7" s="1"/>
  <c r="U7" i="7"/>
  <c r="V18" i="7"/>
  <c r="W18" i="7" s="1"/>
  <c r="T18" i="7"/>
  <c r="U18" i="7"/>
  <c r="U9" i="7"/>
  <c r="V9" i="7"/>
  <c r="W9" i="7" s="1"/>
  <c r="T9" i="7"/>
  <c r="V8" i="7"/>
  <c r="W8" i="7" s="1"/>
  <c r="U8" i="7"/>
  <c r="T8" i="7"/>
  <c r="V6" i="7"/>
  <c r="W6" i="7" s="1"/>
  <c r="U6" i="7"/>
  <c r="T6" i="7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Z26" i="25" l="1"/>
  <c r="AA4" i="25" s="1"/>
  <c r="AA14" i="25"/>
  <c r="Z16" i="25"/>
  <c r="Y25" i="25"/>
  <c r="B21" i="21"/>
  <c r="B20" i="21"/>
  <c r="B19" i="21"/>
  <c r="B18" i="21"/>
  <c r="C16" i="21"/>
  <c r="C18" i="21" s="1"/>
  <c r="AA26" i="25" l="1"/>
  <c r="AB4" i="25" s="1"/>
  <c r="AB26" i="25" s="1"/>
  <c r="AA16" i="25"/>
  <c r="Z25" i="25"/>
  <c r="AB14" i="25"/>
  <c r="D16" i="21"/>
  <c r="C21" i="21"/>
  <c r="C19" i="21"/>
  <c r="C20" i="21"/>
  <c r="AB16" i="25" l="1"/>
  <c r="L16" i="25" s="1"/>
  <c r="G15" i="25" s="1"/>
  <c r="G14" i="25" s="1"/>
  <c r="AA25" i="25"/>
  <c r="E16" i="21"/>
  <c r="D21" i="21"/>
  <c r="D18" i="21"/>
  <c r="D20" i="21"/>
  <c r="D19" i="21"/>
  <c r="AB25" i="25" l="1"/>
  <c r="L25" i="25" s="1"/>
  <c r="F16" i="21"/>
  <c r="E20" i="21"/>
  <c r="E18" i="21"/>
  <c r="E19" i="21"/>
  <c r="E21" i="21"/>
  <c r="G16" i="21" l="1"/>
  <c r="F18" i="2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H16" i="2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I16" i="21" l="1"/>
  <c r="H19" i="21"/>
  <c r="H21" i="21"/>
  <c r="H20" i="21"/>
  <c r="H18" i="21"/>
  <c r="F10" i="21"/>
  <c r="F11" i="21"/>
  <c r="F12" i="21"/>
  <c r="F9" i="21"/>
  <c r="J16" i="21" l="1"/>
  <c r="I19" i="2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K16" i="21" l="1"/>
  <c r="J18" i="21"/>
  <c r="J19" i="21"/>
  <c r="J21" i="21"/>
  <c r="J20" i="21"/>
  <c r="V16" i="22"/>
  <c r="V15" i="22"/>
  <c r="AB2" i="22"/>
  <c r="W3" i="22" s="1"/>
  <c r="U17" i="22" l="1"/>
  <c r="U30" i="22"/>
  <c r="U31" i="22"/>
  <c r="U32" i="22"/>
  <c r="L16" i="21"/>
  <c r="K18" i="21"/>
  <c r="K20" i="21"/>
  <c r="K19" i="21"/>
  <c r="K21" i="21"/>
  <c r="V3" i="22"/>
  <c r="Z3" i="22"/>
  <c r="Y3" i="22"/>
  <c r="X3" i="22"/>
  <c r="U13" i="2"/>
  <c r="AO13" i="2"/>
  <c r="W13" i="2"/>
  <c r="R13" i="2"/>
  <c r="S13" i="2"/>
  <c r="P13" i="2"/>
  <c r="N13" i="2"/>
  <c r="J13" i="2"/>
  <c r="K13" i="2"/>
  <c r="L13" i="2"/>
  <c r="B11" i="9" l="1"/>
  <c r="C11" i="9"/>
  <c r="I13" i="7"/>
  <c r="BP14" i="7"/>
  <c r="M16" i="21"/>
  <c r="L18" i="21"/>
  <c r="L20" i="21"/>
  <c r="L19" i="21"/>
  <c r="L21" i="21"/>
  <c r="AF13" i="2"/>
  <c r="AK13" i="2"/>
  <c r="AJ13" i="2"/>
  <c r="AI13" i="2"/>
  <c r="R11" i="9" s="1"/>
  <c r="AH13" i="2"/>
  <c r="Q11" i="9" s="1"/>
  <c r="AL13" i="2"/>
  <c r="AG13" i="2"/>
  <c r="D11" i="9" l="1"/>
  <c r="E11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N16" i="21"/>
  <c r="M19" i="21"/>
  <c r="M18" i="21"/>
  <c r="M20" i="21"/>
  <c r="M21" i="21"/>
  <c r="B25" i="21"/>
  <c r="C23" i="21"/>
  <c r="C27" i="21" s="1"/>
  <c r="B23" i="21"/>
  <c r="B22" i="21"/>
  <c r="G13" i="21"/>
  <c r="G12" i="21"/>
  <c r="G11" i="21"/>
  <c r="G10" i="21"/>
  <c r="G9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AT26" i="12"/>
  <c r="AS26" i="12"/>
  <c r="AN26" i="12"/>
  <c r="AJ26" i="12"/>
  <c r="AT25" i="12"/>
  <c r="AS25" i="12"/>
  <c r="AN25" i="12"/>
  <c r="AT24" i="12"/>
  <c r="AS24" i="12"/>
  <c r="AK24" i="12"/>
  <c r="AT23" i="12"/>
  <c r="AS23" i="12"/>
  <c r="AO23" i="12"/>
  <c r="AT22" i="12"/>
  <c r="AS22" i="12"/>
  <c r="AO22" i="12"/>
  <c r="AN22" i="12"/>
  <c r="AN19" i="12"/>
  <c r="AT18" i="12"/>
  <c r="AS18" i="12"/>
  <c r="AQ18" i="12"/>
  <c r="AP18" i="12"/>
  <c r="AO18" i="12"/>
  <c r="AN18" i="12"/>
  <c r="AM10" i="12"/>
  <c r="AM25" i="12" s="1"/>
  <c r="AI10" i="12"/>
  <c r="AI25" i="12" s="1"/>
  <c r="AM13" i="12"/>
  <c r="AM28" i="12" s="1"/>
  <c r="AI13" i="12"/>
  <c r="AI28" i="12" s="1"/>
  <c r="AM9" i="12"/>
  <c r="AI9" i="12"/>
  <c r="AI24" i="12" s="1"/>
  <c r="AP11" i="12"/>
  <c r="AP25" i="12" s="1"/>
  <c r="AM12" i="12"/>
  <c r="AM27" i="12" s="1"/>
  <c r="AL12" i="12"/>
  <c r="AL27" i="12" s="1"/>
  <c r="AI12" i="12"/>
  <c r="AI27" i="12" s="1"/>
  <c r="AP9" i="12"/>
  <c r="AP23" i="12" s="1"/>
  <c r="AM11" i="12"/>
  <c r="AM26" i="12" s="1"/>
  <c r="AI11" i="12"/>
  <c r="AI26" i="12" s="1"/>
  <c r="AP12" i="12"/>
  <c r="AP26" i="12" s="1"/>
  <c r="AR8" i="12"/>
  <c r="AR22" i="12" s="1"/>
  <c r="AQ8" i="12"/>
  <c r="AQ22" i="12" s="1"/>
  <c r="AP8" i="12"/>
  <c r="AP22" i="12" s="1"/>
  <c r="AN8" i="12"/>
  <c r="BA6" i="12"/>
  <c r="AZ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R12" i="10"/>
  <c r="Y12" i="10" s="1"/>
  <c r="O12" i="10"/>
  <c r="V12" i="10" s="1"/>
  <c r="O13" i="10"/>
  <c r="V13" i="10" s="1"/>
  <c r="O9" i="10"/>
  <c r="V9" i="10" s="1"/>
  <c r="S5" i="10"/>
  <c r="Z5" i="10" s="1"/>
  <c r="O5" i="10"/>
  <c r="V5" i="10" s="1"/>
  <c r="S10" i="10"/>
  <c r="Z10" i="10" s="1"/>
  <c r="O10" i="10"/>
  <c r="V10" i="10" s="1"/>
  <c r="P8" i="10"/>
  <c r="W8" i="10" s="1"/>
  <c r="R8" i="10"/>
  <c r="Y8" i="10" s="1"/>
  <c r="O8" i="10"/>
  <c r="V8" i="10" s="1"/>
  <c r="S11" i="10"/>
  <c r="Z11" i="10" s="1"/>
  <c r="O11" i="10"/>
  <c r="V11" i="10" s="1"/>
  <c r="P4" i="10"/>
  <c r="W4" i="10" s="1"/>
  <c r="O4" i="10"/>
  <c r="V4" i="10" s="1"/>
  <c r="P7" i="10"/>
  <c r="W7" i="10" s="1"/>
  <c r="S7" i="10"/>
  <c r="Z7" i="10" s="1"/>
  <c r="O7" i="10"/>
  <c r="V7" i="10" s="1"/>
  <c r="R5" i="10"/>
  <c r="Y5" i="10" s="1"/>
  <c r="P6" i="10"/>
  <c r="W6" i="10" s="1"/>
  <c r="O6" i="10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O10" i="2"/>
  <c r="W10" i="2"/>
  <c r="U10" i="2"/>
  <c r="S10" i="2"/>
  <c r="R10" i="2"/>
  <c r="P10" i="2"/>
  <c r="N10" i="2"/>
  <c r="L10" i="2"/>
  <c r="K10" i="2"/>
  <c r="J10" i="2"/>
  <c r="AO12" i="2"/>
  <c r="W12" i="2"/>
  <c r="U12" i="2"/>
  <c r="S12" i="2"/>
  <c r="R12" i="2"/>
  <c r="P12" i="2"/>
  <c r="N12" i="2"/>
  <c r="L12" i="2"/>
  <c r="K12" i="2"/>
  <c r="J12" i="2"/>
  <c r="AO14" i="2"/>
  <c r="W14" i="2"/>
  <c r="U14" i="2"/>
  <c r="S14" i="2"/>
  <c r="R14" i="2"/>
  <c r="P14" i="2"/>
  <c r="N14" i="2"/>
  <c r="L14" i="2"/>
  <c r="K14" i="2"/>
  <c r="J14" i="2"/>
  <c r="AO19" i="2"/>
  <c r="W19" i="2"/>
  <c r="U19" i="2"/>
  <c r="S19" i="2"/>
  <c r="R19" i="2"/>
  <c r="P19" i="2"/>
  <c r="N19" i="2"/>
  <c r="L19" i="2"/>
  <c r="K19" i="2"/>
  <c r="J19" i="2"/>
  <c r="AO18" i="2"/>
  <c r="W18" i="2"/>
  <c r="S18" i="2"/>
  <c r="R18" i="2"/>
  <c r="P18" i="2"/>
  <c r="N18" i="2"/>
  <c r="L18" i="2"/>
  <c r="K18" i="2"/>
  <c r="J18" i="2"/>
  <c r="AO17" i="2"/>
  <c r="W17" i="2"/>
  <c r="U17" i="2"/>
  <c r="S17" i="2"/>
  <c r="R17" i="2"/>
  <c r="P17" i="2"/>
  <c r="N17" i="2"/>
  <c r="L17" i="2"/>
  <c r="K17" i="2"/>
  <c r="J17" i="2"/>
  <c r="AO16" i="2"/>
  <c r="W16" i="2"/>
  <c r="U16" i="2"/>
  <c r="S16" i="2"/>
  <c r="R16" i="2"/>
  <c r="P16" i="2"/>
  <c r="N16" i="2"/>
  <c r="L16" i="2"/>
  <c r="K16" i="2"/>
  <c r="J16" i="2"/>
  <c r="AO9" i="2"/>
  <c r="W9" i="2"/>
  <c r="U9" i="2"/>
  <c r="S9" i="2"/>
  <c r="R9" i="2"/>
  <c r="P9" i="2"/>
  <c r="N9" i="2"/>
  <c r="L9" i="2"/>
  <c r="K9" i="2"/>
  <c r="J9" i="2"/>
  <c r="AO6" i="2"/>
  <c r="W6" i="2"/>
  <c r="U6" i="2"/>
  <c r="S6" i="2"/>
  <c r="R6" i="2"/>
  <c r="P6" i="2"/>
  <c r="N6" i="2"/>
  <c r="L6" i="2"/>
  <c r="K6" i="2"/>
  <c r="J6" i="2"/>
  <c r="AO8" i="2"/>
  <c r="W8" i="2"/>
  <c r="U8" i="2"/>
  <c r="S8" i="2"/>
  <c r="R8" i="2"/>
  <c r="P8" i="2"/>
  <c r="N8" i="2"/>
  <c r="L8" i="2"/>
  <c r="K8" i="2"/>
  <c r="J8" i="2"/>
  <c r="AO7" i="2"/>
  <c r="W7" i="2"/>
  <c r="U7" i="2"/>
  <c r="S7" i="2"/>
  <c r="R7" i="2"/>
  <c r="P7" i="2"/>
  <c r="N7" i="2"/>
  <c r="L7" i="2"/>
  <c r="K7" i="2"/>
  <c r="J7" i="2"/>
  <c r="AO15" i="2"/>
  <c r="AK15" i="2"/>
  <c r="AJ15" i="2"/>
  <c r="W15" i="2"/>
  <c r="U15" i="2"/>
  <c r="S15" i="2"/>
  <c r="R15" i="2"/>
  <c r="N15" i="2"/>
  <c r="L15" i="2"/>
  <c r="K15" i="2"/>
  <c r="J15" i="2"/>
  <c r="AO5" i="2"/>
  <c r="W5" i="2"/>
  <c r="U5" i="2"/>
  <c r="S5" i="2"/>
  <c r="R5" i="2"/>
  <c r="P5" i="2"/>
  <c r="N5" i="2"/>
  <c r="L5" i="2"/>
  <c r="K5" i="2"/>
  <c r="J5" i="2"/>
  <c r="AO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D1" i="2"/>
  <c r="F16" i="2" s="1"/>
  <c r="O55" i="1"/>
  <c r="B37" i="1"/>
  <c r="O36" i="1"/>
  <c r="O27" i="1"/>
  <c r="O25" i="1"/>
  <c r="O23" i="1"/>
  <c r="O22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F11" i="9" l="1"/>
  <c r="B4" i="9"/>
  <c r="C4" i="9"/>
  <c r="B8" i="9"/>
  <c r="C8" i="9"/>
  <c r="B16" i="9"/>
  <c r="C16" i="9"/>
  <c r="C5" i="9"/>
  <c r="B5" i="9"/>
  <c r="B12" i="9"/>
  <c r="C12" i="9"/>
  <c r="C17" i="9"/>
  <c r="B17" i="9"/>
  <c r="B7" i="9"/>
  <c r="C7" i="9"/>
  <c r="B14" i="9"/>
  <c r="C14" i="9"/>
  <c r="B6" i="9"/>
  <c r="C6" i="9"/>
  <c r="B10" i="9"/>
  <c r="C10" i="9"/>
  <c r="B15" i="9"/>
  <c r="C15" i="9"/>
  <c r="F14" i="2"/>
  <c r="F18" i="2"/>
  <c r="F12" i="2"/>
  <c r="F13" i="2"/>
  <c r="F11" i="2"/>
  <c r="F17" i="2"/>
  <c r="F15" i="2"/>
  <c r="F10" i="2"/>
  <c r="F8" i="2"/>
  <c r="F19" i="2"/>
  <c r="F6" i="2"/>
  <c r="F7" i="2"/>
  <c r="F4" i="2"/>
  <c r="C4" i="2" s="1"/>
  <c r="F9" i="2"/>
  <c r="F5" i="2"/>
  <c r="C5" i="2" s="1"/>
  <c r="I7" i="7"/>
  <c r="F41" i="7" s="1"/>
  <c r="I9" i="7"/>
  <c r="BJ9" i="7" s="1"/>
  <c r="I19" i="7"/>
  <c r="AL19" i="7" s="1"/>
  <c r="I16" i="7"/>
  <c r="BM16" i="7" s="1"/>
  <c r="I11" i="7"/>
  <c r="S11" i="7" s="1"/>
  <c r="I8" i="7"/>
  <c r="AE8" i="7" s="1"/>
  <c r="AG8" i="7" s="1"/>
  <c r="I17" i="7"/>
  <c r="BT17" i="7" s="1"/>
  <c r="I12" i="7"/>
  <c r="BJ12" i="7" s="1"/>
  <c r="I5" i="7"/>
  <c r="BA5" i="7" s="1"/>
  <c r="I6" i="7"/>
  <c r="BM6" i="7" s="1"/>
  <c r="I18" i="7"/>
  <c r="CA18" i="7" s="1"/>
  <c r="I15" i="7"/>
  <c r="BP15" i="7" s="1"/>
  <c r="Y7" i="20"/>
  <c r="Y2" i="20" s="1"/>
  <c r="S10" i="19"/>
  <c r="S14" i="19"/>
  <c r="S13" i="19"/>
  <c r="S8" i="19"/>
  <c r="V13" i="18"/>
  <c r="W9" i="18"/>
  <c r="AM13" i="7"/>
  <c r="AF10" i="7"/>
  <c r="S2" i="2"/>
  <c r="U20" i="2"/>
  <c r="U2" i="2"/>
  <c r="R2" i="2"/>
  <c r="T3" i="13"/>
  <c r="AF10" i="13"/>
  <c r="T22" i="13"/>
  <c r="V10" i="19"/>
  <c r="AF16" i="13"/>
  <c r="Z13" i="13"/>
  <c r="P4" i="13"/>
  <c r="Z6" i="13"/>
  <c r="AF9" i="13"/>
  <c r="M11" i="16"/>
  <c r="M9" i="18"/>
  <c r="V12" i="18"/>
  <c r="M11" i="18"/>
  <c r="T2" i="11"/>
  <c r="U2" i="11" s="1"/>
  <c r="AF15" i="13"/>
  <c r="AF27" i="13"/>
  <c r="S11" i="16"/>
  <c r="S9" i="18"/>
  <c r="S13" i="18"/>
  <c r="W12" i="18"/>
  <c r="S11" i="18"/>
  <c r="S12" i="19"/>
  <c r="T13" i="19"/>
  <c r="P10" i="13"/>
  <c r="Z12" i="13"/>
  <c r="Z18" i="13"/>
  <c r="U9" i="18"/>
  <c r="T13" i="18"/>
  <c r="T11" i="18"/>
  <c r="V12" i="19"/>
  <c r="C8" i="21"/>
  <c r="U13" i="11"/>
  <c r="P16" i="13"/>
  <c r="V9" i="18"/>
  <c r="U13" i="18"/>
  <c r="O16" i="21"/>
  <c r="N20" i="21"/>
  <c r="N21" i="21"/>
  <c r="N18" i="21"/>
  <c r="N19" i="21"/>
  <c r="AR4" i="12"/>
  <c r="AR18" i="12" s="1"/>
  <c r="I3" i="7"/>
  <c r="BM3" i="7" s="1"/>
  <c r="AK5" i="2"/>
  <c r="AK16" i="2"/>
  <c r="M9" i="17"/>
  <c r="S11" i="17"/>
  <c r="H3" i="7"/>
  <c r="AS6" i="12"/>
  <c r="AL18" i="2"/>
  <c r="N8" i="17"/>
  <c r="U8" i="17"/>
  <c r="T14" i="19"/>
  <c r="U13" i="19"/>
  <c r="U14" i="19"/>
  <c r="V13" i="19"/>
  <c r="V14" i="19"/>
  <c r="X8" i="19"/>
  <c r="AQ10" i="12"/>
  <c r="AQ24" i="12" s="1"/>
  <c r="AH19" i="2"/>
  <c r="Q17" i="9" s="1"/>
  <c r="AL15" i="2"/>
  <c r="AH15" i="2"/>
  <c r="Q13" i="9" s="1"/>
  <c r="O57" i="7"/>
  <c r="AL17" i="2"/>
  <c r="R4" i="7"/>
  <c r="C9" i="21"/>
  <c r="C10" i="21"/>
  <c r="B30" i="21"/>
  <c r="B31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AJ10" i="12"/>
  <c r="AJ25" i="12" s="1"/>
  <c r="AL10" i="12"/>
  <c r="AL25" i="12" s="1"/>
  <c r="S4" i="10"/>
  <c r="Z4" i="10" s="1"/>
  <c r="R4" i="10"/>
  <c r="Y4" i="10" s="1"/>
  <c r="AR7" i="12"/>
  <c r="Z7" i="18"/>
  <c r="T3" i="7"/>
  <c r="V2" i="15" s="1"/>
  <c r="D20" i="17"/>
  <c r="W20" i="2"/>
  <c r="P5" i="10"/>
  <c r="W5" i="10" s="1"/>
  <c r="P11" i="10"/>
  <c r="W11" i="10" s="1"/>
  <c r="Q11" i="10"/>
  <c r="X11" i="10" s="1"/>
  <c r="AT20" i="12"/>
  <c r="AS20" i="12"/>
  <c r="H3" i="10"/>
  <c r="R3" i="10"/>
  <c r="P18" i="10" s="1"/>
  <c r="P10" i="10"/>
  <c r="W10" i="10" s="1"/>
  <c r="P3" i="10"/>
  <c r="W3" i="10" s="1"/>
  <c r="F3" i="10"/>
  <c r="Q3" i="10" s="1"/>
  <c r="X3" i="10" s="1"/>
  <c r="R10" i="10"/>
  <c r="Y10" i="10" s="1"/>
  <c r="AI15" i="2"/>
  <c r="R13" i="9" s="1"/>
  <c r="Q4" i="10"/>
  <c r="X4" i="10" s="1"/>
  <c r="AN9" i="12"/>
  <c r="AN23" i="12" s="1"/>
  <c r="Y7" i="19"/>
  <c r="X9" i="20"/>
  <c r="S54" i="7"/>
  <c r="AH9" i="2"/>
  <c r="Q7" i="9" s="1"/>
  <c r="AT6" i="12"/>
  <c r="R7" i="10"/>
  <c r="Y7" i="10" s="1"/>
  <c r="AG15" i="2"/>
  <c r="U6" i="15"/>
  <c r="AI17" i="2"/>
  <c r="R15" i="9" s="1"/>
  <c r="AL19" i="2"/>
  <c r="AJ17" i="2"/>
  <c r="AH7" i="2"/>
  <c r="Q5" i="9" s="1"/>
  <c r="AL5" i="2"/>
  <c r="AG5" i="2"/>
  <c r="AJ4" i="2"/>
  <c r="AH8" i="2"/>
  <c r="Q6" i="9" s="1"/>
  <c r="AI12" i="2"/>
  <c r="R10" i="9" s="1"/>
  <c r="AK4" i="2"/>
  <c r="AI8" i="2"/>
  <c r="R6" i="9" s="1"/>
  <c r="AL6" i="2"/>
  <c r="AG19" i="2"/>
  <c r="AG9" i="2"/>
  <c r="AF14" i="2"/>
  <c r="AJ12" i="2"/>
  <c r="AK12" i="2"/>
  <c r="AH10" i="2"/>
  <c r="Q8" i="9" s="1"/>
  <c r="AK7" i="2"/>
  <c r="A9" i="11"/>
  <c r="A10" i="11" s="1"/>
  <c r="AH4" i="2"/>
  <c r="AK17" i="2"/>
  <c r="AH18" i="2"/>
  <c r="Q16" i="9" s="1"/>
  <c r="AF12" i="2"/>
  <c r="AI6" i="2"/>
  <c r="R4" i="9" s="1"/>
  <c r="G4" i="15"/>
  <c r="K41" i="7"/>
  <c r="Q54" i="7"/>
  <c r="J42" i="7"/>
  <c r="D8" i="15"/>
  <c r="E9" i="14"/>
  <c r="H47" i="7"/>
  <c r="AL9" i="2"/>
  <c r="AG10" i="2"/>
  <c r="AK10" i="2"/>
  <c r="AF10" i="2"/>
  <c r="AG4" i="2"/>
  <c r="AI9" i="2"/>
  <c r="R7" i="9" s="1"/>
  <c r="AL4" i="2"/>
  <c r="K21" i="16"/>
  <c r="K18" i="17"/>
  <c r="AR20" i="12"/>
  <c r="AG7" i="2"/>
  <c r="K4" i="19"/>
  <c r="Y4" i="19" s="1"/>
  <c r="K4" i="20"/>
  <c r="X4" i="20" s="1"/>
  <c r="K11" i="17"/>
  <c r="K4" i="18"/>
  <c r="Z4" i="18" s="1"/>
  <c r="K8" i="16"/>
  <c r="AR13" i="12"/>
  <c r="AR27" i="12" s="1"/>
  <c r="AJ8" i="2"/>
  <c r="AH16" i="2"/>
  <c r="Q14" i="9" s="1"/>
  <c r="AH17" i="2"/>
  <c r="Q15" i="9" s="1"/>
  <c r="N51" i="7"/>
  <c r="S51" i="7" s="1"/>
  <c r="AK19" i="2"/>
  <c r="AF19" i="2"/>
  <c r="AJ19" i="2"/>
  <c r="AI19" i="2"/>
  <c r="R17" i="9" s="1"/>
  <c r="AG14" i="2"/>
  <c r="I4" i="7"/>
  <c r="BQ4" i="7" s="1"/>
  <c r="N38" i="7"/>
  <c r="R38" i="7" s="1"/>
  <c r="V4" i="7"/>
  <c r="W4" i="7" s="1"/>
  <c r="K42" i="7"/>
  <c r="G44" i="7"/>
  <c r="F9" i="14"/>
  <c r="E8" i="15"/>
  <c r="I47" i="7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AI14" i="2"/>
  <c r="R12" i="9" s="1"/>
  <c r="AI10" i="2"/>
  <c r="R8" i="9" s="1"/>
  <c r="K6" i="19"/>
  <c r="Y6" i="19" s="1"/>
  <c r="K10" i="17"/>
  <c r="K7" i="16"/>
  <c r="K6" i="18"/>
  <c r="K8" i="20"/>
  <c r="X8" i="20" s="1"/>
  <c r="AF7" i="2"/>
  <c r="AL7" i="2"/>
  <c r="AF8" i="2"/>
  <c r="AK8" i="2"/>
  <c r="AJ6" i="2"/>
  <c r="AK9" i="2"/>
  <c r="K4" i="17"/>
  <c r="K9" i="18"/>
  <c r="K11" i="20"/>
  <c r="X11" i="20" s="1"/>
  <c r="K11" i="19"/>
  <c r="Y11" i="19" s="1"/>
  <c r="K12" i="16"/>
  <c r="AR9" i="12"/>
  <c r="AR23" i="12" s="1"/>
  <c r="K14" i="19"/>
  <c r="Y14" i="19" s="1"/>
  <c r="K12" i="20"/>
  <c r="X12" i="20" s="1"/>
  <c r="K10" i="16"/>
  <c r="K5" i="17"/>
  <c r="AR11" i="12"/>
  <c r="AR25" i="12" s="1"/>
  <c r="K14" i="18"/>
  <c r="Y14" i="18" s="1"/>
  <c r="AJ14" i="2"/>
  <c r="E42" i="7"/>
  <c r="S42" i="7" s="1"/>
  <c r="G6" i="14"/>
  <c r="F3" i="15"/>
  <c r="J43" i="7"/>
  <c r="D49" i="7"/>
  <c r="N2" i="9"/>
  <c r="C2" i="9"/>
  <c r="B2" i="9"/>
  <c r="AF4" i="2"/>
  <c r="AH5" i="2"/>
  <c r="AJ7" i="2"/>
  <c r="AI5" i="2"/>
  <c r="AD2" i="2"/>
  <c r="AI4" i="2"/>
  <c r="R2" i="9" s="1"/>
  <c r="N3" i="9"/>
  <c r="C3" i="9"/>
  <c r="B3" i="9"/>
  <c r="AJ5" i="2"/>
  <c r="AG8" i="2"/>
  <c r="AF6" i="2"/>
  <c r="AK6" i="2"/>
  <c r="AF16" i="2"/>
  <c r="AF17" i="2"/>
  <c r="AK14" i="2"/>
  <c r="H6" i="14"/>
  <c r="G3" i="15"/>
  <c r="K43" i="7"/>
  <c r="AL16" i="2"/>
  <c r="AH14" i="2"/>
  <c r="Q12" i="9" s="1"/>
  <c r="F3" i="14"/>
  <c r="E2" i="15"/>
  <c r="I37" i="7"/>
  <c r="U3" i="7"/>
  <c r="AH6" i="2"/>
  <c r="Q4" i="9" s="1"/>
  <c r="AI16" i="2"/>
  <c r="R14" i="9" s="1"/>
  <c r="E49" i="7"/>
  <c r="AJ16" i="2"/>
  <c r="AL14" i="2"/>
  <c r="AF5" i="2"/>
  <c r="AF15" i="2"/>
  <c r="AI7" i="2"/>
  <c r="R5" i="9" s="1"/>
  <c r="AL8" i="2"/>
  <c r="AG6" i="2"/>
  <c r="K9" i="19"/>
  <c r="Y9" i="19" s="1"/>
  <c r="K14" i="20"/>
  <c r="X14" i="20" s="1"/>
  <c r="K4" i="16"/>
  <c r="K8" i="18"/>
  <c r="K14" i="17"/>
  <c r="AQ5" i="12"/>
  <c r="AF9" i="2"/>
  <c r="AG16" i="2"/>
  <c r="AG18" i="2"/>
  <c r="AK18" i="2"/>
  <c r="AF18" i="2"/>
  <c r="AI18" i="2"/>
  <c r="R16" i="9" s="1"/>
  <c r="AL10" i="2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7" i="2"/>
  <c r="K6" i="20"/>
  <c r="X6" i="20" s="1"/>
  <c r="K13" i="18"/>
  <c r="Y13" i="18" s="1"/>
  <c r="K12" i="19"/>
  <c r="Y12" i="19" s="1"/>
  <c r="K13" i="16"/>
  <c r="AQ6" i="12"/>
  <c r="K7" i="17"/>
  <c r="AJ18" i="2"/>
  <c r="AG12" i="2"/>
  <c r="K22" i="16"/>
  <c r="K19" i="17"/>
  <c r="AJ10" i="2"/>
  <c r="B6" i="15"/>
  <c r="A39" i="7"/>
  <c r="F11" i="15"/>
  <c r="J45" i="7"/>
  <c r="G48" i="7"/>
  <c r="E55" i="7"/>
  <c r="AL12" i="2"/>
  <c r="I4" i="14"/>
  <c r="H5" i="15"/>
  <c r="L40" i="7"/>
  <c r="E5" i="14"/>
  <c r="H48" i="7"/>
  <c r="H51" i="7"/>
  <c r="L55" i="7"/>
  <c r="K12" i="17"/>
  <c r="K10" i="20"/>
  <c r="X10" i="20" s="1"/>
  <c r="K5" i="19"/>
  <c r="Y5" i="19" s="1"/>
  <c r="K5" i="18"/>
  <c r="Z5" i="18" s="1"/>
  <c r="K5" i="16"/>
  <c r="AJ9" i="2"/>
  <c r="AH12" i="2"/>
  <c r="Q10" i="9" s="1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P9" i="10"/>
  <c r="W9" i="10" s="1"/>
  <c r="Q9" i="10"/>
  <c r="X9" i="10" s="1"/>
  <c r="R9" i="10"/>
  <c r="Y9" i="10" s="1"/>
  <c r="Q13" i="10"/>
  <c r="X13" i="10" s="1"/>
  <c r="P13" i="10"/>
  <c r="W13" i="10" s="1"/>
  <c r="AL13" i="12"/>
  <c r="AL28" i="12" s="1"/>
  <c r="AR10" i="12"/>
  <c r="AR24" i="12" s="1"/>
  <c r="AK13" i="12"/>
  <c r="AK28" i="12" s="1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Q6" i="10"/>
  <c r="X6" i="10" s="1"/>
  <c r="G12" i="15"/>
  <c r="H13" i="14"/>
  <c r="J55" i="7"/>
  <c r="H56" i="7"/>
  <c r="K53" i="7"/>
  <c r="K54" i="7"/>
  <c r="I12" i="15"/>
  <c r="J13" i="14"/>
  <c r="M53" i="7"/>
  <c r="R6" i="10"/>
  <c r="Y6" i="10" s="1"/>
  <c r="BN57" i="7"/>
  <c r="Q56" i="7"/>
  <c r="P12" i="10"/>
  <c r="W12" i="10" s="1"/>
  <c r="Q12" i="10"/>
  <c r="X12" i="10" s="1"/>
  <c r="F13" i="14"/>
  <c r="E12" i="15"/>
  <c r="I53" i="7"/>
  <c r="R13" i="10"/>
  <c r="Y13" i="10" s="1"/>
  <c r="H4" i="10"/>
  <c r="J4" i="10" s="1"/>
  <c r="I4" i="10"/>
  <c r="AS7" i="12"/>
  <c r="AT7" i="12"/>
  <c r="AP13" i="12"/>
  <c r="AP27" i="12" s="1"/>
  <c r="AN13" i="12"/>
  <c r="AM24" i="12"/>
  <c r="AM16" i="12" s="1"/>
  <c r="AM2" i="12"/>
  <c r="R11" i="10"/>
  <c r="Y11" i="10" s="1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Q8" i="10"/>
  <c r="X8" i="10" s="1"/>
  <c r="AR12" i="12"/>
  <c r="AR26" i="12" s="1"/>
  <c r="AQ7" i="12"/>
  <c r="AR14" i="12"/>
  <c r="AR28" i="12" s="1"/>
  <c r="W12" i="9"/>
  <c r="I3" i="10"/>
  <c r="AP14" i="12"/>
  <c r="AP28" i="12" s="1"/>
  <c r="AN14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Z25" i="13"/>
  <c r="X9" i="16"/>
  <c r="X11" i="17"/>
  <c r="X11" i="18"/>
  <c r="T4" i="13"/>
  <c r="T10" i="13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D15" i="9" l="1"/>
  <c r="E15" i="9" s="1"/>
  <c r="D7" i="9"/>
  <c r="E7" i="9" s="1"/>
  <c r="D16" i="9"/>
  <c r="F16" i="9" s="1"/>
  <c r="D10" i="9"/>
  <c r="F10" i="9" s="1"/>
  <c r="D8" i="9"/>
  <c r="E8" i="9" s="1"/>
  <c r="D4" i="9"/>
  <c r="E4" i="9" s="1"/>
  <c r="D14" i="9"/>
  <c r="E14" i="9" s="1"/>
  <c r="D6" i="9"/>
  <c r="F6" i="9" s="1"/>
  <c r="D12" i="9"/>
  <c r="E12" i="9" s="1"/>
  <c r="D5" i="9"/>
  <c r="B27" i="9" s="1"/>
  <c r="E16" i="9"/>
  <c r="D17" i="9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C8" i="7"/>
  <c r="C42" i="7" s="1"/>
  <c r="E9" i="12"/>
  <c r="Q9" i="12" s="1"/>
  <c r="C19" i="7"/>
  <c r="C53" i="7" s="1"/>
  <c r="E20" i="12"/>
  <c r="Q20" i="12" s="1"/>
  <c r="C17" i="7"/>
  <c r="C51" i="7" s="1"/>
  <c r="E18" i="12"/>
  <c r="Q18" i="12" s="1"/>
  <c r="C11" i="7"/>
  <c r="C45" i="7" s="1"/>
  <c r="E12" i="12"/>
  <c r="Q12" i="12" s="1"/>
  <c r="C9" i="7"/>
  <c r="C43" i="7" s="1"/>
  <c r="E10" i="12"/>
  <c r="Q10" i="12" s="1"/>
  <c r="C13" i="7"/>
  <c r="C47" i="7" s="1"/>
  <c r="E14" i="12"/>
  <c r="Q14" i="12" s="1"/>
  <c r="C12" i="7"/>
  <c r="C46" i="7" s="1"/>
  <c r="E13" i="12"/>
  <c r="Q13" i="12" s="1"/>
  <c r="C6" i="7"/>
  <c r="C40" i="7" s="1"/>
  <c r="E7" i="12"/>
  <c r="Q7" i="12" s="1"/>
  <c r="C16" i="7"/>
  <c r="C50" i="7" s="1"/>
  <c r="E17" i="12"/>
  <c r="Q17" i="12" s="1"/>
  <c r="C14" i="7"/>
  <c r="C48" i="7" s="1"/>
  <c r="E15" i="12"/>
  <c r="Q15" i="12" s="1"/>
  <c r="C10" i="7"/>
  <c r="C44" i="7" s="1"/>
  <c r="E11" i="12"/>
  <c r="Q11" i="12" s="1"/>
  <c r="C5" i="7"/>
  <c r="C39" i="7" s="1"/>
  <c r="E6" i="12"/>
  <c r="Q6" i="12" s="1"/>
  <c r="C18" i="7"/>
  <c r="C52" i="7" s="1"/>
  <c r="E19" i="12"/>
  <c r="Q19" i="12" s="1"/>
  <c r="C15" i="7"/>
  <c r="C49" i="7" s="1"/>
  <c r="E16" i="12"/>
  <c r="Q16" i="12" s="1"/>
  <c r="C7" i="7"/>
  <c r="C41" i="7" s="1"/>
  <c r="E8" i="12"/>
  <c r="Q8" i="12" s="1"/>
  <c r="S15" i="7"/>
  <c r="CA15" i="7"/>
  <c r="AM15" i="7"/>
  <c r="BB15" i="7"/>
  <c r="BD15" i="7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C15" i="2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X14" i="19"/>
  <c r="X13" i="18"/>
  <c r="X9" i="18"/>
  <c r="X12" i="18"/>
  <c r="F39" i="7"/>
  <c r="BN39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7" i="7"/>
  <c r="C7" i="2"/>
  <c r="C11" i="2"/>
  <c r="S57" i="7"/>
  <c r="C10" i="2"/>
  <c r="C8" i="2"/>
  <c r="C6" i="2"/>
  <c r="C13" i="2"/>
  <c r="S56" i="7"/>
  <c r="S41" i="7"/>
  <c r="F14" i="23"/>
  <c r="Q14" i="23" s="1"/>
  <c r="C14" i="2"/>
  <c r="F10" i="23"/>
  <c r="Q10" i="23" s="1"/>
  <c r="C16" i="2"/>
  <c r="F12" i="23"/>
  <c r="Q12" i="23" s="1"/>
  <c r="C18" i="2"/>
  <c r="F11" i="23"/>
  <c r="Q11" i="23" s="1"/>
  <c r="C17" i="2"/>
  <c r="F9" i="23"/>
  <c r="Q9" i="23" s="1"/>
  <c r="C9" i="2"/>
  <c r="F15" i="23"/>
  <c r="Q15" i="23" s="1"/>
  <c r="C12" i="2"/>
  <c r="F13" i="23"/>
  <c r="Q13" i="23" s="1"/>
  <c r="C19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10" i="12"/>
  <c r="AK2" i="12" s="1"/>
  <c r="BA57" i="7"/>
  <c r="BO57" i="7"/>
  <c r="AI57" i="7"/>
  <c r="X11" i="16"/>
  <c r="AB57" i="7"/>
  <c r="P16" i="21"/>
  <c r="O19" i="21"/>
  <c r="O21" i="21"/>
  <c r="O18" i="21"/>
  <c r="O20" i="21"/>
  <c r="X10" i="18"/>
  <c r="X10" i="17"/>
  <c r="AG57" i="7"/>
  <c r="B32" i="21"/>
  <c r="P19" i="10"/>
  <c r="P20" i="10" s="1"/>
  <c r="Y3" i="10"/>
  <c r="W18" i="10" s="1"/>
  <c r="W19" i="10" s="1"/>
  <c r="W20" i="10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F7" i="23"/>
  <c r="Q7" i="23" s="1"/>
  <c r="F6" i="23"/>
  <c r="Q6" i="23" s="1"/>
  <c r="F8" i="23"/>
  <c r="Q8" i="23" s="1"/>
  <c r="F46" i="7"/>
  <c r="AK46" i="7" s="1"/>
  <c r="F44" i="7"/>
  <c r="AE44" i="7" s="1"/>
  <c r="F45" i="7"/>
  <c r="CA45" i="7" s="1"/>
  <c r="CC45" i="7" s="1"/>
  <c r="R3" i="9"/>
  <c r="Y2" i="23"/>
  <c r="F4" i="23"/>
  <c r="Q4" i="23" s="1"/>
  <c r="D16" i="16"/>
  <c r="D7" i="16"/>
  <c r="F5" i="23"/>
  <c r="Q5" i="23" s="1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AQ13" i="12"/>
  <c r="AQ27" i="12" s="1"/>
  <c r="V12" i="15"/>
  <c r="AL57" i="7"/>
  <c r="S38" i="7"/>
  <c r="AL9" i="12"/>
  <c r="AL24" i="12" s="1"/>
  <c r="AL16" i="12" s="1"/>
  <c r="R51" i="7"/>
  <c r="W14" i="10"/>
  <c r="D12" i="20"/>
  <c r="D5" i="17"/>
  <c r="D23" i="16"/>
  <c r="C56" i="7"/>
  <c r="Z6" i="18"/>
  <c r="D10" i="16"/>
  <c r="D14" i="19"/>
  <c r="Z8" i="18"/>
  <c r="D6" i="19"/>
  <c r="Y9" i="18"/>
  <c r="AR6" i="12"/>
  <c r="W16" i="10"/>
  <c r="W17" i="10" s="1"/>
  <c r="Q10" i="10"/>
  <c r="X10" i="10" s="1"/>
  <c r="Q5" i="10"/>
  <c r="X5" i="10" s="1"/>
  <c r="S3" i="10"/>
  <c r="J3" i="10"/>
  <c r="AJ9" i="12"/>
  <c r="AJ2" i="12" s="1"/>
  <c r="P14" i="10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C3" i="7"/>
  <c r="C37" i="7" s="1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Q7" i="10"/>
  <c r="CE56" i="7"/>
  <c r="AP56" i="7"/>
  <c r="AR5" i="12"/>
  <c r="AT19" i="12"/>
  <c r="AT5" i="12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C54" i="7"/>
  <c r="AQ21" i="12"/>
  <c r="AQ2" i="12"/>
  <c r="AQ19" i="12"/>
  <c r="D25" i="16"/>
  <c r="D22" i="17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S12" i="10"/>
  <c r="Z12" i="10" s="1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D10" i="18"/>
  <c r="AP4" i="7"/>
  <c r="D11" i="20"/>
  <c r="D4" i="17"/>
  <c r="D9" i="18"/>
  <c r="D11" i="19"/>
  <c r="D12" i="16"/>
  <c r="F48" i="7"/>
  <c r="AX48" i="7" s="1"/>
  <c r="AZ48" i="7" s="1"/>
  <c r="R5" i="14"/>
  <c r="J11" i="15"/>
  <c r="N45" i="7"/>
  <c r="Q45" i="7" s="1"/>
  <c r="W11" i="15"/>
  <c r="B33" i="21"/>
  <c r="BR56" i="7"/>
  <c r="X13" i="17"/>
  <c r="S13" i="10"/>
  <c r="Z13" i="10" s="1"/>
  <c r="AY56" i="7"/>
  <c r="BY56" i="7"/>
  <c r="BZ56" i="7"/>
  <c r="O54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Q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S8" i="10"/>
  <c r="Z8" i="10" s="1"/>
  <c r="P56" i="7"/>
  <c r="BJ56" i="7"/>
  <c r="BC56" i="7"/>
  <c r="CA41" i="7"/>
  <c r="CC41" i="7" s="1"/>
  <c r="T57" i="7"/>
  <c r="V57" i="7" s="1"/>
  <c r="U57" i="7"/>
  <c r="Q38" i="7"/>
  <c r="R39" i="7"/>
  <c r="Q52" i="7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X12" i="9"/>
  <c r="Y12" i="9" s="1"/>
  <c r="F50" i="7"/>
  <c r="AD50" i="7" s="1"/>
  <c r="X3" i="14"/>
  <c r="W2" i="15"/>
  <c r="B40" i="21"/>
  <c r="X14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O39" i="7"/>
  <c r="V11" i="15"/>
  <c r="CA56" i="7"/>
  <c r="CC56" i="7" s="1"/>
  <c r="S37" i="7"/>
  <c r="Q40" i="7"/>
  <c r="S4" i="7"/>
  <c r="D22" i="16"/>
  <c r="D19" i="17"/>
  <c r="C55" i="7"/>
  <c r="R37" i="7"/>
  <c r="D20" i="16"/>
  <c r="D9" i="19"/>
  <c r="D4" i="16"/>
  <c r="D8" i="18"/>
  <c r="D14" i="17"/>
  <c r="D14" i="20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2" i="20" s="1"/>
  <c r="AN16" i="12"/>
  <c r="AR56" i="7"/>
  <c r="AX56" i="7"/>
  <c r="AZ56" i="7" s="1"/>
  <c r="X13" i="16"/>
  <c r="AN27" i="12"/>
  <c r="AO13" i="12"/>
  <c r="AO27" i="12" s="1"/>
  <c r="BT56" i="7"/>
  <c r="Z56" i="7"/>
  <c r="AW56" i="7"/>
  <c r="AS21" i="12"/>
  <c r="AS16" i="12" s="1"/>
  <c r="AS2" i="12"/>
  <c r="S9" i="10"/>
  <c r="Z9" i="10" s="1"/>
  <c r="U3" i="15"/>
  <c r="V6" i="14"/>
  <c r="Q37" i="7"/>
  <c r="O53" i="7"/>
  <c r="R40" i="7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D2" i="9"/>
  <c r="J10" i="15"/>
  <c r="K11" i="14"/>
  <c r="N44" i="7"/>
  <c r="Q44" i="7" s="1"/>
  <c r="F53" i="7"/>
  <c r="BA53" i="7" s="1"/>
  <c r="D7" i="19"/>
  <c r="D9" i="16"/>
  <c r="D7" i="18"/>
  <c r="D9" i="20"/>
  <c r="D13" i="17"/>
  <c r="AV4" i="7"/>
  <c r="BX41" i="7"/>
  <c r="BN41" i="7"/>
  <c r="BD41" i="7"/>
  <c r="AH41" i="7"/>
  <c r="BS41" i="7"/>
  <c r="BI41" i="7"/>
  <c r="B37" i="21"/>
  <c r="B38" i="21"/>
  <c r="S6" i="10"/>
  <c r="Z6" i="10" s="1"/>
  <c r="C40" i="21"/>
  <c r="C25" i="21"/>
  <c r="C29" i="21" s="1"/>
  <c r="C31" i="21" s="1"/>
  <c r="X10" i="16"/>
  <c r="CB56" i="7"/>
  <c r="BW56" i="7"/>
  <c r="BM56" i="7"/>
  <c r="O51" i="7"/>
  <c r="P16" i="10"/>
  <c r="P17" i="10" s="1"/>
  <c r="R52" i="7"/>
  <c r="Q51" i="7"/>
  <c r="P5" i="14"/>
  <c r="O47" i="7"/>
  <c r="F51" i="7"/>
  <c r="BR51" i="7" s="1"/>
  <c r="D13" i="19"/>
  <c r="D7" i="20"/>
  <c r="D8" i="17"/>
  <c r="D11" i="16"/>
  <c r="D12" i="18"/>
  <c r="D17" i="17"/>
  <c r="D18" i="16"/>
  <c r="F47" i="7"/>
  <c r="AW47" i="7" s="1"/>
  <c r="N50" i="7"/>
  <c r="Q50" i="7" s="1"/>
  <c r="D6" i="16"/>
  <c r="D16" i="17"/>
  <c r="E5" i="12"/>
  <c r="Q5" i="12" s="1"/>
  <c r="C4" i="7"/>
  <c r="C38" i="7" s="1"/>
  <c r="F49" i="7"/>
  <c r="BM49" i="7" s="1"/>
  <c r="F7" i="9" l="1"/>
  <c r="B31" i="9"/>
  <c r="F15" i="9"/>
  <c r="E6" i="9"/>
  <c r="C28" i="9" s="1"/>
  <c r="I28" i="9" s="1"/>
  <c r="F8" i="9"/>
  <c r="D31" i="9" s="1"/>
  <c r="B28" i="9"/>
  <c r="H28" i="9" s="1"/>
  <c r="E10" i="9"/>
  <c r="C30" i="9" s="1"/>
  <c r="F4" i="9"/>
  <c r="F14" i="9"/>
  <c r="F12" i="9"/>
  <c r="E17" i="9"/>
  <c r="F17" i="9"/>
  <c r="F5" i="9"/>
  <c r="D27" i="9" s="1"/>
  <c r="J27" i="9" s="1"/>
  <c r="E5" i="9"/>
  <c r="C27" i="9" s="1"/>
  <c r="I27" i="9" s="1"/>
  <c r="P21" i="10"/>
  <c r="AK25" i="12"/>
  <c r="AK16" i="12" s="1"/>
  <c r="U20" i="22"/>
  <c r="U27" i="22"/>
  <c r="U25" i="22"/>
  <c r="U24" i="22"/>
  <c r="U23" i="22"/>
  <c r="U21" i="22"/>
  <c r="AO16" i="12"/>
  <c r="D28" i="9"/>
  <c r="J28" i="9" s="1"/>
  <c r="AK39" i="7"/>
  <c r="C31" i="9"/>
  <c r="D30" i="9"/>
  <c r="J30" i="9" s="1"/>
  <c r="BR39" i="7"/>
  <c r="BZ39" i="7"/>
  <c r="BJ39" i="7"/>
  <c r="BQ39" i="7"/>
  <c r="P39" i="7"/>
  <c r="AF39" i="7"/>
  <c r="AA39" i="7"/>
  <c r="AC39" i="7" s="1"/>
  <c r="BI39" i="7"/>
  <c r="U39" i="7"/>
  <c r="BC39" i="7"/>
  <c r="BY39" i="7"/>
  <c r="AI39" i="7"/>
  <c r="AP39" i="7"/>
  <c r="BL39" i="7"/>
  <c r="BW39" i="7"/>
  <c r="X39" i="7"/>
  <c r="CD39" i="7"/>
  <c r="CF39" i="7" s="1"/>
  <c r="BH39" i="7"/>
  <c r="AU39" i="7"/>
  <c r="AL39" i="7"/>
  <c r="CB39" i="7"/>
  <c r="BV39" i="7"/>
  <c r="AG39" i="7"/>
  <c r="BB39" i="7"/>
  <c r="CE39" i="7"/>
  <c r="Z39" i="7"/>
  <c r="BO39" i="7"/>
  <c r="T39" i="7"/>
  <c r="V39" i="7" s="1"/>
  <c r="AT39" i="7"/>
  <c r="AV39" i="7" s="1"/>
  <c r="BF39" i="7"/>
  <c r="BA39" i="7"/>
  <c r="BX39" i="7"/>
  <c r="AD39" i="7"/>
  <c r="CG39" i="7"/>
  <c r="BT39" i="7"/>
  <c r="AM39" i="7"/>
  <c r="AO39" i="7" s="1"/>
  <c r="AE39" i="7"/>
  <c r="BG39" i="7"/>
  <c r="AY39" i="7"/>
  <c r="BD39" i="7"/>
  <c r="CA39" i="7"/>
  <c r="CC39" i="7" s="1"/>
  <c r="AW39" i="7"/>
  <c r="AX39" i="7"/>
  <c r="AZ39" i="7" s="1"/>
  <c r="BK39" i="7"/>
  <c r="BU39" i="7"/>
  <c r="AJ39" i="7"/>
  <c r="AR39" i="7"/>
  <c r="AH39" i="7"/>
  <c r="BE39" i="7"/>
  <c r="AN39" i="7"/>
  <c r="AB39" i="7"/>
  <c r="BS39" i="7"/>
  <c r="BM39" i="7"/>
  <c r="AQ39" i="7"/>
  <c r="AS39" i="7" s="1"/>
  <c r="W39" i="7"/>
  <c r="Y39" i="7" s="1"/>
  <c r="BP39" i="7"/>
  <c r="X2" i="18"/>
  <c r="B30" i="9"/>
  <c r="H30" i="9" s="1"/>
  <c r="S13" i="14"/>
  <c r="U13" i="14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BA40" i="7"/>
  <c r="BK40" i="7"/>
  <c r="BP40" i="7"/>
  <c r="AL40" i="7"/>
  <c r="CD40" i="7"/>
  <c r="CF40" i="7" s="1"/>
  <c r="BR40" i="7"/>
  <c r="AW40" i="7"/>
  <c r="AK40" i="7"/>
  <c r="AP40" i="7"/>
  <c r="X40" i="7"/>
  <c r="CE40" i="7"/>
  <c r="BI40" i="7"/>
  <c r="CA40" i="7"/>
  <c r="CC40" i="7" s="1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W21" i="10"/>
  <c r="V14" i="14"/>
  <c r="Q16" i="21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C33" i="2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AA2" i="18" l="1"/>
  <c r="D29" i="9"/>
  <c r="J29" i="9" s="1"/>
  <c r="J32" i="9" s="1"/>
  <c r="C29" i="9"/>
  <c r="I29" i="9" s="1"/>
  <c r="I30" i="9"/>
  <c r="R16" i="21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X14" i="10"/>
  <c r="X16" i="10"/>
  <c r="X17" i="10" s="1"/>
  <c r="X21" i="10" s="1"/>
  <c r="W14" i="14"/>
  <c r="C32" i="9" l="1"/>
  <c r="I32" i="9"/>
  <c r="D32" i="9"/>
  <c r="S16" i="21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T16" i="21" l="1"/>
  <c r="S18" i="2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L38" i="21"/>
  <c r="L23" i="21"/>
  <c r="L27" i="21" s="1"/>
  <c r="V30" i="21"/>
  <c r="W30" i="21" s="1"/>
  <c r="U31" i="21"/>
  <c r="Z16" i="21" l="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<sst xmlns="http://schemas.openxmlformats.org/spreadsheetml/2006/main" count="2090" uniqueCount="680">
  <si>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</si>
  <si>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</si>
  <si>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</si>
  <si>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</si>
  <si>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</si>
  <si>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</si>
  <si>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</si>
  <si>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</si>
  <si>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</si>
  <si>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</si>
  <si>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</si>
  <si>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</si>
  <si>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</si>
  <si>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</si>
  <si>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</si>
  <si>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</si>
  <si>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</si>
  <si>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</si>
  <si>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</si>
  <si>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</si>
  <si>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</si>
  <si>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</si>
  <si>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</si>
  <si>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</si>
  <si>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</si>
  <si>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</si>
  <si>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</si>
  <si>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</si>
  <si>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</si>
  <si>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</si>
  <si>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</si>
  <si>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</si>
  <si>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</si>
  <si>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</si>
  <si>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</si>
  <si>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</si>
  <si>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</si>
  <si>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</si>
  <si>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</si>
  <si>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</si>
  <si>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</si>
  <si>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</si>
  <si>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</si>
  <si>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</si>
  <si>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</si>
  <si>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</si>
  <si>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</si>
  <si>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</si>
  <si>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</si>
  <si>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</si>
  <si>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</si>
  <si>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</si>
  <si>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</si>
  <si>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</si>
  <si>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</si>
  <si>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</si>
  <si>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</si>
  <si>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</si>
  <si>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</si>
  <si>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</si>
  <si>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</si>
  <si>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</si>
  <si>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</si>
  <si>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</si>
  <si>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</si>
  <si>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</si>
  <si>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</si>
  <si>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</si>
  <si>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</si>
  <si>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</si>
  <si>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</si>
  <si>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</si>
  <si>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</si>
  <si>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</si>
  <si>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</si>
  <si>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</si>
  <si>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</si>
  <si>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</si>
  <si>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</si>
  <si>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</si>
  <si>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</si>
  <si>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</si>
  <si>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</si>
  <si>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</si>
  <si>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</si>
  <si>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</si>
  <si>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</si>
  <si>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</si>
  <si>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</si>
  <si>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</si>
  <si>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</si>
  <si>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</si>
  <si>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</si>
  <si>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</si>
  <si>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</si>
  <si>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</si>
  <si>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</si>
  <si>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</si>
  <si>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</si>
  <si>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</si>
  <si>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</si>
  <si>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</si>
  <si>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</si>
  <si>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</si>
  <si>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</si>
  <si>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</si>
  <si>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</si>
  <si>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</si>
  <si>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</si>
  <si>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</si>
  <si>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</si>
  <si>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</si>
  <si>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</si>
  <si>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</si>
  <si>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</si>
  <si>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</si>
  <si>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</si>
  <si>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</si>
  <si>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</si>
  <si>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</si>
  <si>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</si>
  <si>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</si>
  <si>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</si>
  <si>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</si>
  <si>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</si>
  <si>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</si>
  <si>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</si>
  <si>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</si>
  <si>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</si>
  <si>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</si>
  <si>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</si>
  <si>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</si>
  <si>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</si>
  <si>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</si>
  <si>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</si>
  <si>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</si>
  <si>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</si>
  <si>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</si>
  <si>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</si>
  <si>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</si>
  <si>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</si>
  <si>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</si>
  <si>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</si>
  <si>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</si>
  <si>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</si>
  <si>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</si>
  <si>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</si>
  <si>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</si>
  <si>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</si>
  <si>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</si>
  <si>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</si>
  <si>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</si>
  <si>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</si>
  <si>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</si>
  <si>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</si>
  <si>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</si>
  <si>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</si>
  <si>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</si>
  <si>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</si>
  <si>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</si>
  <si>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</si>
  <si>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</si>
  <si>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</si>
  <si>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</si>
  <si>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</si>
  <si>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</si>
  <si>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</si>
  <si>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</si>
  <si>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</si>
  <si>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</si>
  <si>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</si>
  <si>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</si>
  <si>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</si>
  <si>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</si>
  <si>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</si>
  <si>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</si>
  <si>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</si>
  <si>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</si>
  <si>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</si>
  <si>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</si>
  <si>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</si>
  <si>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</si>
  <si>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</si>
  <si>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Capitan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</si>
  <si>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</si>
  <si>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</si>
  <si>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</si>
  <si>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</si>
  <si>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</si>
  <si>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</si>
  <si>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</si>
  <si>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</si>
  <si>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</si>
  <si>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</si>
  <si>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</si>
  <si>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</si>
  <si>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</si>
  <si>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</si>
  <si>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</si>
  <si>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</si>
  <si>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</si>
  <si>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</si>
  <si>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</si>
  <si>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</si>
  <si>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</si>
  <si>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</si>
  <si>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</si>
  <si>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</si>
  <si>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</si>
  <si>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</si>
  <si>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</si>
  <si>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</si>
  <si>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</si>
  <si>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</si>
  <si>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</si>
  <si>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</si>
  <si>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</si>
  <si>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</si>
  <si>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</si>
  <si>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</si>
  <si>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</si>
  <si>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</si>
  <si>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</si>
  <si>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</si>
  <si>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</si>
  <si>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</si>
  <si>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</si>
  <si>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</si>
  <si>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</si>
  <si>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</si>
  <si>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</si>
  <si>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</si>
  <si>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</si>
  <si>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</si>
  <si>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</si>
  <si>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</si>
  <si>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</si>
  <si>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</si>
  <si>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</si>
  <si>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</si>
  <si>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</si>
  <si>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</si>
  <si>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</si>
  <si>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</si>
  <si>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</si>
  <si>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</si>
  <si>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</si>
  <si>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</si>
  <si>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</si>
  <si>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</si>
  <si>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</si>
  <si>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</si>
  <si>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</si>
  <si>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</si>
  <si>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</si>
  <si>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</si>
  <si>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</si>
  <si>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</si>
  <si>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</si>
  <si>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</si>
  <si>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</si>
  <si>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</si>
  <si>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</si>
  <si>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</si>
  <si>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</si>
  <si>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</si>
  <si>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</si>
  <si>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</si>
  <si>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</si>
  <si>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</si>
  <si>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</si>
  <si>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</si>
  <si>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</si>
  <si>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</si>
  <si>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</si>
  <si>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</si>
  <si>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</si>
  <si>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</si>
  <si>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</si>
  <si>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</si>
  <si>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</si>
  <si>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</si>
  <si>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</si>
  <si>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</si>
  <si>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</si>
  <si>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</si>
  <si>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</si>
  <si>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</si>
  <si>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</si>
  <si>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</si>
  <si>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</si>
  <si>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</si>
  <si>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</si>
  <si>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</si>
  <si>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</si>
  <si>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</si>
  <si>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</si>
  <si>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</si>
  <si>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</si>
  <si>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</si>
  <si>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</si>
  <si>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</si>
  <si>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</si>
  <si>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</si>
  <si>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</si>
  <si>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</si>
  <si>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</si>
  <si>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</si>
  <si>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</si>
  <si>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</si>
  <si>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</si>
  <si>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</si>
  <si>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</si>
  <si>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</si>
  <si>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</si>
  <si>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</si>
  <si>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</si>
  <si>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</si>
  <si>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</si>
  <si>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</si>
  <si>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</si>
  <si>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</si>
  <si>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</si>
  <si>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</si>
  <si>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</si>
  <si>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</si>
  <si>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</si>
  <si>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</si>
  <si>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</si>
  <si>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</si>
  <si>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</si>
  <si>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</si>
  <si>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</si>
  <si>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</si>
  <si>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</si>
  <si>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</si>
  <si>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</si>
  <si>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</si>
  <si>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</si>
  <si>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</si>
  <si>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</si>
  <si>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</si>
  <si>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</si>
  <si>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</si>
  <si>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</si>
  <si>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</si>
  <si>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</si>
  <si>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</si>
  <si>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</si>
  <si>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</si>
  <si>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</si>
  <si>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</si>
  <si>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</si>
  <si>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</si>
  <si>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</si>
  <si>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</si>
  <si>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</si>
  <si>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</si>
  <si>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</si>
  <si>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</si>
  <si>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</si>
  <si>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</si>
  <si>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</si>
  <si>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</si>
  <si>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</si>
  <si>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</si>
  <si>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</si>
  <si>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</si>
  <si>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</si>
  <si>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</si>
  <si>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</si>
  <si>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</si>
  <si>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</si>
  <si>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</si>
  <si>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</si>
  <si>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</si>
  <si>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</si>
  <si>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</si>
  <si>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</si>
  <si>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</si>
  <si>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</si>
  <si>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</si>
  <si>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</si>
  <si>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</si>
  <si>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</si>
  <si>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</si>
  <si>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</si>
  <si>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</si>
  <si>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</si>
  <si>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</si>
  <si>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</si>
  <si>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</si>
  <si>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</si>
  <si>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</si>
  <si>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</si>
  <si>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</si>
  <si>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</si>
  <si>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</si>
  <si>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</si>
  <si>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</si>
  <si>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</si>
  <si>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</si>
  <si>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</si>
  <si>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</si>
  <si>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</si>
  <si>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</si>
  <si>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</si>
  <si>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</si>
  <si>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</si>
  <si>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</si>
  <si>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</si>
  <si>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</si>
  <si>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</si>
  <si>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</si>
  <si>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</si>
  <si>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</si>
  <si>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</si>
  <si>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</si>
  <si>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</si>
  <si>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</si>
  <si>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</si>
  <si>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</si>
  <si>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</si>
  <si>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</si>
  <si>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</si>
  <si>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</si>
  <si>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</si>
  <si>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</si>
  <si>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</si>
  <si>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</si>
  <si>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</si>
  <si>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</si>
  <si>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</si>
  <si>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</si>
  <si>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</si>
  <si>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</si>
  <si>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</si>
  <si>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</si>
  <si>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</si>
  <si>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</si>
  <si>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</si>
  <si>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</si>
  <si>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</si>
  <si>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</si>
  <si>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</si>
  <si>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</si>
  <si>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</si>
  <si>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</si>
  <si>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</si>
  <si>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</si>
  <si>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</si>
  <si>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</si>
  <si>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</si>
  <si>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</si>
  <si>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</si>
  <si>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</si>
  <si>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</si>
  <si>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</si>
  <si>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</si>
  <si>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</si>
  <si>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</si>
  <si>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</si>
  <si>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</si>
  <si>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</si>
  <si>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</si>
  <si>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</si>
  <si>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</si>
  <si>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</si>
  <si>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</si>
  <si>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</si>
  <si>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</si>
  <si>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</si>
  <si>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</si>
  <si>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</si>
  <si>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</si>
  <si>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</si>
  <si>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</si>
  <si>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</si>
  <si>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</si>
  <si>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</si>
  <si>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</si>
  <si>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</si>
  <si>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</si>
  <si>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</si>
  <si>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</si>
  <si>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</si>
  <si>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</si>
  <si>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</si>
  <si>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</si>
  <si>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</si>
  <si>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</si>
  <si>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LID</t>
  </si>
  <si>
    <t>Precio</t>
  </si>
  <si>
    <t>V_32</t>
  </si>
  <si>
    <t>Coste_32</t>
  </si>
  <si>
    <t>C_T32</t>
  </si>
  <si>
    <t>XPR</t>
  </si>
  <si>
    <t>Marco Andres Balbinot</t>
  </si>
  <si>
    <t>#15</t>
  </si>
  <si>
    <t>Julian Conteanu</t>
  </si>
  <si>
    <t>Stellan Swarborn</t>
  </si>
  <si>
    <t>Salomen Embe</t>
  </si>
  <si>
    <t>Serhat Gencel</t>
  </si>
  <si>
    <t>#69</t>
  </si>
  <si>
    <t>M.A. Balbinot</t>
  </si>
  <si>
    <t>#17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</si>
  <si>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</si>
  <si>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</si>
  <si>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</si>
  <si>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</si>
  <si>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</si>
  <si>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</si>
  <si>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</si>
  <si>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</si>
  <si>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</si>
  <si>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</si>
  <si>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</si>
  <si>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</si>
  <si>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</si>
  <si>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</si>
  <si>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</si>
  <si>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</si>
  <si>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</si>
  <si>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</si>
  <si>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</si>
  <si>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</si>
  <si>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</si>
  <si>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</si>
  <si>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</si>
  <si>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</si>
  <si>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</si>
  <si>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</si>
  <si>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</si>
  <si>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</si>
  <si>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</si>
  <si>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</si>
  <si>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</si>
  <si>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</si>
  <si>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</si>
  <si>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</si>
  <si>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</si>
  <si>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</si>
  <si>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</si>
  <si>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</si>
  <si>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</si>
  <si>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</si>
  <si>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</si>
  <si>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</si>
  <si>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</si>
  <si>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</si>
  <si>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</si>
  <si>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</si>
  <si>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</si>
  <si>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</si>
  <si>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</si>
  <si>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</si>
  <si>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</si>
  <si>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</si>
  <si>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</si>
  <si>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</si>
  <si>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</si>
  <si>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</si>
  <si>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</si>
  <si>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</si>
  <si>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</si>
  <si>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</si>
  <si>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</si>
  <si>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</si>
  <si>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</si>
  <si>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</si>
  <si>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</si>
  <si>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</si>
  <si>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</si>
  <si>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</si>
  <si>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</si>
  <si>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</si>
  <si>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</si>
  <si>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</si>
  <si>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</si>
  <si>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</si>
  <si>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</si>
  <si>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</si>
  <si>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</si>
  <si>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</si>
  <si>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</si>
  <si>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</si>
  <si>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</si>
  <si>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</si>
  <si>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</si>
  <si>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</si>
  <si>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</si>
  <si>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</si>
  <si>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</si>
  <si>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</si>
  <si>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</si>
  <si>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</si>
  <si>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</si>
  <si>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Derrick Ball</t>
  </si>
  <si>
    <t>Edgar Monagas</t>
  </si>
  <si>
    <t>Forrest Horton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</si>
  <si>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</si>
  <si>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</si>
  <si>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</si>
  <si>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</si>
  <si>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</si>
  <si>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</si>
  <si>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</si>
  <si>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</si>
  <si>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</si>
  <si>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Adam Binder</t>
  </si>
  <si>
    <t>Signar Nidristovu</t>
  </si>
  <si>
    <t>Ernis Kourtis</t>
  </si>
  <si>
    <t>Dusty Ware</t>
  </si>
  <si>
    <t>Massimiliano Selleri</t>
  </si>
  <si>
    <t>Sanel Vaupotic</t>
  </si>
  <si>
    <t>Leoš Lehocký</t>
  </si>
  <si>
    <t>Ludwig Schneiders</t>
  </si>
  <si>
    <t>Toni Valanne</t>
  </si>
  <si>
    <t>Ivan Salnikov</t>
  </si>
  <si>
    <t>Nicolás Rojas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</si>
  <si>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</si>
  <si>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</si>
  <si>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</si>
  <si>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</si>
  <si>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</si>
  <si>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</si>
  <si>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</si>
  <si>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</si>
  <si>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</si>
  <si>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</si>
  <si>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</si>
  <si>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</si>
  <si>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</si>
  <si>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</si>
  <si>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</si>
  <si>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</si>
  <si>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</si>
  <si>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</si>
  <si>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</si>
  <si>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</si>
  <si>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</si>
  <si>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</si>
  <si>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Construccion</t>
  </si>
  <si>
    <t>Matenimiento</t>
  </si>
  <si>
    <t>Entrada</t>
  </si>
  <si>
    <t>Entradas_Para_Mantemiento_1 temporada</t>
  </si>
  <si>
    <t>Cecil McNish</t>
  </si>
  <si>
    <t>Emil Speilman</t>
  </si>
  <si>
    <t>Devin Maguire</t>
  </si>
  <si>
    <t>Zaid Gagliardi</t>
  </si>
  <si>
    <t>Adrian Ramos</t>
  </si>
  <si>
    <t>Kenneth Deskins</t>
  </si>
  <si>
    <t>Bennet Lockwood</t>
  </si>
  <si>
    <t>Jordan Connors</t>
  </si>
  <si>
    <t>Karim Mamoun</t>
  </si>
  <si>
    <t>Jeremy Robley</t>
  </si>
  <si>
    <t>Tyler Peet</t>
  </si>
  <si>
    <t>Forest LaValle</t>
  </si>
  <si>
    <t>Guadalupe Becerril</t>
  </si>
  <si>
    <t>K. Polyukhov</t>
  </si>
  <si>
    <t>#3</t>
  </si>
  <si>
    <t>Alex Gordy</t>
  </si>
  <si>
    <t>Kyle Riddick-Stevens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</si>
  <si>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</si>
  <si>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</si>
  <si>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</si>
  <si>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</si>
  <si>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</si>
  <si>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</si>
  <si>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</si>
  <si>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</si>
  <si>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</si>
  <si>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</si>
  <si>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</si>
  <si>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</si>
  <si>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</si>
  <si>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</si>
  <si>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</si>
  <si>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</si>
  <si>
    <t>S.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</si>
</sst>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  <numFmt numFmtId="179" formatCode="dd/mmm"/>
  </numFmts>
  <fonts count="6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/>
    <xf numFmtId="0" fontId="31" fillId="0" borderId="0"/>
    <xf numFmtId="175" fontId="41" fillId="0" borderId="0"/>
  </cellStyleXfs>
  <cellXfs count="570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77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1" fillId="0" borderId="1" xfId="4" applyNumberFormat="1" applyBorder="1"/>
    <xf numFmtId="171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77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41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1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77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77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0" fontId="39" fillId="0" borderId="1" xfId="0" applyNumberFormat="1" applyFont="1" applyBorder="1"/>
    <xf numFmtId="172" fontId="39" fillId="0" borderId="1" xfId="3" applyNumberFormat="1" applyFont="1" applyBorder="1" applyAlignment="1">
      <alignment horizontal="center"/>
    </xf>
    <xf numFmtId="0" fontId="39" fillId="0" borderId="0" xfId="0" applyFont="1"/>
    <xf numFmtId="169" fontId="38" fillId="0" borderId="0" xfId="3" applyNumberFormat="1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1" fillId="56" borderId="70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76" xfId="0" applyBorder="1"/>
    <xf numFmtId="0" fontId="11" fillId="20" borderId="76" xfId="0" applyFont="1" applyFill="1" applyBorder="1" applyAlignment="1">
      <alignment horizontal="left" vertical="center"/>
    </xf>
    <xf numFmtId="1" fontId="11" fillId="20" borderId="76" xfId="0" applyNumberFormat="1" applyFont="1" applyFill="1" applyBorder="1" applyAlignment="1">
      <alignment horizontal="left" vertical="center"/>
    </xf>
    <xf numFmtId="0" fontId="11" fillId="21" borderId="76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left" vertical="center"/>
    </xf>
    <xf numFmtId="2" fontId="11" fillId="21" borderId="76" xfId="0" applyNumberFormat="1" applyFont="1" applyFill="1" applyBorder="1" applyAlignment="1">
      <alignment horizontal="left" vertical="center"/>
    </xf>
    <xf numFmtId="1" fontId="11" fillId="29" borderId="76" xfId="0" applyNumberFormat="1" applyFont="1" applyFill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center" vertical="center"/>
    </xf>
    <xf numFmtId="1" fontId="11" fillId="21" borderId="76" xfId="0" applyNumberFormat="1" applyFont="1" applyFill="1" applyBorder="1" applyAlignment="1">
      <alignment horizontal="center" vertical="center"/>
    </xf>
    <xf numFmtId="2" fontId="11" fillId="21" borderId="76" xfId="0" applyNumberFormat="1" applyFont="1" applyFill="1" applyBorder="1" applyAlignment="1">
      <alignment horizontal="center" vertical="center"/>
    </xf>
    <xf numFmtId="9" fontId="11" fillId="21" borderId="76" xfId="2" applyFont="1" applyFill="1" applyBorder="1" applyAlignment="1">
      <alignment horizontal="center" vertical="center"/>
    </xf>
    <xf numFmtId="169" fontId="11" fillId="21" borderId="76" xfId="3" applyNumberFormat="1" applyFont="1" applyFill="1" applyBorder="1" applyAlignment="1">
      <alignment horizontal="right" vertical="center"/>
    </xf>
    <xf numFmtId="169" fontId="11" fillId="21" borderId="76" xfId="3" applyNumberFormat="1" applyFont="1" applyFill="1" applyBorder="1" applyAlignment="1">
      <alignment horizontal="left" vertical="center"/>
    </xf>
    <xf numFmtId="172" fontId="11" fillId="21" borderId="76" xfId="3" applyNumberFormat="1" applyFont="1" applyFill="1" applyBorder="1" applyAlignment="1">
      <alignment horizontal="right" vertical="center"/>
    </xf>
    <xf numFmtId="2" fontId="11" fillId="20" borderId="76" xfId="0" applyNumberFormat="1" applyFont="1" applyFill="1" applyBorder="1" applyAlignment="1">
      <alignment horizontal="left" vertical="center"/>
    </xf>
    <xf numFmtId="169" fontId="23" fillId="21" borderId="76" xfId="3" applyNumberFormat="1" applyFont="1" applyFill="1" applyBorder="1" applyAlignment="1">
      <alignment horizontal="right" vertical="center"/>
    </xf>
    <xf numFmtId="170" fontId="39" fillId="0" borderId="76" xfId="0" applyNumberFormat="1" applyFont="1" applyBorder="1"/>
    <xf numFmtId="169" fontId="11" fillId="53" borderId="73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NumberFormat="1" applyBorder="1" applyAlignment="1">
      <alignment horizontal="center"/>
    </xf>
    <xf numFmtId="0" fontId="0" fillId="0" borderId="83" xfId="0" applyNumberFormat="1" applyBorder="1" applyAlignment="1">
      <alignment horizontal="center"/>
    </xf>
    <xf numFmtId="9" fontId="0" fillId="0" borderId="80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8" xfId="0" applyNumberFormat="1" applyBorder="1" applyAlignment="1">
      <alignment horizontal="center"/>
    </xf>
    <xf numFmtId="0" fontId="0" fillId="0" borderId="84" xfId="0" applyNumberFormat="1" applyBorder="1" applyAlignment="1">
      <alignment horizontal="center"/>
    </xf>
    <xf numFmtId="9" fontId="0" fillId="0" borderId="81" xfId="0" applyNumberFormat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0" fontId="0" fillId="0" borderId="85" xfId="0" applyNumberFormat="1" applyBorder="1" applyAlignment="1">
      <alignment horizontal="center"/>
    </xf>
    <xf numFmtId="0" fontId="0" fillId="0" borderId="82" xfId="0" applyNumberFormat="1" applyBorder="1" applyAlignment="1">
      <alignment horizontal="center"/>
    </xf>
    <xf numFmtId="0" fontId="1" fillId="0" borderId="7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1" fillId="0" borderId="85" xfId="0" applyNumberFormat="1" applyFont="1" applyBorder="1" applyAlignment="1">
      <alignment horizontal="center"/>
    </xf>
    <xf numFmtId="9" fontId="1" fillId="0" borderId="82" xfId="0" applyNumberFormat="1" applyFont="1" applyBorder="1" applyAlignment="1">
      <alignment horizontal="center"/>
    </xf>
    <xf numFmtId="0" fontId="0" fillId="69" borderId="22" xfId="0" applyFill="1" applyBorder="1"/>
    <xf numFmtId="0" fontId="0" fillId="70" borderId="22" xfId="0" applyFill="1" applyBorder="1"/>
    <xf numFmtId="0" fontId="0" fillId="71" borderId="22" xfId="0" applyFill="1" applyBorder="1"/>
    <xf numFmtId="0" fontId="0" fillId="72" borderId="22" xfId="0" applyFill="1" applyBorder="1"/>
    <xf numFmtId="0" fontId="17" fillId="47" borderId="7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44" fillId="21" borderId="24" xfId="3" applyNumberFormat="1" applyFont="1" applyFill="1" applyBorder="1" applyAlignment="1">
      <alignment horizontal="right" vertical="center"/>
    </xf>
    <xf numFmtId="169" fontId="45" fillId="21" borderId="24" xfId="3" applyNumberFormat="1" applyFont="1" applyFill="1" applyBorder="1" applyAlignment="1">
      <alignment horizontal="right" vertical="center"/>
    </xf>
    <xf numFmtId="0" fontId="41" fillId="0" borderId="64" xfId="4" applyFill="1" applyBorder="1" applyAlignment="1">
      <alignment horizontal="right"/>
    </xf>
    <xf numFmtId="0" fontId="8" fillId="0" borderId="73" xfId="0" applyFont="1" applyBorder="1"/>
    <xf numFmtId="0" fontId="0" fillId="0" borderId="73" xfId="0" applyBorder="1"/>
    <xf numFmtId="165" fontId="8" fillId="0" borderId="73" xfId="2" applyNumberFormat="1" applyFont="1" applyBorder="1"/>
    <xf numFmtId="0" fontId="1" fillId="0" borderId="73" xfId="0" applyFont="1" applyBorder="1"/>
    <xf numFmtId="0" fontId="1" fillId="56" borderId="73" xfId="0" applyFont="1" applyFill="1" applyBorder="1" applyAlignment="1">
      <alignment horizontal="center"/>
    </xf>
    <xf numFmtId="0" fontId="0" fillId="56" borderId="73" xfId="0" applyFill="1" applyBorder="1"/>
    <xf numFmtId="0" fontId="0" fillId="0" borderId="73" xfId="0" applyBorder="1" applyAlignment="1">
      <alignment horizontal="center"/>
    </xf>
    <xf numFmtId="0" fontId="0" fillId="57" borderId="73" xfId="0" applyFill="1" applyBorder="1" applyAlignment="1">
      <alignment horizontal="center"/>
    </xf>
    <xf numFmtId="0" fontId="0" fillId="57" borderId="73" xfId="0" applyFill="1" applyBorder="1"/>
    <xf numFmtId="177" fontId="0" fillId="57" borderId="73" xfId="0" applyNumberFormat="1" applyFill="1" applyBorder="1"/>
    <xf numFmtId="0" fontId="1" fillId="57" borderId="73" xfId="0" applyFont="1" applyFill="1" applyBorder="1" applyAlignment="1">
      <alignment horizontal="center"/>
    </xf>
    <xf numFmtId="0" fontId="0" fillId="56" borderId="73" xfId="0" applyFill="1" applyBorder="1" applyAlignment="1">
      <alignment horizontal="center"/>
    </xf>
    <xf numFmtId="0" fontId="0" fillId="55" borderId="73" xfId="0" applyFill="1" applyBorder="1" applyAlignment="1">
      <alignment horizontal="center"/>
    </xf>
    <xf numFmtId="0" fontId="0" fillId="55" borderId="73" xfId="0" applyFill="1" applyBorder="1"/>
    <xf numFmtId="177" fontId="0" fillId="55" borderId="73" xfId="0" applyNumberFormat="1" applyFill="1" applyBorder="1"/>
    <xf numFmtId="0" fontId="0" fillId="54" borderId="73" xfId="0" applyFill="1" applyBorder="1" applyAlignment="1">
      <alignment horizontal="center"/>
    </xf>
    <xf numFmtId="0" fontId="0" fillId="54" borderId="73" xfId="0" applyFill="1" applyBorder="1"/>
    <xf numFmtId="177" fontId="0" fillId="54" borderId="73" xfId="0" applyNumberFormat="1" applyFill="1" applyBorder="1"/>
    <xf numFmtId="2" fontId="0" fillId="54" borderId="73" xfId="0" applyNumberFormat="1" applyFill="1" applyBorder="1"/>
    <xf numFmtId="2" fontId="0" fillId="55" borderId="73" xfId="0" applyNumberFormat="1" applyFill="1" applyBorder="1"/>
    <xf numFmtId="0" fontId="8" fillId="54" borderId="73" xfId="0" applyFont="1" applyFill="1" applyBorder="1"/>
    <xf numFmtId="0" fontId="8" fillId="0" borderId="7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71" borderId="73" xfId="0" applyFill="1" applyBorder="1" applyAlignment="1">
      <alignment horizontal="center"/>
    </xf>
    <xf numFmtId="0" fontId="0" fillId="71" borderId="73" xfId="0" applyFill="1" applyBorder="1"/>
    <xf numFmtId="177" fontId="0" fillId="71" borderId="73" xfId="0" applyNumberFormat="1" applyFill="1" applyBorder="1"/>
    <xf numFmtId="0" fontId="0" fillId="71" borderId="69" xfId="0" applyFill="1" applyBorder="1" applyAlignment="1">
      <alignment horizontal="center"/>
    </xf>
    <xf numFmtId="0" fontId="0" fillId="71" borderId="69" xfId="0" applyFill="1" applyBorder="1"/>
    <xf numFmtId="0" fontId="1" fillId="71" borderId="73" xfId="0" applyFont="1" applyFill="1" applyBorder="1" applyAlignment="1">
      <alignment horizontal="center"/>
    </xf>
    <xf numFmtId="0" fontId="15" fillId="42" borderId="73" xfId="0" applyFont="1" applyFill="1" applyBorder="1"/>
    <xf numFmtId="1" fontId="0" fillId="0" borderId="73" xfId="0" applyNumberFormat="1" applyBorder="1"/>
    <xf numFmtId="170" fontId="0" fillId="0" borderId="73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5" fillId="37" borderId="73" xfId="0" applyFont="1" applyFill="1" applyBorder="1"/>
    <xf numFmtId="0" fontId="15" fillId="37" borderId="73" xfId="0" applyFont="1" applyFill="1" applyBorder="1" applyAlignment="1">
      <alignment horizontal="center"/>
    </xf>
    <xf numFmtId="0" fontId="15" fillId="39" borderId="73" xfId="0" applyFont="1" applyFill="1" applyBorder="1" applyAlignment="1">
      <alignment horizontal="center"/>
    </xf>
    <xf numFmtId="0" fontId="15" fillId="40" borderId="73" xfId="0" applyFont="1" applyFill="1" applyBorder="1" applyAlignment="1">
      <alignment horizontal="center"/>
    </xf>
    <xf numFmtId="0" fontId="23" fillId="30" borderId="73" xfId="0" applyFont="1" applyFill="1" applyBorder="1" applyAlignment="1">
      <alignment horizontal="center" vertical="center"/>
    </xf>
    <xf numFmtId="0" fontId="0" fillId="65" borderId="73" xfId="0" applyFill="1" applyBorder="1"/>
    <xf numFmtId="164" fontId="0" fillId="0" borderId="73" xfId="3" applyFont="1" applyBorder="1" applyAlignment="1">
      <alignment horizontal="center"/>
    </xf>
    <xf numFmtId="2" fontId="0" fillId="0" borderId="73" xfId="0" applyNumberFormat="1" applyBorder="1"/>
    <xf numFmtId="0" fontId="14" fillId="63" borderId="73" xfId="0" applyFont="1" applyFill="1" applyBorder="1"/>
    <xf numFmtId="0" fontId="0" fillId="0" borderId="0" xfId="0" applyAlignment="1">
      <alignment horizontal="center"/>
    </xf>
    <xf numFmtId="170" fontId="0" fillId="0" borderId="73" xfId="0" applyNumberFormat="1" applyBorder="1"/>
    <xf numFmtId="172" fontId="39" fillId="0" borderId="76" xfId="3" applyNumberFormat="1" applyFont="1" applyBorder="1" applyAlignment="1">
      <alignment horizontal="center"/>
    </xf>
    <xf numFmtId="0" fontId="0" fillId="0" borderId="73" xfId="0" applyFill="1" applyBorder="1" applyAlignment="1">
      <alignment horizontal="center"/>
    </xf>
    <xf numFmtId="2" fontId="0" fillId="71" borderId="73" xfId="0" applyNumberFormat="1" applyFill="1" applyBorder="1"/>
    <xf numFmtId="2" fontId="0" fillId="71" borderId="69" xfId="0" applyNumberFormat="1" applyFill="1" applyBorder="1"/>
    <xf numFmtId="0" fontId="8" fillId="71" borderId="73" xfId="0" applyFont="1" applyFill="1" applyBorder="1"/>
    <xf numFmtId="0" fontId="41" fillId="70" borderId="70" xfId="4" applyFill="1" applyBorder="1" applyAlignment="1">
      <alignment horizontal="right"/>
    </xf>
    <xf numFmtId="0" fontId="41" fillId="70" borderId="72" xfId="4" applyFill="1" applyBorder="1" applyAlignment="1">
      <alignment horizontal="right"/>
    </xf>
    <xf numFmtId="0" fontId="41" fillId="70" borderId="76" xfId="4" applyFill="1" applyBorder="1" applyAlignment="1">
      <alignment horizontal="right"/>
    </xf>
    <xf numFmtId="178" fontId="11" fillId="21" borderId="7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9" fontId="46" fillId="0" borderId="0" xfId="3" applyNumberFormat="1" applyFont="1"/>
    <xf numFmtId="0" fontId="46" fillId="0" borderId="0" xfId="0" applyFont="1"/>
    <xf numFmtId="0" fontId="7" fillId="0" borderId="73" xfId="0" applyFont="1" applyBorder="1"/>
    <xf numFmtId="0" fontId="7" fillId="0" borderId="73" xfId="0" applyFont="1" applyBorder="1" applyAlignment="1">
      <alignment horizontal="center"/>
    </xf>
    <xf numFmtId="14" fontId="7" fillId="0" borderId="73" xfId="0" applyNumberFormat="1" applyFont="1" applyBorder="1" applyAlignment="1">
      <alignment horizontal="center"/>
    </xf>
    <xf numFmtId="0" fontId="35" fillId="73" borderId="86" xfId="0" applyFont="1" applyFill="1" applyBorder="1" applyAlignment="1">
      <alignment horizontal="left" wrapText="1"/>
    </xf>
    <xf numFmtId="166" fontId="35" fillId="74" borderId="87" xfId="0" applyNumberFormat="1" applyFont="1" applyFill="1" applyBorder="1"/>
    <xf numFmtId="165" fontId="35" fillId="74" borderId="88" xfId="2" applyNumberFormat="1" applyFont="1" applyFill="1" applyBorder="1"/>
    <xf numFmtId="0" fontId="48" fillId="0" borderId="88" xfId="0" applyFont="1" applyBorder="1"/>
    <xf numFmtId="0" fontId="35" fillId="75" borderId="87" xfId="0" applyFont="1" applyFill="1" applyBorder="1" applyAlignment="1">
      <alignment horizontal="left" wrapText="1"/>
    </xf>
    <xf numFmtId="166" fontId="35" fillId="76" borderId="87" xfId="0" applyNumberFormat="1" applyFont="1" applyFill="1" applyBorder="1"/>
    <xf numFmtId="165" fontId="35" fillId="76" borderId="88" xfId="2" applyNumberFormat="1" applyFont="1" applyFill="1" applyBorder="1"/>
    <xf numFmtId="166" fontId="0" fillId="0" borderId="0" xfId="0" applyNumberFormat="1"/>
    <xf numFmtId="0" fontId="1" fillId="0" borderId="73" xfId="0" applyFont="1" applyBorder="1" applyAlignment="1">
      <alignment horizontal="right"/>
    </xf>
    <xf numFmtId="0" fontId="8" fillId="0" borderId="92" xfId="0" applyFont="1" applyBorder="1"/>
    <xf numFmtId="166" fontId="8" fillId="0" borderId="73" xfId="0" applyNumberFormat="1" applyFont="1" applyBorder="1"/>
    <xf numFmtId="165" fontId="35" fillId="0" borderId="93" xfId="2" applyNumberFormat="1" applyFont="1" applyBorder="1"/>
    <xf numFmtId="0" fontId="0" fillId="0" borderId="93" xfId="0" applyBorder="1"/>
    <xf numFmtId="0" fontId="34" fillId="0" borderId="73" xfId="0" applyFont="1" applyBorder="1"/>
    <xf numFmtId="0" fontId="34" fillId="0" borderId="92" xfId="0" applyFont="1" applyBorder="1" applyAlignment="1">
      <alignment horizontal="right"/>
    </xf>
    <xf numFmtId="166" fontId="34" fillId="0" borderId="73" xfId="1" applyNumberFormat="1" applyFont="1" applyBorder="1"/>
    <xf numFmtId="165" fontId="34" fillId="0" borderId="93" xfId="2" applyNumberFormat="1" applyFont="1" applyBorder="1"/>
    <xf numFmtId="0" fontId="34" fillId="0" borderId="93" xfId="0" applyFont="1" applyBorder="1"/>
    <xf numFmtId="0" fontId="34" fillId="0" borderId="73" xfId="0" applyFont="1" applyBorder="1" applyAlignment="1">
      <alignment horizontal="right"/>
    </xf>
    <xf numFmtId="0" fontId="34" fillId="0" borderId="0" xfId="0" applyFont="1"/>
    <xf numFmtId="0" fontId="1" fillId="70" borderId="73" xfId="0" applyFont="1" applyFill="1" applyBorder="1" applyAlignment="1">
      <alignment horizontal="left" wrapText="1"/>
    </xf>
    <xf numFmtId="176" fontId="0" fillId="64" borderId="73" xfId="0" applyNumberFormat="1" applyFill="1" applyBorder="1"/>
    <xf numFmtId="176" fontId="0" fillId="64" borderId="73" xfId="0" applyNumberFormat="1" applyFill="1" applyBorder="1" applyAlignment="1">
      <alignment horizontal="center"/>
    </xf>
    <xf numFmtId="176" fontId="0" fillId="0" borderId="73" xfId="0" applyNumberFormat="1" applyBorder="1"/>
    <xf numFmtId="0" fontId="8" fillId="0" borderId="92" xfId="0" applyFont="1" applyBorder="1" applyAlignment="1">
      <alignment horizontal="left"/>
    </xf>
    <xf numFmtId="166" fontId="0" fillId="0" borderId="73" xfId="0" applyNumberFormat="1" applyBorder="1"/>
    <xf numFmtId="0" fontId="1" fillId="75" borderId="73" xfId="0" applyFont="1" applyFill="1" applyBorder="1" applyAlignment="1">
      <alignment horizontal="left"/>
    </xf>
    <xf numFmtId="176" fontId="0" fillId="65" borderId="73" xfId="0" applyNumberFormat="1" applyFill="1" applyBorder="1"/>
    <xf numFmtId="176" fontId="34" fillId="0" borderId="73" xfId="0" applyNumberFormat="1" applyFont="1" applyBorder="1"/>
    <xf numFmtId="0" fontId="0" fillId="0" borderId="73" xfId="0" applyBorder="1" applyAlignment="1">
      <alignment horizontal="right"/>
    </xf>
    <xf numFmtId="0" fontId="34" fillId="0" borderId="89" xfId="0" applyFont="1" applyBorder="1" applyAlignment="1">
      <alignment horizontal="right"/>
    </xf>
    <xf numFmtId="176" fontId="0" fillId="0" borderId="90" xfId="0" applyNumberFormat="1" applyBorder="1"/>
    <xf numFmtId="165" fontId="34" fillId="0" borderId="91" xfId="2" applyNumberFormat="1" applyFont="1" applyBorder="1"/>
    <xf numFmtId="0" fontId="0" fillId="0" borderId="91" xfId="0" applyBorder="1"/>
    <xf numFmtId="0" fontId="34" fillId="0" borderId="90" xfId="0" applyFont="1" applyBorder="1" applyAlignment="1">
      <alignment horizontal="right"/>
    </xf>
    <xf numFmtId="0" fontId="7" fillId="0" borderId="73" xfId="0" applyFont="1" applyBorder="1" applyAlignment="1">
      <alignment wrapText="1"/>
    </xf>
    <xf numFmtId="0" fontId="7" fillId="0" borderId="73" xfId="0" applyFont="1" applyBorder="1" applyAlignment="1">
      <alignment horizontal="center" wrapText="1"/>
    </xf>
    <xf numFmtId="14" fontId="7" fillId="0" borderId="73" xfId="0" applyNumberFormat="1" applyFont="1" applyBorder="1" applyAlignment="1">
      <alignment wrapText="1"/>
    </xf>
    <xf numFmtId="14" fontId="0" fillId="0" borderId="73" xfId="0" applyNumberFormat="1" applyBorder="1" applyAlignment="1">
      <alignment horizontal="left"/>
    </xf>
    <xf numFmtId="0" fontId="30" fillId="0" borderId="73" xfId="0" applyFont="1" applyBorder="1"/>
    <xf numFmtId="166" fontId="30" fillId="0" borderId="73" xfId="0" applyNumberFormat="1" applyFont="1" applyBorder="1"/>
    <xf numFmtId="0" fontId="30" fillId="0" borderId="0" xfId="0" applyFont="1"/>
    <xf numFmtId="0" fontId="1" fillId="76" borderId="73" xfId="0" applyFont="1" applyFill="1" applyBorder="1" applyAlignment="1">
      <alignment horizontal="center"/>
    </xf>
    <xf numFmtId="166" fontId="0" fillId="0" borderId="73" xfId="1" applyNumberFormat="1" applyFont="1" applyBorder="1" applyAlignment="1">
      <alignment horizontal="center"/>
    </xf>
    <xf numFmtId="166" fontId="0" fillId="0" borderId="73" xfId="1" applyNumberFormat="1" applyFont="1" applyBorder="1"/>
    <xf numFmtId="0" fontId="1" fillId="59" borderId="73" xfId="0" applyFont="1" applyFill="1" applyBorder="1" applyAlignment="1">
      <alignment horizontal="center" wrapText="1"/>
    </xf>
    <xf numFmtId="1" fontId="1" fillId="59" borderId="73" xfId="0" applyNumberFormat="1" applyFont="1" applyFill="1" applyBorder="1" applyAlignment="1">
      <alignment horizontal="center" wrapText="1"/>
    </xf>
    <xf numFmtId="0" fontId="49" fillId="61" borderId="73" xfId="0" applyFont="1" applyFill="1" applyBorder="1" applyAlignment="1">
      <alignment horizontal="left"/>
    </xf>
    <xf numFmtId="176" fontId="36" fillId="61" borderId="73" xfId="0" applyNumberFormat="1" applyFont="1" applyFill="1" applyBorder="1" applyAlignment="1">
      <alignment horizontal="center"/>
    </xf>
    <xf numFmtId="176" fontId="49" fillId="61" borderId="73" xfId="0" applyNumberFormat="1" applyFont="1" applyFill="1" applyBorder="1"/>
    <xf numFmtId="0" fontId="49" fillId="60" borderId="73" xfId="0" applyFont="1" applyFill="1" applyBorder="1" applyAlignment="1">
      <alignment horizontal="left"/>
    </xf>
    <xf numFmtId="176" fontId="36" fillId="60" borderId="73" xfId="0" applyNumberFormat="1" applyFont="1" applyFill="1" applyBorder="1" applyAlignment="1">
      <alignment horizontal="center"/>
    </xf>
    <xf numFmtId="176" fontId="49" fillId="60" borderId="73" xfId="0" applyNumberFormat="1" applyFont="1" applyFill="1" applyBorder="1"/>
    <xf numFmtId="176" fontId="8" fillId="70" borderId="73" xfId="0" applyNumberFormat="1" applyFont="1" applyFill="1" applyBorder="1" applyAlignment="1">
      <alignment horizontal="center"/>
    </xf>
    <xf numFmtId="0" fontId="50" fillId="70" borderId="73" xfId="0" applyFont="1" applyFill="1" applyBorder="1" applyAlignment="1">
      <alignment horizontal="left"/>
    </xf>
    <xf numFmtId="0" fontId="50" fillId="70" borderId="73" xfId="0" applyFont="1" applyFill="1" applyBorder="1" applyAlignment="1">
      <alignment horizontal="left" wrapText="1"/>
    </xf>
    <xf numFmtId="176" fontId="37" fillId="70" borderId="73" xfId="0" applyNumberFormat="1" applyFont="1" applyFill="1" applyBorder="1" applyAlignment="1">
      <alignment horizontal="center"/>
    </xf>
    <xf numFmtId="176" fontId="50" fillId="64" borderId="73" xfId="0" applyNumberFormat="1" applyFont="1" applyFill="1" applyBorder="1"/>
    <xf numFmtId="0" fontId="1" fillId="75" borderId="73" xfId="0" applyFont="1" applyFill="1" applyBorder="1" applyAlignment="1">
      <alignment horizontal="left" wrapText="1"/>
    </xf>
    <xf numFmtId="176" fontId="8" fillId="75" borderId="73" xfId="0" applyNumberFormat="1" applyFont="1" applyFill="1" applyBorder="1" applyAlignment="1">
      <alignment horizontal="center"/>
    </xf>
    <xf numFmtId="0" fontId="27" fillId="75" borderId="73" xfId="0" applyFont="1" applyFill="1" applyBorder="1" applyAlignment="1">
      <alignment horizontal="left" wrapText="1"/>
    </xf>
    <xf numFmtId="0" fontId="27" fillId="75" borderId="73" xfId="0" applyFont="1" applyFill="1" applyBorder="1" applyAlignment="1">
      <alignment horizontal="left"/>
    </xf>
    <xf numFmtId="176" fontId="9" fillId="75" borderId="73" xfId="0" applyNumberFormat="1" applyFont="1" applyFill="1" applyBorder="1" applyAlignment="1">
      <alignment horizontal="center"/>
    </xf>
    <xf numFmtId="176" fontId="27" fillId="65" borderId="73" xfId="0" applyNumberFormat="1" applyFont="1" applyFill="1" applyBorder="1"/>
    <xf numFmtId="172" fontId="53" fillId="21" borderId="24" xfId="3" applyNumberFormat="1" applyFont="1" applyFill="1" applyBorder="1" applyAlignment="1">
      <alignment horizontal="right" vertical="center"/>
    </xf>
    <xf numFmtId="172" fontId="53" fillId="21" borderId="76" xfId="3" applyNumberFormat="1" applyFont="1" applyFill="1" applyBorder="1" applyAlignment="1">
      <alignment horizontal="right" vertical="center"/>
    </xf>
    <xf numFmtId="172" fontId="54" fillId="21" borderId="24" xfId="3" applyNumberFormat="1" applyFont="1" applyFill="1" applyBorder="1" applyAlignment="1">
      <alignment horizontal="right" vertical="center"/>
    </xf>
    <xf numFmtId="172" fontId="54" fillId="21" borderId="76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73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1" fontId="14" fillId="77" borderId="0" xfId="0" applyNumberFormat="1" applyFont="1" applyFill="1" applyAlignment="1">
      <alignment horizontal="center"/>
    </xf>
    <xf numFmtId="0" fontId="55" fillId="78" borderId="73" xfId="4" applyFont="1" applyFill="1" applyBorder="1"/>
    <xf numFmtId="0" fontId="55" fillId="78" borderId="73" xfId="4" applyFont="1" applyFill="1" applyBorder="1" applyAlignment="1">
      <alignment horizontal="center"/>
    </xf>
    <xf numFmtId="0" fontId="32" fillId="78" borderId="73" xfId="4" applyFont="1" applyFill="1" applyBorder="1" applyAlignment="1">
      <alignment horizontal="center"/>
    </xf>
    <xf numFmtId="0" fontId="32" fillId="78" borderId="73" xfId="4" applyFont="1" applyFill="1" applyBorder="1"/>
    <xf numFmtId="0" fontId="56" fillId="78" borderId="73" xfId="4" applyFont="1" applyFill="1" applyBorder="1" applyAlignment="1">
      <alignment horizontal="left"/>
    </xf>
    <xf numFmtId="0" fontId="56" fillId="78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center"/>
    </xf>
    <xf numFmtId="0" fontId="57" fillId="71" borderId="73" xfId="4" applyFont="1" applyFill="1" applyBorder="1" applyAlignment="1">
      <alignment horizontal="left"/>
    </xf>
    <xf numFmtId="0" fontId="56" fillId="79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lef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73" xfId="4" applyNumberFormat="1" applyFont="1" applyBorder="1" applyAlignment="1">
      <alignment horizontal="right"/>
    </xf>
    <xf numFmtId="2" fontId="62" fillId="0" borderId="73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5" borderId="73" xfId="4" applyFont="1" applyFill="1" applyBorder="1" applyAlignment="1">
      <alignment horizontal="center"/>
    </xf>
    <xf numFmtId="0" fontId="55" fillId="42" borderId="73" xfId="4" applyFont="1" applyFill="1" applyBorder="1"/>
    <xf numFmtId="0" fontId="55" fillId="42" borderId="73" xfId="4" applyFont="1" applyFill="1" applyBorder="1" applyAlignment="1">
      <alignment horizontal="center"/>
    </xf>
    <xf numFmtId="0" fontId="32" fillId="42" borderId="73" xfId="4" applyFont="1" applyFill="1" applyBorder="1" applyAlignment="1">
      <alignment horizontal="center"/>
    </xf>
    <xf numFmtId="0" fontId="32" fillId="42" borderId="73" xfId="4" applyFont="1" applyFill="1" applyBorder="1"/>
    <xf numFmtId="0" fontId="56" fillId="42" borderId="73" xfId="4" applyFont="1" applyFill="1" applyBorder="1"/>
    <xf numFmtId="0" fontId="56" fillId="42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center"/>
    </xf>
    <xf numFmtId="0" fontId="33" fillId="42" borderId="73" xfId="4" applyFont="1" applyFill="1" applyBorder="1"/>
    <xf numFmtId="0" fontId="56" fillId="42" borderId="73" xfId="4" applyFont="1" applyFill="1" applyBorder="1" applyAlignment="1">
      <alignment horizontal="left"/>
    </xf>
    <xf numFmtId="0" fontId="56" fillId="31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80" borderId="73" xfId="4" applyFont="1" applyFill="1" applyBorder="1"/>
    <xf numFmtId="0" fontId="55" fillId="80" borderId="73" xfId="4" applyFont="1" applyFill="1" applyBorder="1" applyAlignment="1">
      <alignment horizontal="center"/>
    </xf>
    <xf numFmtId="0" fontId="32" fillId="80" borderId="73" xfId="4" applyFont="1" applyFill="1" applyBorder="1" applyAlignment="1">
      <alignment horizontal="center"/>
    </xf>
    <xf numFmtId="0" fontId="63" fillId="80" borderId="73" xfId="4" applyFont="1" applyFill="1" applyBorder="1"/>
    <xf numFmtId="0" fontId="32" fillId="80" borderId="73" xfId="4" applyFont="1" applyFill="1" applyBorder="1"/>
    <xf numFmtId="0" fontId="56" fillId="80" borderId="73" xfId="4" applyFont="1" applyFill="1" applyBorder="1"/>
    <xf numFmtId="0" fontId="56" fillId="80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center"/>
    </xf>
    <xf numFmtId="0" fontId="33" fillId="80" borderId="73" xfId="4" applyFont="1" applyFill="1" applyBorder="1"/>
    <xf numFmtId="0" fontId="56" fillId="80" borderId="73" xfId="4" applyFont="1" applyFill="1" applyBorder="1" applyAlignment="1">
      <alignment horizontal="left"/>
    </xf>
    <xf numFmtId="0" fontId="56" fillId="81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left"/>
    </xf>
    <xf numFmtId="0" fontId="56" fillId="60" borderId="73" xfId="4" applyFont="1" applyFill="1" applyBorder="1"/>
    <xf numFmtId="0" fontId="56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/>
    <xf numFmtId="0" fontId="56" fillId="60" borderId="73" xfId="4" applyFont="1" applyFill="1" applyBorder="1" applyAlignment="1">
      <alignment horizontal="left"/>
    </xf>
    <xf numFmtId="0" fontId="56" fillId="82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76" xfId="4" applyFont="1" applyBorder="1"/>
    <xf numFmtId="177" fontId="59" fillId="0" borderId="76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9" fontId="31" fillId="0" borderId="0" xfId="4" applyNumberFormat="1" applyFont="1"/>
    <xf numFmtId="0" fontId="65" fillId="0" borderId="0" xfId="4" applyFont="1"/>
    <xf numFmtId="177" fontId="58" fillId="0" borderId="0" xfId="4" applyNumberFormat="1" applyFont="1" applyAlignment="1">
      <alignment horizontal="center"/>
    </xf>
    <xf numFmtId="49" fontId="61" fillId="0" borderId="0" xfId="4" applyNumberFormat="1" applyFont="1" applyFill="1" applyAlignment="1">
      <alignment horizontal="center"/>
    </xf>
    <xf numFmtId="0" fontId="8" fillId="0" borderId="73" xfId="0" applyFont="1" applyBorder="1" applyAlignment="1">
      <alignment horizontal="left"/>
    </xf>
    <xf numFmtId="176" fontId="66" fillId="64" borderId="73" xfId="0" applyNumberFormat="1" applyFont="1" applyFill="1" applyBorder="1"/>
    <xf numFmtId="176" fontId="66" fillId="64" borderId="73" xfId="0" applyNumberFormat="1" applyFont="1" applyFill="1" applyBorder="1" applyAlignment="1">
      <alignment horizontal="center"/>
    </xf>
    <xf numFmtId="176" fontId="67" fillId="64" borderId="73" xfId="0" applyNumberFormat="1" applyFont="1" applyFill="1" applyBorder="1"/>
    <xf numFmtId="176" fontId="66" fillId="65" borderId="73" xfId="0" applyNumberFormat="1" applyFont="1" applyFill="1" applyBorder="1"/>
    <xf numFmtId="0" fontId="0" fillId="0" borderId="0" xfId="0" applyAlignment="1">
      <alignment horizontal="center"/>
    </xf>
    <xf numFmtId="176" fontId="0" fillId="64" borderId="73" xfId="0" applyNumberFormat="1" applyFont="1" applyFill="1" applyBorder="1"/>
    <xf numFmtId="176" fontId="0" fillId="64" borderId="73" xfId="0" applyNumberFormat="1" applyFont="1" applyFill="1" applyBorder="1" applyAlignment="1">
      <alignment horizontal="center"/>
    </xf>
    <xf numFmtId="176" fontId="0" fillId="65" borderId="73" xfId="0" applyNumberFormat="1" applyFont="1" applyFill="1" applyBorder="1"/>
    <xf numFmtId="166" fontId="30" fillId="0" borderId="0" xfId="0" applyNumberFormat="1" applyFont="1"/>
    <xf numFmtId="166" fontId="1" fillId="0" borderId="73" xfId="0" applyNumberFormat="1" applyFont="1" applyBorder="1" applyAlignment="1">
      <alignment horizontal="center"/>
    </xf>
    <xf numFmtId="172" fontId="23" fillId="21" borderId="73" xfId="3" applyNumberFormat="1" applyFont="1" applyFill="1" applyBorder="1" applyAlignment="1">
      <alignment horizontal="center" vertical="center"/>
    </xf>
    <xf numFmtId="0" fontId="0" fillId="73" borderId="7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8" fillId="0" borderId="0" xfId="0" quotePrefix="1" applyFont="1" applyAlignment="1">
      <alignment horizontal="center"/>
    </xf>
    <xf numFmtId="169" fontId="45" fillId="21" borderId="76" xfId="3" applyNumberFormat="1" applyFont="1" applyFill="1" applyBorder="1" applyAlignment="1">
      <alignment horizontal="right" vertical="center"/>
    </xf>
    <xf numFmtId="0" fontId="1" fillId="55" borderId="73" xfId="0" applyFont="1" applyFill="1" applyBorder="1" applyAlignment="1">
      <alignment horizontal="center"/>
    </xf>
    <xf numFmtId="2" fontId="0" fillId="0" borderId="0" xfId="0" applyNumberFormat="1" applyAlignment="1">
      <alignment horizontal="left" indent="1"/>
    </xf>
    <xf numFmtId="44" fontId="4" fillId="0" borderId="3" xfId="1" applyFont="1" applyBorder="1" applyAlignment="1">
      <alignment horizontal="center" wrapText="1"/>
    </xf>
    <xf numFmtId="44" fontId="4" fillId="0" borderId="1" xfId="1" applyFont="1" applyBorder="1" applyAlignment="1">
      <alignment horizontal="center" wrapText="1"/>
    </xf>
    <xf numFmtId="44" fontId="4" fillId="6" borderId="9" xfId="1" applyFont="1" applyFill="1" applyBorder="1" applyAlignment="1">
      <alignment horizontal="center" wrapText="1"/>
    </xf>
    <xf numFmtId="44" fontId="4" fillId="7" borderId="10" xfId="1" applyFont="1" applyFill="1" applyBorder="1" applyAlignment="1">
      <alignment horizontal="center" wrapText="1"/>
    </xf>
    <xf numFmtId="0" fontId="31" fillId="75" borderId="73" xfId="4" applyFont="1" applyFill="1" applyBorder="1" applyAlignment="1">
      <alignment horizontal="right"/>
    </xf>
    <xf numFmtId="0" fontId="34" fillId="0" borderId="92" xfId="0" applyFont="1" applyFill="1" applyBorder="1" applyAlignment="1">
      <alignment horizontal="right"/>
    </xf>
    <xf numFmtId="0" fontId="0" fillId="83" borderId="73" xfId="0" applyFill="1" applyBorder="1" applyAlignment="1">
      <alignment horizontal="center"/>
    </xf>
    <xf numFmtId="0" fontId="34" fillId="0" borderId="73" xfId="0" applyFont="1" applyFill="1" applyBorder="1" applyAlignment="1">
      <alignment horizontal="right"/>
    </xf>
    <xf numFmtId="0" fontId="0" fillId="0" borderId="73" xfId="0" applyFill="1" applyBorder="1" applyAlignment="1">
      <alignment horizontal="right"/>
    </xf>
    <xf numFmtId="0" fontId="8" fillId="0" borderId="73" xfId="0" applyFont="1" applyBorder="1" applyAlignment="1">
      <alignment horizontal="left"/>
    </xf>
    <xf numFmtId="0" fontId="1" fillId="62" borderId="7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62" borderId="7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1" fillId="70" borderId="73" xfId="0" applyFont="1" applyFill="1" applyBorder="1" applyAlignment="1">
      <alignment horizontal="left" vertical="top" wrapText="1"/>
    </xf>
    <xf numFmtId="0" fontId="1" fillId="75" borderId="73" xfId="0" applyFont="1" applyFill="1" applyBorder="1" applyAlignment="1">
      <alignment horizontal="left" vertical="top" wrapText="1"/>
    </xf>
    <xf numFmtId="177" fontId="30" fillId="58" borderId="71" xfId="0" applyNumberFormat="1" applyFont="1" applyFill="1" applyBorder="1" applyAlignment="1">
      <alignment horizontal="center"/>
    </xf>
    <xf numFmtId="0" fontId="30" fillId="58" borderId="71" xfId="0" applyFont="1" applyFill="1" applyBorder="1" applyAlignment="1">
      <alignment horizontal="center"/>
    </xf>
    <xf numFmtId="0" fontId="8" fillId="58" borderId="71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66" borderId="74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7" borderId="75" xfId="0" applyFill="1" applyBorder="1" applyAlignment="1">
      <alignment horizontal="center"/>
    </xf>
    <xf numFmtId="0" fontId="0" fillId="68" borderId="76" xfId="0" applyFill="1" applyBorder="1" applyAlignment="1">
      <alignment horizontal="center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01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2" type="button" dataOnly="0" labelOnly="1" outline="0"/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89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88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">
      <pivotArea type="all" dataOnly="0" outline="0" fieldPosition="0"/>
    </format>
    <format dxfId="85">
      <pivotArea field="2" type="button" dataOnly="0" labelOnly="1" outline="0" axis="axisRow" fieldPosition="0"/>
    </format>
    <format dxfId="84">
      <pivotArea dataOnly="0" labelOnly="1" grandRow="1" outline="0" fieldPosition="0"/>
    </format>
    <format dxfId="83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1">
      <pivotArea field="2" type="button" dataOnly="0" labelOnly="1" outline="0" axis="axisRow" fieldPosition="0"/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2" type="button" dataOnly="0" labelOnly="1" outline="0" axis="axisRow" fieldPosition="0"/>
    </format>
    <format dxfId="75">
      <pivotArea dataOnly="0" labelOnly="1" fieldPosition="0">
        <references count="1">
          <reference field="2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0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9">
      <pivotArea field="1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3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8" sqref="A8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7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56" t="s">
        <v>244</v>
      </c>
      <c r="B1" s="556"/>
      <c r="C1" s="556"/>
      <c r="D1" s="556"/>
      <c r="E1" s="556"/>
      <c r="X1" t="s">
        <v>194</v>
      </c>
      <c r="AA1" t="s">
        <v>245</v>
      </c>
      <c r="AE1" t="s">
        <v>246</v>
      </c>
      <c r="AI1" t="s">
        <v>247</v>
      </c>
      <c r="AM1" t="s">
        <v>248</v>
      </c>
      <c r="AQ1" t="s">
        <v>249</v>
      </c>
      <c r="AX1" t="s">
        <v>250</v>
      </c>
      <c r="BE1" t="s">
        <v>251</v>
      </c>
      <c r="BJ1" t="s">
        <v>252</v>
      </c>
      <c r="BO1" t="s">
        <v>253</v>
      </c>
      <c r="BT1" t="s">
        <v>254</v>
      </c>
      <c r="BY1" t="s">
        <v>255</v>
      </c>
      <c r="CD1" t="s">
        <v>123</v>
      </c>
      <c r="CH1" t="s">
        <v>21</v>
      </c>
    </row>
    <row r="2" spans="1:89" x14ac:dyDescent="0.25">
      <c r="A2" s="142" t="s">
        <v>84</v>
      </c>
      <c r="B2" s="142" t="s">
        <v>187</v>
      </c>
      <c r="C2" s="142" t="s">
        <v>86</v>
      </c>
      <c r="D2" s="143" t="s">
        <v>186</v>
      </c>
      <c r="E2" s="142" t="s">
        <v>256</v>
      </c>
      <c r="F2" s="144" t="s">
        <v>257</v>
      </c>
      <c r="G2" s="144" t="s">
        <v>98</v>
      </c>
      <c r="H2" s="144" t="s">
        <v>99</v>
      </c>
      <c r="I2" s="145" t="s">
        <v>96</v>
      </c>
      <c r="J2" s="146" t="s">
        <v>258</v>
      </c>
      <c r="K2" s="146" t="s">
        <v>14</v>
      </c>
      <c r="L2" s="146" t="s">
        <v>37</v>
      </c>
      <c r="M2" s="146" t="s">
        <v>167</v>
      </c>
      <c r="N2" s="146" t="s">
        <v>30</v>
      </c>
      <c r="O2" s="146" t="s">
        <v>169</v>
      </c>
      <c r="P2" s="146" t="s">
        <v>170</v>
      </c>
      <c r="Q2" s="146" t="s">
        <v>171</v>
      </c>
      <c r="R2" s="147" t="s">
        <v>259</v>
      </c>
      <c r="S2" s="147" t="s">
        <v>114</v>
      </c>
      <c r="T2" s="147" t="s">
        <v>260</v>
      </c>
      <c r="U2" s="147" t="s">
        <v>261</v>
      </c>
      <c r="V2" s="147" t="s">
        <v>116</v>
      </c>
      <c r="W2" s="147" t="s">
        <v>117</v>
      </c>
      <c r="X2" s="148" t="s">
        <v>262</v>
      </c>
      <c r="Y2" s="148" t="s">
        <v>263</v>
      </c>
      <c r="Z2" s="148" t="s">
        <v>262</v>
      </c>
      <c r="AA2" s="149" t="s">
        <v>262</v>
      </c>
      <c r="AB2" s="149" t="s">
        <v>263</v>
      </c>
      <c r="AC2" s="149" t="s">
        <v>262</v>
      </c>
      <c r="AD2" s="149" t="s">
        <v>28</v>
      </c>
      <c r="AE2" s="149" t="s">
        <v>262</v>
      </c>
      <c r="AF2" s="149" t="s">
        <v>263</v>
      </c>
      <c r="AG2" s="149" t="s">
        <v>262</v>
      </c>
      <c r="AH2" s="149" t="s">
        <v>28</v>
      </c>
      <c r="AI2" s="148" t="s">
        <v>262</v>
      </c>
      <c r="AJ2" s="148" t="s">
        <v>263</v>
      </c>
      <c r="AK2" s="148" t="s">
        <v>28</v>
      </c>
      <c r="AL2" s="148" t="s">
        <v>264</v>
      </c>
      <c r="AM2" s="148" t="s">
        <v>262</v>
      </c>
      <c r="AN2" s="148" t="s">
        <v>263</v>
      </c>
      <c r="AO2" s="148" t="s">
        <v>28</v>
      </c>
      <c r="AP2" s="148" t="s">
        <v>264</v>
      </c>
      <c r="AQ2" s="148" t="s">
        <v>262</v>
      </c>
      <c r="AR2" s="148" t="s">
        <v>263</v>
      </c>
      <c r="AS2" s="148" t="s">
        <v>262</v>
      </c>
      <c r="AT2" s="148" t="s">
        <v>28</v>
      </c>
      <c r="AU2" s="148" t="s">
        <v>264</v>
      </c>
      <c r="AV2" s="148" t="s">
        <v>265</v>
      </c>
      <c r="AW2" s="148" t="s">
        <v>264</v>
      </c>
      <c r="AX2" s="148" t="s">
        <v>262</v>
      </c>
      <c r="AY2" s="148" t="s">
        <v>263</v>
      </c>
      <c r="AZ2" s="148" t="s">
        <v>262</v>
      </c>
      <c r="BA2" s="148" t="s">
        <v>28</v>
      </c>
      <c r="BB2" s="148" t="s">
        <v>264</v>
      </c>
      <c r="BC2" s="148" t="s">
        <v>265</v>
      </c>
      <c r="BD2" s="148" t="s">
        <v>264</v>
      </c>
      <c r="BE2" s="149" t="s">
        <v>262</v>
      </c>
      <c r="BF2" s="149" t="s">
        <v>263</v>
      </c>
      <c r="BG2" s="149" t="s">
        <v>28</v>
      </c>
      <c r="BH2" s="149" t="s">
        <v>264</v>
      </c>
      <c r="BI2" s="149" t="s">
        <v>265</v>
      </c>
      <c r="BJ2" s="149" t="s">
        <v>262</v>
      </c>
      <c r="BK2" s="149" t="s">
        <v>263</v>
      </c>
      <c r="BL2" s="149" t="s">
        <v>28</v>
      </c>
      <c r="BM2" s="149" t="s">
        <v>264</v>
      </c>
      <c r="BN2" s="149" t="s">
        <v>265</v>
      </c>
      <c r="BO2" s="148" t="s">
        <v>262</v>
      </c>
      <c r="BP2" s="148" t="s">
        <v>263</v>
      </c>
      <c r="BQ2" s="148" t="s">
        <v>28</v>
      </c>
      <c r="BR2" s="148" t="s">
        <v>264</v>
      </c>
      <c r="BS2" s="148" t="s">
        <v>265</v>
      </c>
      <c r="BT2" s="148" t="s">
        <v>262</v>
      </c>
      <c r="BU2" s="148" t="s">
        <v>263</v>
      </c>
      <c r="BV2" s="148" t="s">
        <v>28</v>
      </c>
      <c r="BW2" s="148" t="s">
        <v>264</v>
      </c>
      <c r="BX2" s="148" t="s">
        <v>265</v>
      </c>
      <c r="BY2" s="148" t="s">
        <v>262</v>
      </c>
      <c r="BZ2" s="148" t="s">
        <v>263</v>
      </c>
      <c r="CA2" s="148" t="s">
        <v>28</v>
      </c>
      <c r="CB2" s="148" t="s">
        <v>264</v>
      </c>
      <c r="CC2" s="148" t="s">
        <v>265</v>
      </c>
      <c r="CD2" s="149" t="s">
        <v>28</v>
      </c>
      <c r="CE2" s="149" t="s">
        <v>264</v>
      </c>
      <c r="CF2" s="149" t="s">
        <v>265</v>
      </c>
      <c r="CG2" s="149" t="s">
        <v>264</v>
      </c>
      <c r="CH2" s="148" t="s">
        <v>264</v>
      </c>
      <c r="CI2" s="148" t="s">
        <v>265</v>
      </c>
      <c r="CJ2" s="148" t="s">
        <v>264</v>
      </c>
      <c r="CK2" s="148" t="s">
        <v>28</v>
      </c>
    </row>
    <row r="3" spans="1:89" x14ac:dyDescent="0.25">
      <c r="A3" t="str">
        <f>PLANTILLA!D4</f>
        <v>D. Gehmacher</v>
      </c>
      <c r="B3" s="57">
        <f>PLANTILLA!E4</f>
        <v>44</v>
      </c>
      <c r="C3" s="95">
        <f ca="1">PLANTILLA!F4</f>
        <v>82</v>
      </c>
      <c r="D3" s="57">
        <f>PLANTILLA!G4</f>
        <v>0</v>
      </c>
      <c r="E3" s="203">
        <f>PLANTILLA!O4</f>
        <v>42468</v>
      </c>
      <c r="F3" s="95">
        <f>PLANTILLA!Q4</f>
        <v>3</v>
      </c>
      <c r="G3" s="115">
        <f t="shared" ref="G3:G4" si="0">(F3/7)^0.5</f>
        <v>0.65465367070797709</v>
      </c>
      <c r="H3" s="115">
        <f t="shared" ref="H3:H4" si="1">IF(F3=7,1,((F3+0.99)/7)^0.5)</f>
        <v>0.75498344352707503</v>
      </c>
      <c r="I3" s="150">
        <f ca="1">PLANTILLA!P4</f>
        <v>1</v>
      </c>
      <c r="J3" s="151">
        <f>PLANTILLA!I4</f>
        <v>26.2</v>
      </c>
      <c r="K3" s="48">
        <f>PLANTILLA!X4</f>
        <v>3.95</v>
      </c>
      <c r="L3" s="48">
        <f>PLANTILLA!Y4</f>
        <v>0</v>
      </c>
      <c r="M3" s="48">
        <f>PLANTILLA!Z4</f>
        <v>0</v>
      </c>
      <c r="N3" s="48">
        <f>PLANTILLA!AA4</f>
        <v>0</v>
      </c>
      <c r="O3" s="48">
        <f>PLANTILLA!AB4</f>
        <v>0</v>
      </c>
      <c r="P3" s="48">
        <f>PLANTILLA!AC4</f>
        <v>0</v>
      </c>
      <c r="Q3" s="48">
        <f>PLANTILLA!AD4</f>
        <v>8</v>
      </c>
      <c r="R3" s="151">
        <f t="shared" ref="R3:R4" si="2">((2*(O3+1))+(L3+1))/8</f>
        <v>0.375</v>
      </c>
      <c r="S3" s="151">
        <f t="shared" ref="S3:S4" ca="1" si="3">1.66*(P3+(LOG(J3)*4/3)+I3)+0.55*(Q3+(LOG(J3)*4/3)+I3)-7.6</f>
        <v>3.1892611384221841</v>
      </c>
      <c r="T3" s="48">
        <f t="shared" ref="T3:T4" si="4">(0.5*P3+0.3*Q3)/10</f>
        <v>0.24</v>
      </c>
      <c r="U3" s="48">
        <f t="shared" ref="U3:U4" si="5">(0.4*L3+0.3*Q3)/10</f>
        <v>0.24</v>
      </c>
      <c r="V3" s="151">
        <f t="shared" ref="V3:V4" ca="1" si="6">IF(TODAY()-E3&gt;335,(Q3+1+(LOG(J3)*4/3))*(F3/7)^0.5,(Q3+((TODAY()-E3)^0.5)/(336^0.5)+(LOG(J3)*4/3))*(F3/7)^0.5)</f>
        <v>7.1298778984149074</v>
      </c>
      <c r="W3" s="151">
        <f t="shared" ref="W3:W4" ca="1" si="7">IF(F3=7,V3,IF(TODAY()-E3&gt;335,(Q3+1+(LOG(J3)*4/3))*((F3+0.99)/7)^0.5,(Q3+((TODAY()-E3)^0.5)/(336^0.5)+(LOG(J3)*4/3))*((F3+0.99)/7)^0.5))</f>
        <v>8.2225763155829803</v>
      </c>
      <c r="X3" s="71">
        <f t="shared" ref="X3:X4" ca="1" si="8">((K3+I3+(LOG(J3)*4/3))*0.597)+((L3+I3+(LOG(J3)*4/3))*0.276)</f>
        <v>4.8820527030961838</v>
      </c>
      <c r="Y3" s="71">
        <f t="shared" ref="Y3:Y4" ca="1" si="9">((K3+I3+(LOG(J3)*4/3))*0.866)+((L3+I3+(LOG(J3)*4/3))*0.425)</f>
        <v>7.1530692894583883</v>
      </c>
      <c r="Z3" s="71">
        <f t="shared" ref="Z3:Z4" ca="1" si="10">X3</f>
        <v>4.8820527030961838</v>
      </c>
      <c r="AA3" s="71">
        <f t="shared" ref="AA3:AA4" ca="1" si="11">((L3+I3+(LOG(J3)*4/3))*0.516)</f>
        <v>1.4917912884279849</v>
      </c>
      <c r="AB3" s="71">
        <f t="shared" ref="AB3:AB4" ca="1" si="12">(L3+I3+(LOG(J3)*4/3))*1</f>
        <v>2.8910683884263273</v>
      </c>
      <c r="AC3" s="71">
        <f t="shared" ref="AC3:AC4" ca="1" si="13">AA3/2</f>
        <v>0.74589564421399246</v>
      </c>
      <c r="AD3" s="71">
        <f t="shared" ref="AD3:AD4" ca="1" si="14">(M3+I3+(LOG(J3)*4/3))*0.238</f>
        <v>0.68807427644546582</v>
      </c>
      <c r="AE3" s="71">
        <f t="shared" ref="AE3:AE4" ca="1" si="15">((L3+I3+(LOG(J3)*4/3))*0.378)</f>
        <v>1.0928238508251518</v>
      </c>
      <c r="AF3" s="71">
        <f t="shared" ref="AF3:AF4" ca="1" si="16">(L3+I3+(LOG(J3)*4/3))*0.723</f>
        <v>2.0902424448322345</v>
      </c>
      <c r="AG3" s="71">
        <f t="shared" ref="AG3:AG4" ca="1" si="17">AE3/2</f>
        <v>0.54641192541257588</v>
      </c>
      <c r="AH3" s="71">
        <f t="shared" ref="AH3:AH4" ca="1" si="18">(M3+I3+(LOG(J3)*4/3))*0.385</f>
        <v>1.1130613295441361</v>
      </c>
      <c r="AI3" s="71">
        <f t="shared" ref="AI3:AI4" ca="1" si="19">((L3+I3+(LOG(J3)*4/3))*0.92)</f>
        <v>2.6597829173522212</v>
      </c>
      <c r="AJ3" s="71">
        <f t="shared" ref="AJ3:AJ4" ca="1" si="20">(L3+I3+(LOG(J3)*4/3))*0.414</f>
        <v>1.1969023128084995</v>
      </c>
      <c r="AK3" s="71">
        <f t="shared" ref="AK3:AK4" ca="1" si="21">((M3+I3+(LOG(J3)*4/3))*0.167)</f>
        <v>0.48280842086719666</v>
      </c>
      <c r="AL3" s="71">
        <f t="shared" ref="AL3:AL4" ca="1" si="22">(N3+I3+(LOG(J3)*4/3))*0.588</f>
        <v>1.6999482123946803</v>
      </c>
      <c r="AM3" s="71">
        <f t="shared" ref="AM3:AM4" ca="1" si="23">((L3+I3+(LOG(J3)*4/3))*0.754)</f>
        <v>2.1798655648734506</v>
      </c>
      <c r="AN3" s="71">
        <f t="shared" ref="AN3:AN4" ca="1" si="24">((L3+I3+(LOG(J3)*4/3))*0.708)</f>
        <v>2.0468764190058395</v>
      </c>
      <c r="AO3" s="71">
        <f t="shared" ref="AO3:AO4" ca="1" si="25">((Q3+I3+(LOG(J3)*4/3))*0.167)</f>
        <v>1.8188084208671966</v>
      </c>
      <c r="AP3" s="71">
        <f t="shared" ref="AP3:AP4" ca="1" si="26">((R3+I3+(LOG(J3)*4/3))*0.288)</f>
        <v>0.94062769586678219</v>
      </c>
      <c r="AQ3" s="71">
        <f t="shared" ref="AQ3:AQ4" ca="1" si="27">((L3+I3+(LOG(J3)*4/3))*0.27)</f>
        <v>0.78058846487510847</v>
      </c>
      <c r="AR3" s="71">
        <f t="shared" ref="AR3:AR4" ca="1" si="28">((L3+I3+(LOG(J3)*4/3))*0.594)</f>
        <v>1.7172946227252384</v>
      </c>
      <c r="AS3" s="71">
        <f t="shared" ref="AS3:AS4" ca="1" si="29">AQ3/2</f>
        <v>0.39029423243755423</v>
      </c>
      <c r="AT3" s="71">
        <f t="shared" ref="AT3:AT4" ca="1" si="30">((M3+I3+(LOG(J3)*4/3))*0.944)</f>
        <v>2.729168558674453</v>
      </c>
      <c r="AU3" s="71">
        <f t="shared" ref="AU3:AU4" ca="1" si="31">((O3+I3+(LOG(J3)*4/3))*0.13)</f>
        <v>0.37583889049542257</v>
      </c>
      <c r="AV3" s="71">
        <f t="shared" ref="AV3:AV4" ca="1" si="32">((P3+I3+(LOG(J3)*4/3))*0.173)+((O3+I3+(LOG(J3)*4/3))*0.12)</f>
        <v>0.84708303780891381</v>
      </c>
      <c r="AW3" s="71">
        <f t="shared" ref="AW3:AW4" ca="1" si="33">AU3/2</f>
        <v>0.18791944524771129</v>
      </c>
      <c r="AX3" s="71">
        <f t="shared" ref="AX3:AX4" ca="1" si="34">((L3+I3+(LOG(J3)*4/3))*0.189)</f>
        <v>0.54641192541257588</v>
      </c>
      <c r="AY3" s="71">
        <f t="shared" ref="AY3:AY4" ca="1" si="35">((L3+I3+(LOG(J3)*4/3))*0.4)</f>
        <v>1.1564273553705309</v>
      </c>
      <c r="AZ3" s="71">
        <f t="shared" ref="AZ3:AZ4" ca="1" si="36">AX3/2</f>
        <v>0.27320596270628794</v>
      </c>
      <c r="BA3" s="71">
        <f t="shared" ref="BA3:BA4" ca="1" si="37">((M3+I3+(LOG(J3)*4/3))*1)</f>
        <v>2.8910683884263273</v>
      </c>
      <c r="BB3" s="71">
        <f t="shared" ref="BB3:BB4" ca="1" si="38">((O3+I3+(LOG(J3)*4/3))*0.253)</f>
        <v>0.73144030227186085</v>
      </c>
      <c r="BC3" s="71">
        <f t="shared" ref="BC3:BC4" ca="1" si="39">((P3+I3+(LOG(J3)*4/3))*0.21)+((O3+I3+(LOG(J3)*4/3))*0.341)</f>
        <v>1.5929786820229066</v>
      </c>
      <c r="BD3" s="71">
        <f t="shared" ref="BD3:BD4" ca="1" si="40">BB3/2</f>
        <v>0.36572015113593043</v>
      </c>
      <c r="BE3" s="71">
        <f t="shared" ref="BE3:BE4" ca="1" si="41">((L3+I3+(LOG(J3)*4/3))*0.291)</f>
        <v>0.84130090103206123</v>
      </c>
      <c r="BF3" s="71">
        <f t="shared" ref="BF3:BF4" ca="1" si="42">((L3+I3+(LOG(J3)*4/3))*0.348)</f>
        <v>1.0060917991723619</v>
      </c>
      <c r="BG3" s="71">
        <f t="shared" ref="BG3:BG4" ca="1" si="43">((M3+I3+(LOG(J3)*4/3))*0.881)</f>
        <v>2.5470312502035943</v>
      </c>
      <c r="BH3" s="71">
        <f t="shared" ref="BH3:BH4" ca="1" si="44">((N3+I3+(LOG(J3)*4/3))*0.574)+((O3+I3+(LOG(J3)*4/3))*0.315)</f>
        <v>2.5701597973110051</v>
      </c>
      <c r="BI3" s="71">
        <f t="shared" ref="BI3:BI4" ca="1" si="45">((O3+I3+(LOG(J3)*4/3))*0.241)</f>
        <v>0.69674748161074485</v>
      </c>
      <c r="BJ3" s="71">
        <f t="shared" ref="BJ3:BJ4" ca="1" si="46">((L3+I3+(LOG(J3)*4/3))*0.485)</f>
        <v>1.4021681683867686</v>
      </c>
      <c r="BK3" s="71">
        <f t="shared" ref="BK3:BK4" ca="1" si="47">((L3+I3+(LOG(J3)*4/3))*0.264)</f>
        <v>0.76324205454455041</v>
      </c>
      <c r="BL3" s="71">
        <f t="shared" ref="BL3:BL4" ca="1" si="48">((M3+I3+(LOG(J3)*4/3))*0.381)</f>
        <v>1.1014970559904307</v>
      </c>
      <c r="BM3" s="71">
        <f t="shared" ref="BM3:BM4" ca="1" si="49">((N3+I3+(LOG(J3)*4/3))*0.673)+((O3+I3+(LOG(J3)*4/3))*0.201)</f>
        <v>2.52679377148461</v>
      </c>
      <c r="BN3" s="71">
        <f t="shared" ref="BN3:BN4" ca="1" si="50">((O3+I3+(LOG(J3)*4/3))*0.052)</f>
        <v>0.15033555619816902</v>
      </c>
      <c r="BO3" s="71">
        <f t="shared" ref="BO3:BO4" ca="1" si="51">((L3+I3+(LOG(J3)*4/3))*0.18)</f>
        <v>0.5203923099167389</v>
      </c>
      <c r="BP3" s="71">
        <f t="shared" ref="BP3:BP4" ca="1" si="52">(L3+I3+(LOG(J3)*4/3))*0.068</f>
        <v>0.19659265041299026</v>
      </c>
      <c r="BQ3" s="71">
        <f t="shared" ref="BQ3:BQ4" ca="1" si="53">((M3+I3+(LOG(J3)*4/3))*0.305)</f>
        <v>0.88177585847002982</v>
      </c>
      <c r="BR3" s="71">
        <f t="shared" ref="BR3:BR4" ca="1" si="54">((N3+I3+(LOG(J3)*4/3))*1)+((O3+I3+(LOG(J3)*4/3))*0.286)</f>
        <v>3.7179139475162568</v>
      </c>
      <c r="BS3" s="71">
        <f t="shared" ref="BS3:BS4" ca="1" si="55">((O3+I3+(LOG(J3)*4/3))*0.135)</f>
        <v>0.39029423243755423</v>
      </c>
      <c r="BT3" s="71">
        <f t="shared" ref="BT3:BT4" ca="1" si="56">((L3+I3+(LOG(J3)*4/3))*0.284)</f>
        <v>0.82106342231307683</v>
      </c>
      <c r="BU3" s="71">
        <f t="shared" ref="BU3:BU4" ca="1" si="57">(L3+I3+(LOG(J3)*4/3))*0.244</f>
        <v>0.70542068677602388</v>
      </c>
      <c r="BV3" s="71">
        <f t="shared" ref="BV3:BV4" ca="1" si="58">((M3+I3+(LOG(J3)*4/3))*0.455)</f>
        <v>1.315436116733979</v>
      </c>
      <c r="BW3" s="71">
        <f t="shared" ref="BW3:BW4" ca="1" si="59">((N3+I3+(LOG(J3)*4/3))*0.864)+((O3+I3+(LOG(J3)*4/3))*0.244)</f>
        <v>3.2033037743763706</v>
      </c>
      <c r="BX3" s="71">
        <f t="shared" ref="BX3:BX4" ca="1" si="60">((O3+I3+(LOG(J3)*4/3))*0.121)</f>
        <v>0.34981927499958559</v>
      </c>
      <c r="BY3" s="71">
        <f t="shared" ref="BY3:BY4" ca="1" si="61">((L3+I3+(LOG(J3)*4/3))*0.284)</f>
        <v>0.82106342231307683</v>
      </c>
      <c r="BZ3" s="71">
        <f t="shared" ref="BZ3:BZ4" ca="1" si="62">((L3+I3+(LOG(J3)*4/3))*0.244)</f>
        <v>0.70542068677602388</v>
      </c>
      <c r="CA3" s="71">
        <f t="shared" ref="CA3:CA4" ca="1" si="63">((M3+I3+(LOG(J3)*4/3))*0.631)</f>
        <v>1.8242641530970125</v>
      </c>
      <c r="CB3" s="71">
        <f t="shared" ref="CB3:CB4" ca="1" si="64">((N3+I3+(LOG(J3)*4/3))*0.702)+((O3+I3+(LOG(J3)*4/3))*0.193)</f>
        <v>2.5875062076415629</v>
      </c>
      <c r="CC3" s="71">
        <f t="shared" ref="CC3:CC4" ca="1" si="65">((O3+I3+(LOG(J3)*4/3))*0.148)</f>
        <v>0.42787812148709642</v>
      </c>
      <c r="CD3" s="71">
        <f t="shared" ref="CD3:CD4" ca="1" si="66">((M3+I3+(LOG(J3)*4/3))*0.406)</f>
        <v>1.1737737657010889</v>
      </c>
      <c r="CE3" s="71">
        <f t="shared" ref="CE3:CE4" ca="1" si="67">IF(D3="TEC",((N3+I3+(LOG(J3)*4/3))*0.15)+((O3+I3+(LOG(J3)*4/3))*0.324)+((P3+I3+(LOG(J3)*4/3))*0.127),(((N3+I3+(LOG(J3)*4/3))*0.144)+((O3+I3+(LOG(J3)*4/3))*0.25)+((P3+I3+(LOG(J3)*4/3))*0.127)))</f>
        <v>1.5062466303701165</v>
      </c>
      <c r="CF3" s="71">
        <f t="shared" ref="CF3:CF4" ca="1" si="68">((O3+I3+(LOG(J3)*4/3))*0.543)+((P3+I3+(LOG(J3)*4/3))*0.583)</f>
        <v>3.2553430053680446</v>
      </c>
      <c r="CG3" s="71">
        <f t="shared" ref="CG3:CG4" ca="1" si="69">CE3</f>
        <v>1.5062466303701165</v>
      </c>
      <c r="CH3" s="71">
        <f t="shared" ref="CH3:CH4" ca="1" si="70">((P3+1+(LOG(J3)*4/3))*0.26)+((N3+I3+(LOG(J3)*4/3))*0.221)+((O3+I3+(LOG(J3)*4/3))*0.142)</f>
        <v>1.801135605989602</v>
      </c>
      <c r="CI3" s="71">
        <f t="shared" ref="CI3:CI4" ca="1" si="71">((P3+I3+(LOG(J3)*4/3))*1)+((O3+I3+(LOG(J3)*4/3))*0.369)</f>
        <v>3.9578726237556419</v>
      </c>
      <c r="CJ3" s="71">
        <f t="shared" ref="CJ3:CJ4" ca="1" si="72">CH3</f>
        <v>1.801135605989602</v>
      </c>
      <c r="CK3" s="71">
        <f t="shared" ref="CK3:CK4" ca="1" si="73">((M3+I3+(LOG(J3)*4/3))*0.25)</f>
        <v>0.72276709710658182</v>
      </c>
    </row>
    <row r="4" spans="1:89" x14ac:dyDescent="0.25">
      <c r="A4" t="str">
        <f>PLANTILLA!D5</f>
        <v>L. Guangwei</v>
      </c>
      <c r="B4" s="57">
        <f>PLANTILLA!E5</f>
        <v>29</v>
      </c>
      <c r="C4" s="95">
        <f ca="1">PLANTILLA!F5</f>
        <v>9</v>
      </c>
      <c r="D4" s="57" t="str">
        <f>PLANTILLA!G5</f>
        <v>IMP</v>
      </c>
      <c r="E4" s="203">
        <f>PLANTILLA!O5</f>
        <v>43878</v>
      </c>
      <c r="F4" s="95">
        <f>PLANTILLA!Q5</f>
        <v>6</v>
      </c>
      <c r="G4" s="115">
        <f t="shared" si="0"/>
        <v>0.92582009977255142</v>
      </c>
      <c r="H4" s="115">
        <f t="shared" si="1"/>
        <v>0.99928545900129484</v>
      </c>
      <c r="I4" s="150">
        <f ca="1">PLANTILLA!P5</f>
        <v>1</v>
      </c>
      <c r="J4" s="151">
        <f>PLANTILLA!I5</f>
        <v>9</v>
      </c>
      <c r="K4" s="48">
        <f>PLANTILLA!X5</f>
        <v>15</v>
      </c>
      <c r="L4" s="48">
        <f>PLANTILLA!Y5</f>
        <v>9.2222222222222214</v>
      </c>
      <c r="M4" s="48">
        <f>PLANTILLA!Z5</f>
        <v>3</v>
      </c>
      <c r="N4" s="48">
        <f>PLANTILLA!AA5</f>
        <v>1</v>
      </c>
      <c r="O4" s="48">
        <f>PLANTILLA!AB5</f>
        <v>5</v>
      </c>
      <c r="P4" s="48">
        <f>PLANTILLA!AC5</f>
        <v>5.5</v>
      </c>
      <c r="Q4" s="48">
        <f>PLANTILLA!AD5</f>
        <v>22</v>
      </c>
      <c r="R4" s="151">
        <f t="shared" si="2"/>
        <v>2.7777777777777777</v>
      </c>
      <c r="S4" s="151">
        <f t="shared" ca="1" si="3"/>
        <v>18.651834594481208</v>
      </c>
      <c r="T4" s="48">
        <f t="shared" si="4"/>
        <v>0.93499999999999994</v>
      </c>
      <c r="U4" s="48">
        <f t="shared" si="5"/>
        <v>1.0288888888888887</v>
      </c>
      <c r="V4" s="151">
        <f t="shared" ca="1" si="6"/>
        <v>22.471804821830453</v>
      </c>
      <c r="W4" s="151">
        <f t="shared" ca="1" si="7"/>
        <v>24.254979775754613</v>
      </c>
      <c r="X4" s="71">
        <f t="shared" ca="1" si="8"/>
        <v>13.484071614320708</v>
      </c>
      <c r="Y4" s="71">
        <f t="shared" ca="1" si="9"/>
        <v>19.843013884026004</v>
      </c>
      <c r="Z4" s="71">
        <f t="shared" ca="1" si="10"/>
        <v>13.484071614320708</v>
      </c>
      <c r="AA4" s="71">
        <f t="shared" ca="1" si="11"/>
        <v>5.9311855131609219</v>
      </c>
      <c r="AB4" s="71">
        <f t="shared" ca="1" si="12"/>
        <v>11.494545568141321</v>
      </c>
      <c r="AC4" s="71">
        <f t="shared" ca="1" si="13"/>
        <v>2.965592756580461</v>
      </c>
      <c r="AD4" s="71">
        <f t="shared" ca="1" si="14"/>
        <v>1.2548129563287456</v>
      </c>
      <c r="AE4" s="71">
        <f t="shared" ca="1" si="15"/>
        <v>4.3449382247574198</v>
      </c>
      <c r="AF4" s="71">
        <f t="shared" ca="1" si="16"/>
        <v>8.3105564457661742</v>
      </c>
      <c r="AG4" s="71">
        <f t="shared" ca="1" si="17"/>
        <v>2.1724691123787099</v>
      </c>
      <c r="AH4" s="71">
        <f t="shared" ca="1" si="18"/>
        <v>2.0298444881788535</v>
      </c>
      <c r="AI4" s="71">
        <f t="shared" ca="1" si="19"/>
        <v>10.574981922690016</v>
      </c>
      <c r="AJ4" s="71">
        <f t="shared" ca="1" si="20"/>
        <v>4.7587418652105065</v>
      </c>
      <c r="AK4" s="71">
        <f t="shared" ca="1" si="21"/>
        <v>0.88047799876848964</v>
      </c>
      <c r="AL4" s="71">
        <f t="shared" ca="1" si="22"/>
        <v>1.9241261274004304</v>
      </c>
      <c r="AM4" s="71">
        <f t="shared" ca="1" si="23"/>
        <v>8.6668873583785562</v>
      </c>
      <c r="AN4" s="71">
        <f t="shared" ca="1" si="24"/>
        <v>8.1381382622440555</v>
      </c>
      <c r="AO4" s="71">
        <f t="shared" ca="1" si="25"/>
        <v>4.0534779987684901</v>
      </c>
      <c r="AP4" s="71">
        <f t="shared" ca="1" si="26"/>
        <v>1.4544291236247007</v>
      </c>
      <c r="AQ4" s="71">
        <f t="shared" ca="1" si="27"/>
        <v>3.103527303398157</v>
      </c>
      <c r="AR4" s="71">
        <f t="shared" ca="1" si="28"/>
        <v>6.8277600674759444</v>
      </c>
      <c r="AS4" s="71">
        <f t="shared" ca="1" si="29"/>
        <v>1.5517636516990785</v>
      </c>
      <c r="AT4" s="71">
        <f t="shared" ca="1" si="30"/>
        <v>4.9770732385476295</v>
      </c>
      <c r="AU4" s="71">
        <f t="shared" ca="1" si="31"/>
        <v>0.94540203496948294</v>
      </c>
      <c r="AV4" s="71">
        <f t="shared" ca="1" si="32"/>
        <v>2.2172907403542963</v>
      </c>
      <c r="AW4" s="71">
        <f t="shared" ca="1" si="33"/>
        <v>0.47270101748474147</v>
      </c>
      <c r="AX4" s="71">
        <f t="shared" ca="1" si="34"/>
        <v>2.1724691123787099</v>
      </c>
      <c r="AY4" s="71">
        <f t="shared" ca="1" si="35"/>
        <v>4.5978182272565284</v>
      </c>
      <c r="AZ4" s="71">
        <f t="shared" ca="1" si="36"/>
        <v>1.0862345561893549</v>
      </c>
      <c r="BA4" s="71">
        <f t="shared" ca="1" si="37"/>
        <v>5.2723233459190997</v>
      </c>
      <c r="BB4" s="71">
        <f t="shared" ca="1" si="38"/>
        <v>1.8398978065175322</v>
      </c>
      <c r="BC4" s="71">
        <f t="shared" ca="1" si="39"/>
        <v>4.1120501636014239</v>
      </c>
      <c r="BD4" s="71">
        <f t="shared" ca="1" si="40"/>
        <v>0.9199489032587661</v>
      </c>
      <c r="BE4" s="71">
        <f t="shared" ca="1" si="41"/>
        <v>3.3449127603291244</v>
      </c>
      <c r="BF4" s="71">
        <f t="shared" ca="1" si="42"/>
        <v>4.0001018577131795</v>
      </c>
      <c r="BG4" s="71">
        <f t="shared" ca="1" si="43"/>
        <v>4.644916867754727</v>
      </c>
      <c r="BH4" s="71">
        <f t="shared" ca="1" si="44"/>
        <v>4.1690954545220791</v>
      </c>
      <c r="BI4" s="71">
        <f t="shared" ca="1" si="45"/>
        <v>1.7526299263665031</v>
      </c>
      <c r="BJ4" s="71">
        <f t="shared" ca="1" si="46"/>
        <v>5.5748546005485409</v>
      </c>
      <c r="BK4" s="71">
        <f t="shared" ca="1" si="47"/>
        <v>3.0345600299893087</v>
      </c>
      <c r="BL4" s="71">
        <f t="shared" ca="1" si="48"/>
        <v>2.0087551947951772</v>
      </c>
      <c r="BM4" s="71">
        <f t="shared" ca="1" si="49"/>
        <v>3.6640106043332938</v>
      </c>
      <c r="BN4" s="71">
        <f t="shared" ca="1" si="50"/>
        <v>0.37816081398779317</v>
      </c>
      <c r="BO4" s="71">
        <f t="shared" ca="1" si="51"/>
        <v>2.0690182022654375</v>
      </c>
      <c r="BP4" s="71">
        <f t="shared" ca="1" si="52"/>
        <v>0.78162909863360985</v>
      </c>
      <c r="BQ4" s="71">
        <f t="shared" ca="1" si="53"/>
        <v>1.6080586205053253</v>
      </c>
      <c r="BR4" s="71">
        <f t="shared" ca="1" si="54"/>
        <v>5.3522078228519625</v>
      </c>
      <c r="BS4" s="71">
        <f t="shared" ca="1" si="55"/>
        <v>0.98176365169907853</v>
      </c>
      <c r="BT4" s="71">
        <f t="shared" ca="1" si="56"/>
        <v>3.264450941352135</v>
      </c>
      <c r="BU4" s="71">
        <f t="shared" ca="1" si="57"/>
        <v>2.8046691186264825</v>
      </c>
      <c r="BV4" s="71">
        <f t="shared" ca="1" si="58"/>
        <v>2.3989071223931906</v>
      </c>
      <c r="BW4" s="71">
        <f t="shared" ca="1" si="59"/>
        <v>4.6017342672783625</v>
      </c>
      <c r="BX4" s="71">
        <f t="shared" ca="1" si="60"/>
        <v>0.87995112485621108</v>
      </c>
      <c r="BY4" s="71">
        <f t="shared" ca="1" si="61"/>
        <v>3.264450941352135</v>
      </c>
      <c r="BZ4" s="71">
        <f t="shared" ca="1" si="62"/>
        <v>2.8046691186264825</v>
      </c>
      <c r="CA4" s="71">
        <f t="shared" ca="1" si="63"/>
        <v>3.3268360312749521</v>
      </c>
      <c r="CB4" s="71">
        <f t="shared" ca="1" si="64"/>
        <v>3.7007293945975941</v>
      </c>
      <c r="CC4" s="71">
        <f t="shared" ca="1" si="65"/>
        <v>1.0763038551960267</v>
      </c>
      <c r="CD4" s="71">
        <f t="shared" ca="1" si="66"/>
        <v>2.1405632784431545</v>
      </c>
      <c r="CE4" s="71">
        <f t="shared" ca="1" si="67"/>
        <v>3.2763804632238509</v>
      </c>
      <c r="CF4" s="71">
        <f t="shared" ca="1" si="68"/>
        <v>8.4801360875049063</v>
      </c>
      <c r="CG4" s="71">
        <f t="shared" ca="1" si="69"/>
        <v>3.2763804632238509</v>
      </c>
      <c r="CH4" s="71">
        <f t="shared" ca="1" si="70"/>
        <v>3.7766574445075989</v>
      </c>
      <c r="CI4" s="71">
        <f t="shared" ca="1" si="71"/>
        <v>10.455810660563248</v>
      </c>
      <c r="CJ4" s="71">
        <f t="shared" ca="1" si="72"/>
        <v>3.7766574445075989</v>
      </c>
      <c r="CK4" s="71">
        <f t="shared" ca="1" si="73"/>
        <v>1.3180808364797749</v>
      </c>
    </row>
    <row r="5" spans="1:89" x14ac:dyDescent="0.25">
      <c r="A5" t="str">
        <f>PLANTILLA!D6</f>
        <v>V. Gardner</v>
      </c>
      <c r="B5" s="448">
        <f>PLANTILLA!E6</f>
        <v>27</v>
      </c>
      <c r="C5" s="95">
        <f ca="1">PLANTILLA!F6</f>
        <v>50</v>
      </c>
      <c r="D5" s="448">
        <f>PLANTILLA!G6</f>
        <v>0</v>
      </c>
      <c r="E5" s="203">
        <f>PLANTILLA!O6</f>
        <v>43756</v>
      </c>
      <c r="F5" s="95">
        <f>PLANTILLA!Q6</f>
        <v>6</v>
      </c>
      <c r="G5" s="115">
        <f t="shared" ref="G5:G19" si="74">(F5/7)^0.5</f>
        <v>0.92582009977255142</v>
      </c>
      <c r="H5" s="115">
        <f t="shared" ref="H5:H19" si="75">IF(F5=7,1,((F5+0.99)/7)^0.5)</f>
        <v>0.99928545900129484</v>
      </c>
      <c r="I5" s="150">
        <f ca="1">PLANTILLA!P6</f>
        <v>1</v>
      </c>
      <c r="J5" s="151">
        <f>PLANTILLA!I6</f>
        <v>7</v>
      </c>
      <c r="K5" s="48">
        <f>PLANTILLA!X6</f>
        <v>0</v>
      </c>
      <c r="L5" s="48">
        <f>PLANTILLA!Y6</f>
        <v>15</v>
      </c>
      <c r="M5" s="48">
        <f>PLANTILLA!Z6</f>
        <v>8.125</v>
      </c>
      <c r="N5" s="48">
        <f>PLANTILLA!AA6</f>
        <v>3</v>
      </c>
      <c r="O5" s="48">
        <f>PLANTILLA!AB6</f>
        <v>5</v>
      </c>
      <c r="P5" s="48">
        <f>PLANTILLA!AC6</f>
        <v>7.333333333333333</v>
      </c>
      <c r="Q5" s="48">
        <f>PLANTILLA!AD6</f>
        <v>19</v>
      </c>
      <c r="R5" s="151">
        <f t="shared" ref="R5:R19" si="76">((2*(O5+1))+(L5+1))/8</f>
        <v>3.5</v>
      </c>
      <c r="S5" s="151">
        <f t="shared" ref="S5:S19" ca="1" si="77">1.66*(P5+(LOG(J5)*4/3)+I5)+0.55*(Q5+(LOG(J5)*4/3)+I5)-7.6</f>
        <v>19.723555557908675</v>
      </c>
      <c r="T5" s="48">
        <f t="shared" ref="T5:T19" si="78">(0.5*P5+0.3*Q5)/10</f>
        <v>0.93666666666666676</v>
      </c>
      <c r="U5" s="48">
        <f t="shared" ref="U5:U19" si="79">(0.4*L5+0.3*Q5)/10</f>
        <v>1.17</v>
      </c>
      <c r="V5" s="151">
        <f t="shared" ref="V5:V19" ca="1" si="80">IF(TODAY()-E5&gt;335,(Q5+1+(LOG(J5)*4/3))*(F5/7)^0.5,(Q5+((TODAY()-E5)^0.5)/(336^0.5)+(LOG(J5)*4/3))*(F5/7)^0.5)</f>
        <v>19.559613664415814</v>
      </c>
      <c r="W5" s="151">
        <f t="shared" ref="W5:W19" ca="1" si="81">IF(F5=7,V5,IF(TODAY()-E5&gt;335,(Q5+1+(LOG(J5)*4/3))*((F5+0.99)/7)^0.5,(Q5+((TODAY()-E5)^0.5)/(336^0.5)+(LOG(J5)*4/3))*((F5+0.99)/7)^0.5))</f>
        <v>21.111701423781554</v>
      </c>
      <c r="X5" s="71">
        <f t="shared" ref="X5:X19" ca="1" si="82">((K5+I5+(LOG(J5)*4/3))*0.597)+((L5+I5+(LOG(J5)*4/3))*0.276)</f>
        <v>5.9966941185765954</v>
      </c>
      <c r="Y5" s="71">
        <f t="shared" ref="Y5:Y19" ca="1" si="83">((K5+I5+(LOG(J5)*4/3))*0.866)+((L5+I5+(LOG(J5)*4/3))*0.425)</f>
        <v>9.1206954262112081</v>
      </c>
      <c r="Z5" s="71">
        <f t="shared" ref="Z5:Z19" ca="1" si="84">X5</f>
        <v>5.9966941185765954</v>
      </c>
      <c r="AA5" s="71">
        <f t="shared" ref="AA5:AA19" ca="1" si="85">((L5+I5+(LOG(J5)*4/3))*0.516)</f>
        <v>8.837427451529809</v>
      </c>
      <c r="AB5" s="71">
        <f t="shared" ref="AB5:AB19" ca="1" si="86">(L5+I5+(LOG(J5)*4/3))*1</f>
        <v>17.126797386685677</v>
      </c>
      <c r="AC5" s="71">
        <f t="shared" ref="AC5:AC19" ca="1" si="87">AA5/2</f>
        <v>4.4187137257649045</v>
      </c>
      <c r="AD5" s="71">
        <f t="shared" ref="AD5:AD19" ca="1" si="88">(M5+I5+(LOG(J5)*4/3))*0.238</f>
        <v>2.4399277780311905</v>
      </c>
      <c r="AE5" s="71">
        <f t="shared" ref="AE5:AE19" ca="1" si="89">((L5+I5+(LOG(J5)*4/3))*0.378)</f>
        <v>6.4739294121671858</v>
      </c>
      <c r="AF5" s="71">
        <f t="shared" ref="AF5:AF19" ca="1" si="90">(L5+I5+(LOG(J5)*4/3))*0.723</f>
        <v>12.382674510573745</v>
      </c>
      <c r="AG5" s="71">
        <f t="shared" ref="AG5:AG19" ca="1" si="91">AE5/2</f>
        <v>3.2369647060835929</v>
      </c>
      <c r="AH5" s="71">
        <f t="shared" ref="AH5:AH19" ca="1" si="92">(M5+I5+(LOG(J5)*4/3))*0.385</f>
        <v>3.9469419938739851</v>
      </c>
      <c r="AI5" s="71">
        <f t="shared" ref="AI5:AI19" ca="1" si="93">((L5+I5+(LOG(J5)*4/3))*0.92)</f>
        <v>15.756653595750823</v>
      </c>
      <c r="AJ5" s="71">
        <f t="shared" ref="AJ5:AJ19" ca="1" si="94">(L5+I5+(LOG(J5)*4/3))*0.414</f>
        <v>7.0904941180878698</v>
      </c>
      <c r="AK5" s="71">
        <f t="shared" ref="AK5:AK19" ca="1" si="95">((M5+I5+(LOG(J5)*4/3))*0.167)</f>
        <v>1.712050163576508</v>
      </c>
      <c r="AL5" s="71">
        <f t="shared" ref="AL5:AL19" ca="1" si="96">(N5+I5+(LOG(J5)*4/3))*0.588</f>
        <v>3.014556863371177</v>
      </c>
      <c r="AM5" s="71">
        <f t="shared" ref="AM5:AM19" ca="1" si="97">((L5+I5+(LOG(J5)*4/3))*0.754)</f>
        <v>12.913605229561</v>
      </c>
      <c r="AN5" s="71">
        <f t="shared" ref="AN5:AN19" ca="1" si="98">((L5+I5+(LOG(J5)*4/3))*0.708)</f>
        <v>12.125772549773458</v>
      </c>
      <c r="AO5" s="71">
        <f t="shared" ref="AO5:AO19" ca="1" si="99">((Q5+I5+(LOG(J5)*4/3))*0.167)</f>
        <v>3.5281751635765084</v>
      </c>
      <c r="AP5" s="71">
        <f t="shared" ref="AP5:AP19" ca="1" si="100">((R5+I5+(LOG(J5)*4/3))*0.288)</f>
        <v>1.6205176473654743</v>
      </c>
      <c r="AQ5" s="71">
        <f t="shared" ref="AQ5:AQ19" ca="1" si="101">((L5+I5+(LOG(J5)*4/3))*0.27)</f>
        <v>4.6242352944051328</v>
      </c>
      <c r="AR5" s="71">
        <f t="shared" ref="AR5:AR19" ca="1" si="102">((L5+I5+(LOG(J5)*4/3))*0.594)</f>
        <v>10.173317647691292</v>
      </c>
      <c r="AS5" s="71">
        <f t="shared" ref="AS5:AS19" ca="1" si="103">AQ5/2</f>
        <v>2.3121176472025664</v>
      </c>
      <c r="AT5" s="71">
        <f t="shared" ref="AT5:AT19" ca="1" si="104">((M5+I5+(LOG(J5)*4/3))*0.944)</f>
        <v>9.6776967330312775</v>
      </c>
      <c r="AU5" s="71">
        <f t="shared" ref="AU5:AU19" ca="1" si="105">((O5+I5+(LOG(J5)*4/3))*0.13)</f>
        <v>0.92648366026913787</v>
      </c>
      <c r="AV5" s="71">
        <f t="shared" ref="AV5:AV19" ca="1" si="106">((P5+I5+(LOG(J5)*4/3))*0.173)+((O5+I5+(LOG(J5)*4/3))*0.12)</f>
        <v>2.4918183009655692</v>
      </c>
      <c r="AW5" s="71">
        <f t="shared" ref="AW5:AW19" ca="1" si="107">AU5/2</f>
        <v>0.46324183013456893</v>
      </c>
      <c r="AX5" s="71">
        <f t="shared" ref="AX5:AX19" ca="1" si="108">((L5+I5+(LOG(J5)*4/3))*0.189)</f>
        <v>3.2369647060835929</v>
      </c>
      <c r="AY5" s="71">
        <f t="shared" ref="AY5:AY19" ca="1" si="109">((L5+I5+(LOG(J5)*4/3))*0.4)</f>
        <v>6.8507189546742708</v>
      </c>
      <c r="AZ5" s="71">
        <f t="shared" ref="AZ5:AZ19" ca="1" si="110">AX5/2</f>
        <v>1.6184823530417964</v>
      </c>
      <c r="BA5" s="71">
        <f t="shared" ref="BA5:BA19" ca="1" si="111">((M5+I5+(LOG(J5)*4/3))*1)</f>
        <v>10.251797386685675</v>
      </c>
      <c r="BB5" s="71">
        <f t="shared" ref="BB5:BB19" ca="1" si="112">((O5+I5+(LOG(J5)*4/3))*0.253)</f>
        <v>1.8030797388314759</v>
      </c>
      <c r="BC5" s="71">
        <f t="shared" ref="BC5:BC19" ca="1" si="113">((P5+I5+(LOG(J5)*4/3))*0.21)+((O5+I5+(LOG(J5)*4/3))*0.341)</f>
        <v>4.4168653600638068</v>
      </c>
      <c r="BD5" s="71">
        <f t="shared" ref="BD5:BD19" ca="1" si="114">BB5/2</f>
        <v>0.90153986941573794</v>
      </c>
      <c r="BE5" s="71">
        <f t="shared" ref="BE5:BE19" ca="1" si="115">((L5+I5+(LOG(J5)*4/3))*0.291)</f>
        <v>4.9838980395255321</v>
      </c>
      <c r="BF5" s="71">
        <f t="shared" ref="BF5:BF19" ca="1" si="116">((L5+I5+(LOG(J5)*4/3))*0.348)</f>
        <v>5.9601254905666154</v>
      </c>
      <c r="BG5" s="71">
        <f t="shared" ref="BG5:BG19" ca="1" si="117">((M5+I5+(LOG(J5)*4/3))*0.881)</f>
        <v>9.03183349767008</v>
      </c>
      <c r="BH5" s="71">
        <f t="shared" ref="BH5:BH19" ca="1" si="118">((N5+I5+(LOG(J5)*4/3))*0.574)+((O5+I5+(LOG(J5)*4/3))*0.315)</f>
        <v>5.1877228767635657</v>
      </c>
      <c r="BI5" s="71">
        <f t="shared" ref="BI5:BI19" ca="1" si="119">((O5+I5+(LOG(J5)*4/3))*0.241)</f>
        <v>1.7175581701912477</v>
      </c>
      <c r="BJ5" s="71">
        <f t="shared" ref="BJ5:BJ19" ca="1" si="120">((L5+I5+(LOG(J5)*4/3))*0.485)</f>
        <v>8.3064967325425538</v>
      </c>
      <c r="BK5" s="71">
        <f t="shared" ref="BK5:BK19" ca="1" si="121">((L5+I5+(LOG(J5)*4/3))*0.264)</f>
        <v>4.5214745100850191</v>
      </c>
      <c r="BL5" s="71">
        <f t="shared" ref="BL5:BL19" ca="1" si="122">((M5+I5+(LOG(J5)*4/3))*0.381)</f>
        <v>3.9059348043272424</v>
      </c>
      <c r="BM5" s="71">
        <f t="shared" ref="BM5:BM19" ca="1" si="123">((N5+I5+(LOG(J5)*4/3))*0.673)+((O5+I5+(LOG(J5)*4/3))*0.201)</f>
        <v>4.8828209159632801</v>
      </c>
      <c r="BN5" s="71">
        <f t="shared" ref="BN5:BN19" ca="1" si="124">((O5+I5+(LOG(J5)*4/3))*0.052)</f>
        <v>0.37059346410765509</v>
      </c>
      <c r="BO5" s="71">
        <f t="shared" ref="BO5:BO19" ca="1" si="125">((L5+I5+(LOG(J5)*4/3))*0.18)</f>
        <v>3.0828235296034219</v>
      </c>
      <c r="BP5" s="71">
        <f t="shared" ref="BP5:BP19" ca="1" si="126">(L5+I5+(LOG(J5)*4/3))*0.068</f>
        <v>1.1646222222946261</v>
      </c>
      <c r="BQ5" s="71">
        <f t="shared" ref="BQ5:BQ19" ca="1" si="127">((M5+I5+(LOG(J5)*4/3))*0.305)</f>
        <v>3.1267982029391308</v>
      </c>
      <c r="BR5" s="71">
        <f t="shared" ref="BR5:BR19" ca="1" si="128">((N5+I5+(LOG(J5)*4/3))*1)+((O5+I5+(LOG(J5)*4/3))*0.286)</f>
        <v>7.1650614392777783</v>
      </c>
      <c r="BS5" s="71">
        <f t="shared" ref="BS5:BS19" ca="1" si="129">((O5+I5+(LOG(J5)*4/3))*0.135)</f>
        <v>0.96211764720256621</v>
      </c>
      <c r="BT5" s="71">
        <f t="shared" ref="BT5:BT19" ca="1" si="130">((L5+I5+(LOG(J5)*4/3))*0.284)</f>
        <v>4.8640104578187318</v>
      </c>
      <c r="BU5" s="71">
        <f t="shared" ref="BU5:BU19" ca="1" si="131">(L5+I5+(LOG(J5)*4/3))*0.244</f>
        <v>4.1789385623513047</v>
      </c>
      <c r="BV5" s="71">
        <f t="shared" ref="BV5:BV19" ca="1" si="132">((M5+I5+(LOG(J5)*4/3))*0.455)</f>
        <v>4.6645678109419828</v>
      </c>
      <c r="BW5" s="71">
        <f t="shared" ref="BW5:BW19" ca="1" si="133">((N5+I5+(LOG(J5)*4/3))*0.864)+((O5+I5+(LOG(J5)*4/3))*0.244)</f>
        <v>6.1684915044477275</v>
      </c>
      <c r="BX5" s="71">
        <f t="shared" ref="BX5:BX19" ca="1" si="134">((O5+I5+(LOG(J5)*4/3))*0.121)</f>
        <v>0.86234248378896672</v>
      </c>
      <c r="BY5" s="71">
        <f t="shared" ref="BY5:BY19" ca="1" si="135">((L5+I5+(LOG(J5)*4/3))*0.284)</f>
        <v>4.8640104578187318</v>
      </c>
      <c r="BZ5" s="71">
        <f t="shared" ref="BZ5:BZ19" ca="1" si="136">((L5+I5+(LOG(J5)*4/3))*0.244)</f>
        <v>4.1789385623513047</v>
      </c>
      <c r="CA5" s="71">
        <f t="shared" ref="CA5:CA19" ca="1" si="137">((M5+I5+(LOG(J5)*4/3))*0.631)</f>
        <v>6.4688841509986608</v>
      </c>
      <c r="CB5" s="71">
        <f t="shared" ref="CB5:CB19" ca="1" si="138">((N5+I5+(LOG(J5)*4/3))*0.702)+((O5+I5+(LOG(J5)*4/3))*0.193)</f>
        <v>4.9744836610836796</v>
      </c>
      <c r="CC5" s="71">
        <f t="shared" ref="CC5:CC19" ca="1" si="139">((O5+I5+(LOG(J5)*4/3))*0.148)</f>
        <v>1.0547660132294798</v>
      </c>
      <c r="CD5" s="71">
        <f t="shared" ref="CD5:CD19" ca="1" si="140">((M5+I5+(LOG(J5)*4/3))*0.406)</f>
        <v>4.1622297389943848</v>
      </c>
      <c r="CE5" s="71">
        <f t="shared" ref="CE5:CE19" ca="1" si="141">IF(D5="TEC",((N5+I5+(LOG(J5)*4/3))*0.15)+((O5+I5+(LOG(J5)*4/3))*0.324)+((P5+I5+(LOG(J5)*4/3))*0.127),(((N5+I5+(LOG(J5)*4/3))*0.144)+((O5+I5+(LOG(J5)*4/3))*0.25)+((P5+I5+(LOG(J5)*4/3))*0.127)))</f>
        <v>3.7213947717965699</v>
      </c>
      <c r="CF5" s="71">
        <f t="shared" ref="CF5:CF19" ca="1" si="142">((O5+I5+(LOG(J5)*4/3))*0.543)+((P5+I5+(LOG(J5)*4/3))*0.583)</f>
        <v>9.3851071907414028</v>
      </c>
      <c r="CG5" s="71">
        <f t="shared" ref="CG5:CG19" ca="1" si="143">CE5</f>
        <v>3.7213947717965699</v>
      </c>
      <c r="CH5" s="71">
        <f t="shared" ref="CH5:CH19" ca="1" si="144">((P5+1+(LOG(J5)*4/3))*0.26)+((N5+I5+(LOG(J5)*4/3))*0.221)+((O5+I5+(LOG(J5)*4/3))*0.142)</f>
        <v>4.6046614385718421</v>
      </c>
      <c r="CI5" s="71">
        <f t="shared" ref="CI5:CI19" ca="1" si="145">((P5+I5+(LOG(J5)*4/3))*1)+((O5+I5+(LOG(J5)*4/3))*0.369)</f>
        <v>12.089918955706022</v>
      </c>
      <c r="CJ5" s="71">
        <f t="shared" ref="CJ5:CJ19" ca="1" si="146">CH5</f>
        <v>4.6046614385718421</v>
      </c>
      <c r="CK5" s="71">
        <f t="shared" ref="CK5:CK19" ca="1" si="147">((M5+I5+(LOG(J5)*4/3))*0.25)</f>
        <v>2.5629493466714188</v>
      </c>
    </row>
    <row r="6" spans="1:89" x14ac:dyDescent="0.25">
      <c r="A6" t="e">
        <f>PLANTILLA!#REF!</f>
        <v>#REF!</v>
      </c>
      <c r="B6" s="448" t="e">
        <f>PLANTILLA!#REF!</f>
        <v>#REF!</v>
      </c>
      <c r="C6" s="95" t="e">
        <f>PLANTILLA!#REF!</f>
        <v>#REF!</v>
      </c>
      <c r="D6" s="448" t="e">
        <f>PLANTILLA!#REF!</f>
        <v>#REF!</v>
      </c>
      <c r="E6" s="203" t="e">
        <f>PLANTILLA!#REF!</f>
        <v>#REF!</v>
      </c>
      <c r="F6" s="95" t="e">
        <f>PLANTILLA!#REF!</f>
        <v>#REF!</v>
      </c>
      <c r="G6" s="115" t="e">
        <f t="shared" si="74"/>
        <v>#REF!</v>
      </c>
      <c r="H6" s="115" t="e">
        <f t="shared" si="75"/>
        <v>#REF!</v>
      </c>
      <c r="I6" s="150" t="e">
        <f>PLANTILLA!#REF!</f>
        <v>#REF!</v>
      </c>
      <c r="J6" s="151" t="e">
        <f>PLANTILLA!#REF!</f>
        <v>#REF!</v>
      </c>
      <c r="K6" s="48" t="e">
        <f>PLANTILLA!#REF!</f>
        <v>#REF!</v>
      </c>
      <c r="L6" s="48" t="e">
        <f>PLANTILLA!#REF!</f>
        <v>#REF!</v>
      </c>
      <c r="M6" s="48" t="e">
        <f>PLANTILLA!#REF!</f>
        <v>#REF!</v>
      </c>
      <c r="N6" s="48" t="e">
        <f>PLANTILLA!#REF!</f>
        <v>#REF!</v>
      </c>
      <c r="O6" s="48" t="e">
        <f>PLANTILLA!#REF!</f>
        <v>#REF!</v>
      </c>
      <c r="P6" s="48" t="e">
        <f>PLANTILLA!#REF!</f>
        <v>#REF!</v>
      </c>
      <c r="Q6" s="48" t="e">
        <f>PLANTILLA!#REF!</f>
        <v>#REF!</v>
      </c>
      <c r="R6" s="151" t="e">
        <f t="shared" si="76"/>
        <v>#REF!</v>
      </c>
      <c r="S6" s="151" t="e">
        <f t="shared" si="77"/>
        <v>#REF!</v>
      </c>
      <c r="T6" s="48" t="e">
        <f t="shared" si="78"/>
        <v>#REF!</v>
      </c>
      <c r="U6" s="48" t="e">
        <f t="shared" si="79"/>
        <v>#REF!</v>
      </c>
      <c r="V6" s="151" t="e">
        <f t="shared" ca="1" si="80"/>
        <v>#REF!</v>
      </c>
      <c r="W6" s="151" t="e">
        <f t="shared" ca="1" si="81"/>
        <v>#REF!</v>
      </c>
      <c r="X6" s="71" t="e">
        <f t="shared" si="82"/>
        <v>#REF!</v>
      </c>
      <c r="Y6" s="71" t="e">
        <f t="shared" si="83"/>
        <v>#REF!</v>
      </c>
      <c r="Z6" s="71" t="e">
        <f t="shared" si="84"/>
        <v>#REF!</v>
      </c>
      <c r="AA6" s="71" t="e">
        <f t="shared" si="85"/>
        <v>#REF!</v>
      </c>
      <c r="AB6" s="71" t="e">
        <f t="shared" si="86"/>
        <v>#REF!</v>
      </c>
      <c r="AC6" s="71" t="e">
        <f t="shared" si="87"/>
        <v>#REF!</v>
      </c>
      <c r="AD6" s="71" t="e">
        <f t="shared" si="88"/>
        <v>#REF!</v>
      </c>
      <c r="AE6" s="71" t="e">
        <f t="shared" si="89"/>
        <v>#REF!</v>
      </c>
      <c r="AF6" s="71" t="e">
        <f t="shared" si="90"/>
        <v>#REF!</v>
      </c>
      <c r="AG6" s="71" t="e">
        <f t="shared" si="91"/>
        <v>#REF!</v>
      </c>
      <c r="AH6" s="71" t="e">
        <f t="shared" si="92"/>
        <v>#REF!</v>
      </c>
      <c r="AI6" s="71" t="e">
        <f t="shared" si="93"/>
        <v>#REF!</v>
      </c>
      <c r="AJ6" s="71" t="e">
        <f t="shared" si="94"/>
        <v>#REF!</v>
      </c>
      <c r="AK6" s="71" t="e">
        <f t="shared" si="95"/>
        <v>#REF!</v>
      </c>
      <c r="AL6" s="71" t="e">
        <f t="shared" si="96"/>
        <v>#REF!</v>
      </c>
      <c r="AM6" s="71" t="e">
        <f t="shared" si="97"/>
        <v>#REF!</v>
      </c>
      <c r="AN6" s="71" t="e">
        <f t="shared" si="98"/>
        <v>#REF!</v>
      </c>
      <c r="AO6" s="71" t="e">
        <f t="shared" si="99"/>
        <v>#REF!</v>
      </c>
      <c r="AP6" s="71" t="e">
        <f t="shared" si="100"/>
        <v>#REF!</v>
      </c>
      <c r="AQ6" s="71" t="e">
        <f t="shared" si="101"/>
        <v>#REF!</v>
      </c>
      <c r="AR6" s="71" t="e">
        <f t="shared" si="102"/>
        <v>#REF!</v>
      </c>
      <c r="AS6" s="71" t="e">
        <f t="shared" si="103"/>
        <v>#REF!</v>
      </c>
      <c r="AT6" s="71" t="e">
        <f t="shared" si="104"/>
        <v>#REF!</v>
      </c>
      <c r="AU6" s="71" t="e">
        <f t="shared" si="105"/>
        <v>#REF!</v>
      </c>
      <c r="AV6" s="71" t="e">
        <f t="shared" si="106"/>
        <v>#REF!</v>
      </c>
      <c r="AW6" s="71" t="e">
        <f t="shared" si="107"/>
        <v>#REF!</v>
      </c>
      <c r="AX6" s="71" t="e">
        <f t="shared" si="108"/>
        <v>#REF!</v>
      </c>
      <c r="AY6" s="71" t="e">
        <f t="shared" si="109"/>
        <v>#REF!</v>
      </c>
      <c r="AZ6" s="71" t="e">
        <f t="shared" si="110"/>
        <v>#REF!</v>
      </c>
      <c r="BA6" s="71" t="e">
        <f t="shared" si="111"/>
        <v>#REF!</v>
      </c>
      <c r="BB6" s="71" t="e">
        <f t="shared" si="112"/>
        <v>#REF!</v>
      </c>
      <c r="BC6" s="71" t="e">
        <f t="shared" si="113"/>
        <v>#REF!</v>
      </c>
      <c r="BD6" s="71" t="e">
        <f t="shared" si="114"/>
        <v>#REF!</v>
      </c>
      <c r="BE6" s="71" t="e">
        <f t="shared" si="115"/>
        <v>#REF!</v>
      </c>
      <c r="BF6" s="71" t="e">
        <f t="shared" si="116"/>
        <v>#REF!</v>
      </c>
      <c r="BG6" s="71" t="e">
        <f t="shared" si="117"/>
        <v>#REF!</v>
      </c>
      <c r="BH6" s="71" t="e">
        <f t="shared" si="118"/>
        <v>#REF!</v>
      </c>
      <c r="BI6" s="71" t="e">
        <f t="shared" si="119"/>
        <v>#REF!</v>
      </c>
      <c r="BJ6" s="71" t="e">
        <f t="shared" si="120"/>
        <v>#REF!</v>
      </c>
      <c r="BK6" s="71" t="e">
        <f t="shared" si="121"/>
        <v>#REF!</v>
      </c>
      <c r="BL6" s="71" t="e">
        <f t="shared" si="122"/>
        <v>#REF!</v>
      </c>
      <c r="BM6" s="71" t="e">
        <f t="shared" si="123"/>
        <v>#REF!</v>
      </c>
      <c r="BN6" s="71" t="e">
        <f t="shared" si="124"/>
        <v>#REF!</v>
      </c>
      <c r="BO6" s="71" t="e">
        <f t="shared" si="125"/>
        <v>#REF!</v>
      </c>
      <c r="BP6" s="71" t="e">
        <f t="shared" si="126"/>
        <v>#REF!</v>
      </c>
      <c r="BQ6" s="71" t="e">
        <f t="shared" si="127"/>
        <v>#REF!</v>
      </c>
      <c r="BR6" s="71" t="e">
        <f t="shared" si="128"/>
        <v>#REF!</v>
      </c>
      <c r="BS6" s="71" t="e">
        <f t="shared" si="129"/>
        <v>#REF!</v>
      </c>
      <c r="BT6" s="71" t="e">
        <f t="shared" si="130"/>
        <v>#REF!</v>
      </c>
      <c r="BU6" s="71" t="e">
        <f t="shared" si="131"/>
        <v>#REF!</v>
      </c>
      <c r="BV6" s="71" t="e">
        <f t="shared" si="132"/>
        <v>#REF!</v>
      </c>
      <c r="BW6" s="71" t="e">
        <f t="shared" si="133"/>
        <v>#REF!</v>
      </c>
      <c r="BX6" s="71" t="e">
        <f t="shared" si="134"/>
        <v>#REF!</v>
      </c>
      <c r="BY6" s="71" t="e">
        <f t="shared" si="135"/>
        <v>#REF!</v>
      </c>
      <c r="BZ6" s="71" t="e">
        <f t="shared" si="136"/>
        <v>#REF!</v>
      </c>
      <c r="CA6" s="71" t="e">
        <f t="shared" si="137"/>
        <v>#REF!</v>
      </c>
      <c r="CB6" s="71" t="e">
        <f t="shared" si="138"/>
        <v>#REF!</v>
      </c>
      <c r="CC6" s="71" t="e">
        <f t="shared" si="139"/>
        <v>#REF!</v>
      </c>
      <c r="CD6" s="71" t="e">
        <f t="shared" si="140"/>
        <v>#REF!</v>
      </c>
      <c r="CE6" s="71" t="e">
        <f t="shared" si="141"/>
        <v>#REF!</v>
      </c>
      <c r="CF6" s="71" t="e">
        <f t="shared" si="142"/>
        <v>#REF!</v>
      </c>
      <c r="CG6" s="71" t="e">
        <f t="shared" si="143"/>
        <v>#REF!</v>
      </c>
      <c r="CH6" s="71" t="e">
        <f t="shared" si="144"/>
        <v>#REF!</v>
      </c>
      <c r="CI6" s="71" t="e">
        <f t="shared" si="145"/>
        <v>#REF!</v>
      </c>
      <c r="CJ6" s="71" t="e">
        <f t="shared" si="146"/>
        <v>#REF!</v>
      </c>
      <c r="CK6" s="71" t="e">
        <f t="shared" si="147"/>
        <v>#REF!</v>
      </c>
    </row>
    <row r="7" spans="1:89" x14ac:dyDescent="0.25">
      <c r="A7" t="str">
        <f>PLANTILLA!D7</f>
        <v>S. Swärdborn</v>
      </c>
      <c r="B7" s="448">
        <f>PLANTILLA!E7</f>
        <v>27</v>
      </c>
      <c r="C7" s="95">
        <f ca="1">PLANTILLA!F7</f>
        <v>38</v>
      </c>
      <c r="D7" s="448" t="str">
        <f>PLANTILLA!G7</f>
        <v>IMP</v>
      </c>
      <c r="E7" s="203">
        <f>PLANTILLA!O7</f>
        <v>43884</v>
      </c>
      <c r="F7" s="95">
        <f>PLANTILLA!Q7</f>
        <v>5</v>
      </c>
      <c r="G7" s="115">
        <f t="shared" si="74"/>
        <v>0.84515425472851657</v>
      </c>
      <c r="H7" s="115">
        <f t="shared" si="75"/>
        <v>0.92504826128926143</v>
      </c>
      <c r="I7" s="150">
        <f ca="1">PLANTILLA!P7</f>
        <v>1</v>
      </c>
      <c r="J7" s="151">
        <f>PLANTILLA!I7</f>
        <v>8</v>
      </c>
      <c r="K7" s="48">
        <f>PLANTILLA!X7</f>
        <v>0</v>
      </c>
      <c r="L7" s="48">
        <f>PLANTILLA!Y7</f>
        <v>14.75</v>
      </c>
      <c r="M7" s="48">
        <f>PLANTILLA!Z7</f>
        <v>9.7142857142857135</v>
      </c>
      <c r="N7" s="48">
        <f>PLANTILLA!AA7</f>
        <v>1</v>
      </c>
      <c r="O7" s="48">
        <f>PLANTILLA!AB7</f>
        <v>3</v>
      </c>
      <c r="P7" s="48">
        <f>PLANTILLA!AC7</f>
        <v>7.833333333333333</v>
      </c>
      <c r="Q7" s="48">
        <f>PLANTILLA!AD7</f>
        <v>18.75</v>
      </c>
      <c r="R7" s="151">
        <f t="shared" si="76"/>
        <v>2.96875</v>
      </c>
      <c r="S7" s="151">
        <f t="shared" ca="1" si="77"/>
        <v>20.586938495002926</v>
      </c>
      <c r="T7" s="48">
        <f t="shared" si="78"/>
        <v>0.95416666666666661</v>
      </c>
      <c r="U7" s="48">
        <f t="shared" si="79"/>
        <v>1.1525000000000001</v>
      </c>
      <c r="V7" s="151">
        <f t="shared" ca="1" si="80"/>
        <v>17.709463657433485</v>
      </c>
      <c r="W7" s="151">
        <f t="shared" ca="1" si="81"/>
        <v>19.383572256802431</v>
      </c>
      <c r="X7" s="71">
        <f t="shared" ca="1" si="82"/>
        <v>5.9951967448586228</v>
      </c>
      <c r="Y7" s="71">
        <f t="shared" ca="1" si="83"/>
        <v>9.1142688976087989</v>
      </c>
      <c r="Z7" s="71">
        <f t="shared" ca="1" si="84"/>
        <v>5.9951967448586228</v>
      </c>
      <c r="AA7" s="71">
        <f t="shared" ca="1" si="85"/>
        <v>8.7483259110504576</v>
      </c>
      <c r="AB7" s="71">
        <f t="shared" ca="1" si="86"/>
        <v>16.954119982655925</v>
      </c>
      <c r="AC7" s="71">
        <f t="shared" ca="1" si="87"/>
        <v>4.3741629555252288</v>
      </c>
      <c r="AD7" s="71">
        <f t="shared" ca="1" si="88"/>
        <v>2.8365805558721098</v>
      </c>
      <c r="AE7" s="71">
        <f t="shared" ca="1" si="89"/>
        <v>6.4086573534439397</v>
      </c>
      <c r="AF7" s="71">
        <f t="shared" ca="1" si="90"/>
        <v>12.257828747460234</v>
      </c>
      <c r="AG7" s="71">
        <f t="shared" ca="1" si="91"/>
        <v>3.2043286767219699</v>
      </c>
      <c r="AH7" s="71">
        <f t="shared" ca="1" si="92"/>
        <v>4.5885861933225307</v>
      </c>
      <c r="AI7" s="71">
        <f t="shared" ca="1" si="93"/>
        <v>15.597790384043451</v>
      </c>
      <c r="AJ7" s="71">
        <f t="shared" ca="1" si="94"/>
        <v>7.0190056728195529</v>
      </c>
      <c r="AK7" s="71">
        <f t="shared" ca="1" si="95"/>
        <v>1.9903737513892537</v>
      </c>
      <c r="AL7" s="71">
        <f t="shared" ca="1" si="96"/>
        <v>1.8840225498016838</v>
      </c>
      <c r="AM7" s="71">
        <f t="shared" ca="1" si="97"/>
        <v>12.783406466922568</v>
      </c>
      <c r="AN7" s="71">
        <f t="shared" ca="1" si="98"/>
        <v>12.003516947720394</v>
      </c>
      <c r="AO7" s="71">
        <f t="shared" ca="1" si="99"/>
        <v>3.4993380371035396</v>
      </c>
      <c r="AP7" s="71">
        <f t="shared" ca="1" si="100"/>
        <v>1.4897865550049063</v>
      </c>
      <c r="AQ7" s="71">
        <f t="shared" ca="1" si="101"/>
        <v>4.5776123953171002</v>
      </c>
      <c r="AR7" s="71">
        <f t="shared" ca="1" si="102"/>
        <v>10.07074726969762</v>
      </c>
      <c r="AS7" s="71">
        <f t="shared" ca="1" si="103"/>
        <v>2.2888061976585501</v>
      </c>
      <c r="AT7" s="71">
        <f t="shared" ca="1" si="104"/>
        <v>11.250974977912906</v>
      </c>
      <c r="AU7" s="71">
        <f t="shared" ca="1" si="105"/>
        <v>0.67653559774527028</v>
      </c>
      <c r="AV7" s="71">
        <f t="shared" ca="1" si="106"/>
        <v>2.3609738215848521</v>
      </c>
      <c r="AW7" s="71">
        <f t="shared" ca="1" si="107"/>
        <v>0.33826779887263514</v>
      </c>
      <c r="AX7" s="71">
        <f t="shared" ca="1" si="108"/>
        <v>3.2043286767219699</v>
      </c>
      <c r="AY7" s="71">
        <f t="shared" ca="1" si="109"/>
        <v>6.7816479930623705</v>
      </c>
      <c r="AZ7" s="71">
        <f t="shared" ca="1" si="110"/>
        <v>1.6021643383609849</v>
      </c>
      <c r="BA7" s="71">
        <f t="shared" ca="1" si="111"/>
        <v>11.918405696941639</v>
      </c>
      <c r="BB7" s="71">
        <f t="shared" ca="1" si="112"/>
        <v>1.3166423556119491</v>
      </c>
      <c r="BC7" s="71">
        <f t="shared" ca="1" si="113"/>
        <v>3.8824701104434141</v>
      </c>
      <c r="BD7" s="71">
        <f t="shared" ca="1" si="114"/>
        <v>0.65832117780597454</v>
      </c>
      <c r="BE7" s="71">
        <f t="shared" ca="1" si="115"/>
        <v>4.9336489149528742</v>
      </c>
      <c r="BF7" s="71">
        <f t="shared" ca="1" si="116"/>
        <v>5.9000337539642613</v>
      </c>
      <c r="BG7" s="71">
        <f t="shared" ca="1" si="117"/>
        <v>10.500115419005583</v>
      </c>
      <c r="BH7" s="71">
        <f t="shared" ca="1" si="118"/>
        <v>3.4784626645811172</v>
      </c>
      <c r="BI7" s="71">
        <f t="shared" ca="1" si="119"/>
        <v>1.254192915820078</v>
      </c>
      <c r="BJ7" s="71">
        <f t="shared" ca="1" si="120"/>
        <v>8.2227481915881242</v>
      </c>
      <c r="BK7" s="71">
        <f t="shared" ca="1" si="121"/>
        <v>4.4758876754211645</v>
      </c>
      <c r="BL7" s="71">
        <f t="shared" ca="1" si="122"/>
        <v>4.5409125705347639</v>
      </c>
      <c r="BM7" s="71">
        <f t="shared" ca="1" si="123"/>
        <v>3.2024008648412785</v>
      </c>
      <c r="BN7" s="71">
        <f t="shared" ca="1" si="124"/>
        <v>0.27061423909810811</v>
      </c>
      <c r="BO7" s="71">
        <f t="shared" ca="1" si="125"/>
        <v>3.0517415968780663</v>
      </c>
      <c r="BP7" s="71">
        <f t="shared" ca="1" si="126"/>
        <v>1.152880158820603</v>
      </c>
      <c r="BQ7" s="71">
        <f t="shared" ca="1" si="127"/>
        <v>3.6351137375671998</v>
      </c>
      <c r="BR7" s="71">
        <f t="shared" ca="1" si="128"/>
        <v>4.6924982976955194</v>
      </c>
      <c r="BS7" s="71">
        <f t="shared" ca="1" si="129"/>
        <v>0.70255619765854993</v>
      </c>
      <c r="BT7" s="71">
        <f t="shared" ca="1" si="130"/>
        <v>4.8149700750742825</v>
      </c>
      <c r="BU7" s="71">
        <f t="shared" ca="1" si="131"/>
        <v>4.1368052757680456</v>
      </c>
      <c r="BV7" s="71">
        <f t="shared" ca="1" si="132"/>
        <v>5.422874592108446</v>
      </c>
      <c r="BW7" s="71">
        <f t="shared" ca="1" si="133"/>
        <v>4.0381649407827647</v>
      </c>
      <c r="BX7" s="71">
        <f t="shared" ca="1" si="134"/>
        <v>0.62969851790136688</v>
      </c>
      <c r="BY7" s="71">
        <f t="shared" ca="1" si="135"/>
        <v>4.8149700750742825</v>
      </c>
      <c r="BZ7" s="71">
        <f t="shared" ca="1" si="136"/>
        <v>4.1368052757680456</v>
      </c>
      <c r="CA7" s="71">
        <f t="shared" ca="1" si="137"/>
        <v>7.520513994770174</v>
      </c>
      <c r="CB7" s="71">
        <f t="shared" ca="1" si="138"/>
        <v>3.2536873844770531</v>
      </c>
      <c r="CC7" s="71">
        <f t="shared" ca="1" si="139"/>
        <v>0.77020975743307685</v>
      </c>
      <c r="CD7" s="71">
        <f t="shared" ca="1" si="140"/>
        <v>4.838872712958306</v>
      </c>
      <c r="CE7" s="71">
        <f t="shared" ca="1" si="141"/>
        <v>3.0371798442970701</v>
      </c>
      <c r="CF7" s="71">
        <f t="shared" ca="1" si="142"/>
        <v>8.6776724338039042</v>
      </c>
      <c r="CG7" s="71">
        <f t="shared" ca="1" si="143"/>
        <v>3.0371798442970701</v>
      </c>
      <c r="CH7" s="71">
        <f t="shared" ca="1" si="144"/>
        <v>4.0568334158613073</v>
      </c>
      <c r="CI7" s="71">
        <f t="shared" ca="1" si="145"/>
        <v>11.957773589589294</v>
      </c>
      <c r="CJ7" s="71">
        <f t="shared" ca="1" si="146"/>
        <v>4.0568334158613073</v>
      </c>
      <c r="CK7" s="71">
        <f t="shared" ca="1" si="147"/>
        <v>2.9796014242354096</v>
      </c>
    </row>
    <row r="8" spans="1:89" x14ac:dyDescent="0.25">
      <c r="A8" t="str">
        <f>PLANTILLA!D8</f>
        <v>A. Grimaud</v>
      </c>
      <c r="B8" s="448">
        <f>PLANTILLA!E8</f>
        <v>27</v>
      </c>
      <c r="C8" s="95">
        <f ca="1">PLANTILLA!F8</f>
        <v>61</v>
      </c>
      <c r="D8" s="448" t="str">
        <f>PLANTILLA!G8</f>
        <v>RAP</v>
      </c>
      <c r="E8" s="203">
        <f>PLANTILLA!O8</f>
        <v>43739</v>
      </c>
      <c r="F8" s="95">
        <f>PLANTILLA!Q8</f>
        <v>5</v>
      </c>
      <c r="G8" s="115">
        <f t="shared" si="74"/>
        <v>0.84515425472851657</v>
      </c>
      <c r="H8" s="115">
        <f t="shared" si="75"/>
        <v>0.92504826128926143</v>
      </c>
      <c r="I8" s="150">
        <f ca="1">PLANTILLA!P8</f>
        <v>1</v>
      </c>
      <c r="J8" s="151">
        <f>PLANTILLA!I8</f>
        <v>8</v>
      </c>
      <c r="K8" s="48">
        <f>PLANTILLA!X8</f>
        <v>0</v>
      </c>
      <c r="L8" s="48">
        <f>PLANTILLA!Y8</f>
        <v>14.85</v>
      </c>
      <c r="M8" s="48">
        <f>PLANTILLA!Z8</f>
        <v>9.875</v>
      </c>
      <c r="N8" s="48">
        <f>PLANTILLA!AA8</f>
        <v>3</v>
      </c>
      <c r="O8" s="48">
        <f>PLANTILLA!AB8</f>
        <v>3</v>
      </c>
      <c r="P8" s="48">
        <f>PLANTILLA!AC8</f>
        <v>7.1428571428571432</v>
      </c>
      <c r="Q8" s="48">
        <f>PLANTILLA!AD8</f>
        <v>18.2</v>
      </c>
      <c r="R8" s="151">
        <f t="shared" si="76"/>
        <v>2.9812500000000002</v>
      </c>
      <c r="S8" s="151">
        <f t="shared" ca="1" si="77"/>
        <v>19.138248018812448</v>
      </c>
      <c r="T8" s="48">
        <f t="shared" si="78"/>
        <v>0.90314285714285725</v>
      </c>
      <c r="U8" s="48">
        <f t="shared" si="79"/>
        <v>1.1400000000000001</v>
      </c>
      <c r="V8" s="151">
        <f t="shared" ca="1" si="80"/>
        <v>17.244628817332799</v>
      </c>
      <c r="W8" s="151">
        <f t="shared" ca="1" si="81"/>
        <v>18.874795713093338</v>
      </c>
      <c r="X8" s="71">
        <f t="shared" ca="1" si="82"/>
        <v>6.0227967448586224</v>
      </c>
      <c r="Y8" s="71">
        <f t="shared" ca="1" si="83"/>
        <v>9.1567688976087975</v>
      </c>
      <c r="Z8" s="71">
        <f t="shared" ca="1" si="84"/>
        <v>6.0227967448586224</v>
      </c>
      <c r="AA8" s="71">
        <f t="shared" ca="1" si="85"/>
        <v>8.7999259110504564</v>
      </c>
      <c r="AB8" s="71">
        <f t="shared" ca="1" si="86"/>
        <v>17.054119982655923</v>
      </c>
      <c r="AC8" s="71">
        <f t="shared" ca="1" si="87"/>
        <v>4.3999629555252282</v>
      </c>
      <c r="AD8" s="71">
        <f t="shared" ca="1" si="88"/>
        <v>2.8748305558721099</v>
      </c>
      <c r="AE8" s="71">
        <f t="shared" ca="1" si="89"/>
        <v>6.4464573534439387</v>
      </c>
      <c r="AF8" s="71">
        <f t="shared" ca="1" si="90"/>
        <v>12.330128747460233</v>
      </c>
      <c r="AG8" s="71">
        <f t="shared" ca="1" si="91"/>
        <v>3.2232286767219693</v>
      </c>
      <c r="AH8" s="71">
        <f t="shared" ca="1" si="92"/>
        <v>4.6504611933225313</v>
      </c>
      <c r="AI8" s="71">
        <f t="shared" ca="1" si="93"/>
        <v>15.68979038404345</v>
      </c>
      <c r="AJ8" s="71">
        <f t="shared" ca="1" si="94"/>
        <v>7.0604056728195514</v>
      </c>
      <c r="AK8" s="71">
        <f t="shared" ca="1" si="95"/>
        <v>2.0172130371035397</v>
      </c>
      <c r="AL8" s="71">
        <f t="shared" ca="1" si="96"/>
        <v>3.0600225498016838</v>
      </c>
      <c r="AM8" s="71">
        <f t="shared" ca="1" si="97"/>
        <v>12.858806466922566</v>
      </c>
      <c r="AN8" s="71">
        <f t="shared" ca="1" si="98"/>
        <v>12.074316947720392</v>
      </c>
      <c r="AO8" s="71">
        <f t="shared" ca="1" si="99"/>
        <v>3.4074880371035396</v>
      </c>
      <c r="AP8" s="71">
        <f t="shared" ca="1" si="100"/>
        <v>1.4933865550049064</v>
      </c>
      <c r="AQ8" s="71">
        <f t="shared" ca="1" si="101"/>
        <v>4.6046123953170994</v>
      </c>
      <c r="AR8" s="71">
        <f t="shared" ca="1" si="102"/>
        <v>10.130147269697618</v>
      </c>
      <c r="AS8" s="71">
        <f t="shared" ca="1" si="103"/>
        <v>2.3023061976585497</v>
      </c>
      <c r="AT8" s="71">
        <f t="shared" ca="1" si="104"/>
        <v>11.402689263627193</v>
      </c>
      <c r="AU8" s="71">
        <f t="shared" ca="1" si="105"/>
        <v>0.67653559774527028</v>
      </c>
      <c r="AV8" s="71">
        <f t="shared" ca="1" si="106"/>
        <v>2.2415214406324715</v>
      </c>
      <c r="AW8" s="71">
        <f t="shared" ca="1" si="107"/>
        <v>0.33826779887263514</v>
      </c>
      <c r="AX8" s="71">
        <f t="shared" ca="1" si="108"/>
        <v>3.2232286767219693</v>
      </c>
      <c r="AY8" s="71">
        <f t="shared" ca="1" si="109"/>
        <v>6.8216479930623697</v>
      </c>
      <c r="AZ8" s="71">
        <f t="shared" ca="1" si="110"/>
        <v>1.6116143383609847</v>
      </c>
      <c r="BA8" s="71">
        <f t="shared" ca="1" si="111"/>
        <v>12.079119982655925</v>
      </c>
      <c r="BB8" s="71">
        <f t="shared" ca="1" si="112"/>
        <v>1.3166423556119491</v>
      </c>
      <c r="BC8" s="71">
        <f t="shared" ca="1" si="113"/>
        <v>3.7374701104434145</v>
      </c>
      <c r="BD8" s="71">
        <f t="shared" ca="1" si="114"/>
        <v>0.65832117780597454</v>
      </c>
      <c r="BE8" s="71">
        <f t="shared" ca="1" si="115"/>
        <v>4.962748914952873</v>
      </c>
      <c r="BF8" s="71">
        <f t="shared" ca="1" si="116"/>
        <v>5.934833753964261</v>
      </c>
      <c r="BG8" s="71">
        <f t="shared" ca="1" si="117"/>
        <v>10.641704704719871</v>
      </c>
      <c r="BH8" s="71">
        <f t="shared" ca="1" si="118"/>
        <v>4.6264626645811173</v>
      </c>
      <c r="BI8" s="71">
        <f t="shared" ca="1" si="119"/>
        <v>1.254192915820078</v>
      </c>
      <c r="BJ8" s="71">
        <f t="shared" ca="1" si="120"/>
        <v>8.2712481915881231</v>
      </c>
      <c r="BK8" s="71">
        <f t="shared" ca="1" si="121"/>
        <v>4.5022876754211643</v>
      </c>
      <c r="BL8" s="71">
        <f t="shared" ca="1" si="122"/>
        <v>4.6021447133919073</v>
      </c>
      <c r="BM8" s="71">
        <f t="shared" ca="1" si="123"/>
        <v>4.5484008648412786</v>
      </c>
      <c r="BN8" s="71">
        <f t="shared" ca="1" si="124"/>
        <v>0.27061423909810811</v>
      </c>
      <c r="BO8" s="71">
        <f t="shared" ca="1" si="125"/>
        <v>3.0697415968780661</v>
      </c>
      <c r="BP8" s="71">
        <f t="shared" ca="1" si="126"/>
        <v>1.1596801588206029</v>
      </c>
      <c r="BQ8" s="71">
        <f t="shared" ca="1" si="127"/>
        <v>3.684131594710057</v>
      </c>
      <c r="BR8" s="71">
        <f t="shared" ca="1" si="128"/>
        <v>6.6924982976955194</v>
      </c>
      <c r="BS8" s="71">
        <f t="shared" ca="1" si="129"/>
        <v>0.70255619765854993</v>
      </c>
      <c r="BT8" s="71">
        <f t="shared" ca="1" si="130"/>
        <v>4.8433700750742821</v>
      </c>
      <c r="BU8" s="71">
        <f t="shared" ca="1" si="131"/>
        <v>4.1612052757680447</v>
      </c>
      <c r="BV8" s="71">
        <f t="shared" ca="1" si="132"/>
        <v>5.4959995921084461</v>
      </c>
      <c r="BW8" s="71">
        <f t="shared" ca="1" si="133"/>
        <v>5.7661649407827644</v>
      </c>
      <c r="BX8" s="71">
        <f t="shared" ca="1" si="134"/>
        <v>0.62969851790136688</v>
      </c>
      <c r="BY8" s="71">
        <f t="shared" ca="1" si="135"/>
        <v>4.8433700750742821</v>
      </c>
      <c r="BZ8" s="71">
        <f t="shared" ca="1" si="136"/>
        <v>4.1612052757680447</v>
      </c>
      <c r="CA8" s="71">
        <f t="shared" ca="1" si="137"/>
        <v>7.6219247090558886</v>
      </c>
      <c r="CB8" s="71">
        <f t="shared" ca="1" si="138"/>
        <v>4.657687384477053</v>
      </c>
      <c r="CC8" s="71">
        <f t="shared" ca="1" si="139"/>
        <v>0.77020975743307685</v>
      </c>
      <c r="CD8" s="71">
        <f t="shared" ca="1" si="140"/>
        <v>4.9041227129583058</v>
      </c>
      <c r="CE8" s="71">
        <f t="shared" ca="1" si="141"/>
        <v>3.2374893681065937</v>
      </c>
      <c r="CF8" s="71">
        <f t="shared" ca="1" si="142"/>
        <v>8.2751248147562855</v>
      </c>
      <c r="CG8" s="71">
        <f t="shared" ca="1" si="143"/>
        <v>3.2374893681065937</v>
      </c>
      <c r="CH8" s="71">
        <f t="shared" ca="1" si="144"/>
        <v>4.3193096063374981</v>
      </c>
      <c r="CI8" s="71">
        <f t="shared" ca="1" si="145"/>
        <v>11.267297399113104</v>
      </c>
      <c r="CJ8" s="71">
        <f t="shared" ca="1" si="146"/>
        <v>4.3193096063374981</v>
      </c>
      <c r="CK8" s="71">
        <f t="shared" ca="1" si="147"/>
        <v>3.0197799956639813</v>
      </c>
    </row>
    <row r="9" spans="1:89" x14ac:dyDescent="0.25">
      <c r="A9" t="str">
        <f>PLANTILLA!D9</f>
        <v>E. Deus</v>
      </c>
      <c r="B9" s="448">
        <f>PLANTILLA!E9</f>
        <v>27</v>
      </c>
      <c r="C9" s="95">
        <f ca="1">PLANTILLA!F9</f>
        <v>89</v>
      </c>
      <c r="D9" s="448" t="str">
        <f>PLANTILLA!G9</f>
        <v>IMP</v>
      </c>
      <c r="E9" s="203">
        <f>PLANTILLA!O9</f>
        <v>43898</v>
      </c>
      <c r="F9" s="95">
        <f>PLANTILLA!Q9</f>
        <v>7</v>
      </c>
      <c r="G9" s="115">
        <f t="shared" si="74"/>
        <v>1</v>
      </c>
      <c r="H9" s="115">
        <f t="shared" si="75"/>
        <v>1</v>
      </c>
      <c r="I9" s="150">
        <f ca="1">PLANTILLA!P9</f>
        <v>1</v>
      </c>
      <c r="J9" s="151">
        <f>PLANTILLA!I9</f>
        <v>7</v>
      </c>
      <c r="K9" s="48">
        <f>PLANTILLA!X9</f>
        <v>0</v>
      </c>
      <c r="L9" s="48">
        <f>PLANTILLA!Y9</f>
        <v>14</v>
      </c>
      <c r="M9" s="48">
        <f>PLANTILLA!Z9</f>
        <v>9.125</v>
      </c>
      <c r="N9" s="48">
        <f>PLANTILLA!AA9</f>
        <v>1</v>
      </c>
      <c r="O9" s="48">
        <f>PLANTILLA!AB9</f>
        <v>6</v>
      </c>
      <c r="P9" s="48">
        <f>PLANTILLA!AC9</f>
        <v>6.4</v>
      </c>
      <c r="Q9" s="48">
        <f>PLANTILLA!AD9</f>
        <v>19.2</v>
      </c>
      <c r="R9" s="151">
        <f t="shared" si="76"/>
        <v>3.625</v>
      </c>
      <c r="S9" s="151">
        <f t="shared" ca="1" si="77"/>
        <v>18.284222224575345</v>
      </c>
      <c r="T9" s="48">
        <f t="shared" si="78"/>
        <v>0.89600000000000013</v>
      </c>
      <c r="U9" s="48">
        <f t="shared" si="79"/>
        <v>1.1359999999999999</v>
      </c>
      <c r="V9" s="151">
        <f t="shared" ca="1" si="80"/>
        <v>21.326797386685676</v>
      </c>
      <c r="W9" s="151">
        <f t="shared" ca="1" si="81"/>
        <v>21.326797386685676</v>
      </c>
      <c r="X9" s="71">
        <f t="shared" ca="1" si="82"/>
        <v>5.7206941185765956</v>
      </c>
      <c r="Y9" s="71">
        <f t="shared" ca="1" si="83"/>
        <v>8.6956954262112074</v>
      </c>
      <c r="Z9" s="71">
        <f t="shared" ca="1" si="84"/>
        <v>5.7206941185765956</v>
      </c>
      <c r="AA9" s="71">
        <f t="shared" ca="1" si="85"/>
        <v>8.321427451529809</v>
      </c>
      <c r="AB9" s="71">
        <f t="shared" ca="1" si="86"/>
        <v>16.126797386685677</v>
      </c>
      <c r="AC9" s="71">
        <f t="shared" ca="1" si="87"/>
        <v>4.1607137257649045</v>
      </c>
      <c r="AD9" s="71">
        <f t="shared" ca="1" si="88"/>
        <v>2.6779277780311905</v>
      </c>
      <c r="AE9" s="71">
        <f t="shared" ca="1" si="89"/>
        <v>6.0959294121671856</v>
      </c>
      <c r="AF9" s="71">
        <f t="shared" ca="1" si="90"/>
        <v>11.659674510573744</v>
      </c>
      <c r="AG9" s="71">
        <f t="shared" ca="1" si="91"/>
        <v>3.0479647060835928</v>
      </c>
      <c r="AH9" s="71">
        <f t="shared" ca="1" si="92"/>
        <v>4.3319419938739854</v>
      </c>
      <c r="AI9" s="71">
        <f t="shared" ca="1" si="93"/>
        <v>14.836653595750823</v>
      </c>
      <c r="AJ9" s="71">
        <f t="shared" ca="1" si="94"/>
        <v>6.6764941180878701</v>
      </c>
      <c r="AK9" s="71">
        <f t="shared" ca="1" si="95"/>
        <v>1.8790501635765078</v>
      </c>
      <c r="AL9" s="71">
        <f t="shared" ca="1" si="96"/>
        <v>1.8385568633711773</v>
      </c>
      <c r="AM9" s="71">
        <f t="shared" ca="1" si="97"/>
        <v>12.159605229561</v>
      </c>
      <c r="AN9" s="71">
        <f t="shared" ca="1" si="98"/>
        <v>11.417772549773458</v>
      </c>
      <c r="AO9" s="71">
        <f t="shared" ca="1" si="99"/>
        <v>3.5615751635765083</v>
      </c>
      <c r="AP9" s="71">
        <f t="shared" ca="1" si="100"/>
        <v>1.6565176473654744</v>
      </c>
      <c r="AQ9" s="71">
        <f t="shared" ca="1" si="101"/>
        <v>4.3542352944051332</v>
      </c>
      <c r="AR9" s="71">
        <f t="shared" ca="1" si="102"/>
        <v>9.5793176476912922</v>
      </c>
      <c r="AS9" s="71">
        <f t="shared" ca="1" si="103"/>
        <v>2.1771176472025666</v>
      </c>
      <c r="AT9" s="71">
        <f t="shared" ca="1" si="104"/>
        <v>10.621696733031277</v>
      </c>
      <c r="AU9" s="71">
        <f t="shared" ca="1" si="105"/>
        <v>1.0564836602691379</v>
      </c>
      <c r="AV9" s="71">
        <f t="shared" ca="1" si="106"/>
        <v>2.4503516342989027</v>
      </c>
      <c r="AW9" s="71">
        <f t="shared" ca="1" si="107"/>
        <v>0.52824183013456893</v>
      </c>
      <c r="AX9" s="71">
        <f t="shared" ca="1" si="108"/>
        <v>3.0479647060835928</v>
      </c>
      <c r="AY9" s="71">
        <f t="shared" ca="1" si="109"/>
        <v>6.4507189546742714</v>
      </c>
      <c r="AZ9" s="71">
        <f t="shared" ca="1" si="110"/>
        <v>1.5239823530417964</v>
      </c>
      <c r="BA9" s="71">
        <f t="shared" ca="1" si="111"/>
        <v>11.251797386685675</v>
      </c>
      <c r="BB9" s="71">
        <f t="shared" ca="1" si="112"/>
        <v>2.056079738831476</v>
      </c>
      <c r="BC9" s="71">
        <f t="shared" ca="1" si="113"/>
        <v>4.5618653600638073</v>
      </c>
      <c r="BD9" s="71">
        <f t="shared" ca="1" si="114"/>
        <v>1.028039869415738</v>
      </c>
      <c r="BE9" s="71">
        <f t="shared" ca="1" si="115"/>
        <v>4.6928980395255318</v>
      </c>
      <c r="BF9" s="71">
        <f t="shared" ca="1" si="116"/>
        <v>5.6121254905666156</v>
      </c>
      <c r="BG9" s="71">
        <f t="shared" ca="1" si="117"/>
        <v>9.9128334976700803</v>
      </c>
      <c r="BH9" s="71">
        <f t="shared" ca="1" si="118"/>
        <v>4.3547228767635655</v>
      </c>
      <c r="BI9" s="71">
        <f t="shared" ca="1" si="119"/>
        <v>1.9585581701912478</v>
      </c>
      <c r="BJ9" s="71">
        <f t="shared" ca="1" si="120"/>
        <v>7.8214967325425535</v>
      </c>
      <c r="BK9" s="71">
        <f t="shared" ca="1" si="121"/>
        <v>4.2574745100850189</v>
      </c>
      <c r="BL9" s="71">
        <f t="shared" ca="1" si="122"/>
        <v>4.2869348043272426</v>
      </c>
      <c r="BM9" s="71">
        <f t="shared" ca="1" si="123"/>
        <v>3.7378209159632805</v>
      </c>
      <c r="BN9" s="71">
        <f t="shared" ca="1" si="124"/>
        <v>0.42259346410765508</v>
      </c>
      <c r="BO9" s="71">
        <f t="shared" ca="1" si="125"/>
        <v>2.9028235296034217</v>
      </c>
      <c r="BP9" s="71">
        <f t="shared" ca="1" si="126"/>
        <v>1.096622222294626</v>
      </c>
      <c r="BQ9" s="71">
        <f t="shared" ca="1" si="127"/>
        <v>3.431798202939131</v>
      </c>
      <c r="BR9" s="71">
        <f t="shared" ca="1" si="128"/>
        <v>5.4510614392777788</v>
      </c>
      <c r="BS9" s="71">
        <f t="shared" ca="1" si="129"/>
        <v>1.0971176472025663</v>
      </c>
      <c r="BT9" s="71">
        <f t="shared" ca="1" si="130"/>
        <v>4.580010457818732</v>
      </c>
      <c r="BU9" s="71">
        <f t="shared" ca="1" si="131"/>
        <v>3.9349385623513049</v>
      </c>
      <c r="BV9" s="71">
        <f t="shared" ca="1" si="132"/>
        <v>5.1195678109419829</v>
      </c>
      <c r="BW9" s="71">
        <f t="shared" ca="1" si="133"/>
        <v>4.6844915044477284</v>
      </c>
      <c r="BX9" s="71">
        <f t="shared" ca="1" si="134"/>
        <v>0.98334248378896671</v>
      </c>
      <c r="BY9" s="71">
        <f t="shared" ca="1" si="135"/>
        <v>4.580010457818732</v>
      </c>
      <c r="BZ9" s="71">
        <f t="shared" ca="1" si="136"/>
        <v>3.9349385623513049</v>
      </c>
      <c r="CA9" s="71">
        <f t="shared" ca="1" si="137"/>
        <v>7.099884150998661</v>
      </c>
      <c r="CB9" s="71">
        <f t="shared" ca="1" si="138"/>
        <v>3.7634836610836797</v>
      </c>
      <c r="CC9" s="71">
        <f t="shared" ca="1" si="139"/>
        <v>1.20276601322948</v>
      </c>
      <c r="CD9" s="71">
        <f t="shared" ca="1" si="140"/>
        <v>4.5682297389943844</v>
      </c>
      <c r="CE9" s="71">
        <f t="shared" ca="1" si="141"/>
        <v>3.5648614384632369</v>
      </c>
      <c r="CF9" s="71">
        <f t="shared" ca="1" si="142"/>
        <v>9.3839738574080691</v>
      </c>
      <c r="CG9" s="71">
        <f t="shared" ca="1" si="143"/>
        <v>3.5648614384632369</v>
      </c>
      <c r="CH9" s="71">
        <f t="shared" ca="1" si="144"/>
        <v>4.0619947719051765</v>
      </c>
      <c r="CI9" s="71">
        <f t="shared" ca="1" si="145"/>
        <v>11.52558562237269</v>
      </c>
      <c r="CJ9" s="71">
        <f t="shared" ca="1" si="146"/>
        <v>4.0619947719051765</v>
      </c>
      <c r="CK9" s="71">
        <f t="shared" ca="1" si="147"/>
        <v>2.8129493466714188</v>
      </c>
    </row>
    <row r="10" spans="1:89" x14ac:dyDescent="0.25">
      <c r="A10" t="str">
        <f>PLANTILLA!D15</f>
        <v>M.A. Balbinot</v>
      </c>
      <c r="B10" s="448">
        <f>PLANTILLA!E15</f>
        <v>32</v>
      </c>
      <c r="C10" s="95">
        <f ca="1">PLANTILLA!F15</f>
        <v>27</v>
      </c>
      <c r="D10" s="448" t="str">
        <f>PLANTILLA!G15</f>
        <v>RAP</v>
      </c>
      <c r="E10" s="203">
        <f>PLANTILLA!O15</f>
        <v>44307</v>
      </c>
      <c r="F10" s="95">
        <f>PLANTILLA!Q15</f>
        <v>6</v>
      </c>
      <c r="G10" s="115">
        <f t="shared" si="74"/>
        <v>0.92582009977255142</v>
      </c>
      <c r="H10" s="115">
        <f t="shared" si="75"/>
        <v>0.99928545900129484</v>
      </c>
      <c r="I10" s="150">
        <f ca="1">PLANTILLA!P15</f>
        <v>1</v>
      </c>
      <c r="J10" s="151">
        <f>PLANTILLA!I15</f>
        <v>11</v>
      </c>
      <c r="K10" s="48">
        <f>PLANTILLA!X15</f>
        <v>0</v>
      </c>
      <c r="L10" s="48">
        <f>PLANTILLA!Y15</f>
        <v>9.375</v>
      </c>
      <c r="M10" s="48">
        <f>PLANTILLA!Z15</f>
        <v>14</v>
      </c>
      <c r="N10" s="48">
        <f>PLANTILLA!AA15</f>
        <v>7</v>
      </c>
      <c r="O10" s="48">
        <f>PLANTILLA!AB15</f>
        <v>7.95</v>
      </c>
      <c r="P10" s="48">
        <f>PLANTILLA!AC15</f>
        <v>9.0625</v>
      </c>
      <c r="Q10" s="48">
        <f>PLANTILLA!AD15</f>
        <v>16</v>
      </c>
      <c r="R10" s="151">
        <f t="shared" si="76"/>
        <v>3.5343749999999998</v>
      </c>
      <c r="S10" s="151">
        <f t="shared" ca="1" si="77"/>
        <v>21.522387112266237</v>
      </c>
      <c r="T10" s="48">
        <f t="shared" si="78"/>
        <v>0.93312500000000009</v>
      </c>
      <c r="U10" s="48">
        <f t="shared" si="79"/>
        <v>0.85500000000000009</v>
      </c>
      <c r="V10" s="151">
        <f t="shared" ca="1" si="80"/>
        <v>17.024464735700832</v>
      </c>
      <c r="W10" s="151">
        <f t="shared" ca="1" si="81"/>
        <v>18.375384226207252</v>
      </c>
      <c r="X10" s="71">
        <f t="shared" ca="1" si="82"/>
        <v>4.6726810855241743</v>
      </c>
      <c r="Y10" s="71">
        <f t="shared" ca="1" si="83"/>
        <v>7.0679589420523588</v>
      </c>
      <c r="Z10" s="71">
        <f t="shared" ca="1" si="84"/>
        <v>4.6726810855241743</v>
      </c>
      <c r="AA10" s="71">
        <f t="shared" ca="1" si="85"/>
        <v>6.0699781673888591</v>
      </c>
      <c r="AB10" s="71">
        <f t="shared" ca="1" si="86"/>
        <v>11.763523580210967</v>
      </c>
      <c r="AC10" s="71">
        <f t="shared" ca="1" si="87"/>
        <v>3.0349890836944295</v>
      </c>
      <c r="AD10" s="71">
        <f t="shared" ca="1" si="88"/>
        <v>3.9004686120902101</v>
      </c>
      <c r="AE10" s="71">
        <f t="shared" ca="1" si="89"/>
        <v>4.446611913319745</v>
      </c>
      <c r="AF10" s="71">
        <f t="shared" ca="1" si="90"/>
        <v>8.505027548492528</v>
      </c>
      <c r="AG10" s="71">
        <f t="shared" ca="1" si="91"/>
        <v>2.2233059566598725</v>
      </c>
      <c r="AH10" s="71">
        <f t="shared" ca="1" si="92"/>
        <v>6.3095815783812226</v>
      </c>
      <c r="AI10" s="71">
        <f t="shared" ca="1" si="93"/>
        <v>10.82244169379409</v>
      </c>
      <c r="AJ10" s="71">
        <f t="shared" ca="1" si="94"/>
        <v>4.8700987622073395</v>
      </c>
      <c r="AK10" s="71">
        <f t="shared" ca="1" si="95"/>
        <v>2.7368834378952318</v>
      </c>
      <c r="AL10" s="71">
        <f t="shared" ca="1" si="96"/>
        <v>5.5204518651640484</v>
      </c>
      <c r="AM10" s="71">
        <f t="shared" ca="1" si="97"/>
        <v>8.8696967794790691</v>
      </c>
      <c r="AN10" s="71">
        <f t="shared" ca="1" si="98"/>
        <v>8.3285746947893635</v>
      </c>
      <c r="AO10" s="71">
        <f t="shared" ca="1" si="99"/>
        <v>3.0708834378952319</v>
      </c>
      <c r="AP10" s="71">
        <f t="shared" ca="1" si="100"/>
        <v>1.7057947911007583</v>
      </c>
      <c r="AQ10" s="71">
        <f t="shared" ca="1" si="101"/>
        <v>3.1761513666569612</v>
      </c>
      <c r="AR10" s="71">
        <f t="shared" ca="1" si="102"/>
        <v>6.9875330066453136</v>
      </c>
      <c r="AS10" s="71">
        <f t="shared" ca="1" si="103"/>
        <v>1.5880756833284806</v>
      </c>
      <c r="AT10" s="71">
        <f t="shared" ca="1" si="104"/>
        <v>15.470766259719154</v>
      </c>
      <c r="AU10" s="71">
        <f t="shared" ca="1" si="105"/>
        <v>1.3440080654274256</v>
      </c>
      <c r="AV10" s="71">
        <f t="shared" ca="1" si="106"/>
        <v>3.2216499090018127</v>
      </c>
      <c r="AW10" s="71">
        <f t="shared" ca="1" si="107"/>
        <v>0.67200403271371278</v>
      </c>
      <c r="AX10" s="71">
        <f t="shared" ca="1" si="108"/>
        <v>2.2233059566598725</v>
      </c>
      <c r="AY10" s="71">
        <f t="shared" ca="1" si="109"/>
        <v>4.7054094320843864</v>
      </c>
      <c r="AZ10" s="71">
        <f t="shared" ca="1" si="110"/>
        <v>1.1116529783299363</v>
      </c>
      <c r="BA10" s="71">
        <f t="shared" ca="1" si="111"/>
        <v>16.388523580210968</v>
      </c>
      <c r="BB10" s="71">
        <f t="shared" ca="1" si="112"/>
        <v>2.6156464657933745</v>
      </c>
      <c r="BC10" s="71">
        <f t="shared" ca="1" si="113"/>
        <v>5.9301514926962424</v>
      </c>
      <c r="BD10" s="71">
        <f t="shared" ca="1" si="114"/>
        <v>1.3078232328966872</v>
      </c>
      <c r="BE10" s="71">
        <f t="shared" ca="1" si="115"/>
        <v>3.4231853618413912</v>
      </c>
      <c r="BF10" s="71">
        <f t="shared" ca="1" si="116"/>
        <v>4.0937062059134162</v>
      </c>
      <c r="BG10" s="71">
        <f t="shared" ca="1" si="117"/>
        <v>14.438289274165863</v>
      </c>
      <c r="BH10" s="71">
        <f t="shared" ca="1" si="118"/>
        <v>8.645647462807549</v>
      </c>
      <c r="BI10" s="71">
        <f t="shared" ca="1" si="119"/>
        <v>2.4915841828308425</v>
      </c>
      <c r="BJ10" s="71">
        <f t="shared" ca="1" si="120"/>
        <v>5.7053089364023188</v>
      </c>
      <c r="BK10" s="71">
        <f t="shared" ca="1" si="121"/>
        <v>3.1055702251756951</v>
      </c>
      <c r="BL10" s="71">
        <f t="shared" ca="1" si="122"/>
        <v>6.2440274840603793</v>
      </c>
      <c r="BM10" s="71">
        <f t="shared" ca="1" si="123"/>
        <v>8.3965196091043843</v>
      </c>
      <c r="BN10" s="71">
        <f t="shared" ca="1" si="124"/>
        <v>0.53760322617097023</v>
      </c>
      <c r="BO10" s="71">
        <f t="shared" ca="1" si="125"/>
        <v>2.1174342444379741</v>
      </c>
      <c r="BP10" s="71">
        <f t="shared" ca="1" si="126"/>
        <v>0.79991960345434576</v>
      </c>
      <c r="BQ10" s="71">
        <f t="shared" ca="1" si="127"/>
        <v>4.9984996919643452</v>
      </c>
      <c r="BR10" s="71">
        <f t="shared" ca="1" si="128"/>
        <v>12.345341324151303</v>
      </c>
      <c r="BS10" s="71">
        <f t="shared" ca="1" si="129"/>
        <v>1.3957006833284804</v>
      </c>
      <c r="BT10" s="71">
        <f t="shared" ca="1" si="130"/>
        <v>3.3408406967799142</v>
      </c>
      <c r="BU10" s="71">
        <f t="shared" ca="1" si="131"/>
        <v>2.8702997535714756</v>
      </c>
      <c r="BV10" s="71">
        <f t="shared" ca="1" si="132"/>
        <v>7.456778228995991</v>
      </c>
      <c r="BW10" s="71">
        <f t="shared" ca="1" si="133"/>
        <v>10.63428412687375</v>
      </c>
      <c r="BX10" s="71">
        <f t="shared" ca="1" si="134"/>
        <v>1.2509613532055268</v>
      </c>
      <c r="BY10" s="71">
        <f t="shared" ca="1" si="135"/>
        <v>3.3408406967799142</v>
      </c>
      <c r="BZ10" s="71">
        <f t="shared" ca="1" si="136"/>
        <v>2.8702997535714756</v>
      </c>
      <c r="CA10" s="71">
        <f t="shared" ca="1" si="137"/>
        <v>10.341158379113121</v>
      </c>
      <c r="CB10" s="71">
        <f t="shared" ca="1" si="138"/>
        <v>8.5860786042888151</v>
      </c>
      <c r="CC10" s="71">
        <f t="shared" ca="1" si="139"/>
        <v>1.5301014898712229</v>
      </c>
      <c r="CD10" s="71">
        <f t="shared" ca="1" si="140"/>
        <v>6.6537405735656536</v>
      </c>
      <c r="CE10" s="71">
        <f t="shared" ca="1" si="141"/>
        <v>5.3908582852899132</v>
      </c>
      <c r="CF10" s="71">
        <f t="shared" ca="1" si="142"/>
        <v>12.289765051317548</v>
      </c>
      <c r="CG10" s="71">
        <f t="shared" ca="1" si="143"/>
        <v>5.3908582852899132</v>
      </c>
      <c r="CH10" s="71">
        <f t="shared" ca="1" si="144"/>
        <v>6.5202001904714324</v>
      </c>
      <c r="CI10" s="71">
        <f t="shared" ca="1" si="145"/>
        <v>15.265938781308813</v>
      </c>
      <c r="CJ10" s="71">
        <f t="shared" ca="1" si="146"/>
        <v>6.5202001904714324</v>
      </c>
      <c r="CK10" s="71">
        <f t="shared" ca="1" si="147"/>
        <v>4.0971308950527421</v>
      </c>
    </row>
    <row r="11" spans="1:89" x14ac:dyDescent="0.25">
      <c r="A11" t="str">
        <f>PLANTILLA!D14</f>
        <v>P. Tuderek</v>
      </c>
      <c r="B11" s="448">
        <f>PLANTILLA!E14</f>
        <v>28</v>
      </c>
      <c r="C11" s="95">
        <f ca="1">PLANTILLA!F14</f>
        <v>39</v>
      </c>
      <c r="D11" s="448" t="str">
        <f>PLANTILLA!G14</f>
        <v>CAB</v>
      </c>
      <c r="E11" s="203">
        <f>PLANTILLA!O14</f>
        <v>43626</v>
      </c>
      <c r="F11" s="95">
        <f>PLANTILLA!Q14</f>
        <v>6</v>
      </c>
      <c r="G11" s="115">
        <f t="shared" si="74"/>
        <v>0.92582009977255142</v>
      </c>
      <c r="H11" s="115">
        <f t="shared" si="75"/>
        <v>0.99928545900129484</v>
      </c>
      <c r="I11" s="150">
        <f ca="1">PLANTILLA!P14</f>
        <v>1</v>
      </c>
      <c r="J11" s="151">
        <f>PLANTILLA!I14</f>
        <v>7</v>
      </c>
      <c r="K11" s="48">
        <f>PLANTILLA!X14</f>
        <v>0</v>
      </c>
      <c r="L11" s="48">
        <f>PLANTILLA!Y14</f>
        <v>11.153846153846153</v>
      </c>
      <c r="M11" s="48">
        <f>PLANTILLA!Z14</f>
        <v>14.166666666666666</v>
      </c>
      <c r="N11" s="48">
        <f>PLANTILLA!AA14</f>
        <v>2</v>
      </c>
      <c r="O11" s="48">
        <f>PLANTILLA!AB14</f>
        <v>3</v>
      </c>
      <c r="P11" s="48">
        <f>PLANTILLA!AC14</f>
        <v>8</v>
      </c>
      <c r="Q11" s="48">
        <f>PLANTILLA!AD14</f>
        <v>20.166666666666668</v>
      </c>
      <c r="R11" s="151">
        <f t="shared" si="76"/>
        <v>2.5192307692307692</v>
      </c>
      <c r="S11" s="151">
        <f t="shared" ca="1" si="77"/>
        <v>21.47188889124201</v>
      </c>
      <c r="T11" s="48">
        <f t="shared" si="78"/>
        <v>1.0050000000000001</v>
      </c>
      <c r="U11" s="48">
        <f t="shared" si="79"/>
        <v>1.0511538461538461</v>
      </c>
      <c r="V11" s="151">
        <f t="shared" ca="1" si="80"/>
        <v>20.639737114150456</v>
      </c>
      <c r="W11" s="151">
        <f t="shared" ca="1" si="81"/>
        <v>22.277534459283064</v>
      </c>
      <c r="X11" s="71">
        <f t="shared" ca="1" si="82"/>
        <v>4.9351556570381341</v>
      </c>
      <c r="Y11" s="71">
        <f t="shared" ca="1" si="83"/>
        <v>7.4860800415958222</v>
      </c>
      <c r="Z11" s="71">
        <f t="shared" ca="1" si="84"/>
        <v>4.9351556570381341</v>
      </c>
      <c r="AA11" s="71">
        <f t="shared" ca="1" si="85"/>
        <v>6.8528120669144235</v>
      </c>
      <c r="AB11" s="71">
        <f t="shared" ca="1" si="86"/>
        <v>13.280643540531829</v>
      </c>
      <c r="AC11" s="71">
        <f t="shared" ca="1" si="87"/>
        <v>3.4264060334572117</v>
      </c>
      <c r="AD11" s="71">
        <f t="shared" ca="1" si="88"/>
        <v>3.8778444446978573</v>
      </c>
      <c r="AE11" s="71">
        <f t="shared" ca="1" si="89"/>
        <v>5.0200832583210309</v>
      </c>
      <c r="AF11" s="71">
        <f t="shared" ca="1" si="90"/>
        <v>9.6019052798045124</v>
      </c>
      <c r="AG11" s="71">
        <f t="shared" ca="1" si="91"/>
        <v>2.5100416291605154</v>
      </c>
      <c r="AH11" s="71">
        <f t="shared" ca="1" si="92"/>
        <v>6.2729836605406515</v>
      </c>
      <c r="AI11" s="71">
        <f t="shared" ca="1" si="93"/>
        <v>12.218192057289283</v>
      </c>
      <c r="AJ11" s="71">
        <f t="shared" ca="1" si="94"/>
        <v>5.4981864257801769</v>
      </c>
      <c r="AK11" s="71">
        <f t="shared" ca="1" si="95"/>
        <v>2.7210084969098411</v>
      </c>
      <c r="AL11" s="71">
        <f t="shared" ca="1" si="96"/>
        <v>2.4265568633711769</v>
      </c>
      <c r="AM11" s="71">
        <f t="shared" ca="1" si="97"/>
        <v>10.013605229561</v>
      </c>
      <c r="AN11" s="71">
        <f t="shared" ca="1" si="98"/>
        <v>9.4026956266965342</v>
      </c>
      <c r="AO11" s="71">
        <f t="shared" ca="1" si="99"/>
        <v>3.7230084969098418</v>
      </c>
      <c r="AP11" s="71">
        <f t="shared" ca="1" si="100"/>
        <v>1.3380561089039362</v>
      </c>
      <c r="AQ11" s="71">
        <f t="shared" ca="1" si="101"/>
        <v>3.585773755943594</v>
      </c>
      <c r="AR11" s="71">
        <f t="shared" ca="1" si="102"/>
        <v>7.8887022630759054</v>
      </c>
      <c r="AS11" s="71">
        <f t="shared" ca="1" si="103"/>
        <v>1.792886877971797</v>
      </c>
      <c r="AT11" s="71">
        <f t="shared" ca="1" si="104"/>
        <v>15.381030066364609</v>
      </c>
      <c r="AU11" s="71">
        <f t="shared" ca="1" si="105"/>
        <v>0.66648366026913786</v>
      </c>
      <c r="AV11" s="71">
        <f t="shared" ca="1" si="106"/>
        <v>2.3671516342989025</v>
      </c>
      <c r="AW11" s="71">
        <f t="shared" ca="1" si="107"/>
        <v>0.33324183013456893</v>
      </c>
      <c r="AX11" s="71">
        <f t="shared" ca="1" si="108"/>
        <v>2.5100416291605154</v>
      </c>
      <c r="AY11" s="71">
        <f t="shared" ca="1" si="109"/>
        <v>5.3122574162127316</v>
      </c>
      <c r="AZ11" s="71">
        <f t="shared" ca="1" si="110"/>
        <v>1.2550208145802577</v>
      </c>
      <c r="BA11" s="71">
        <f t="shared" ca="1" si="111"/>
        <v>16.293464053352341</v>
      </c>
      <c r="BB11" s="71">
        <f t="shared" ca="1" si="112"/>
        <v>1.2970797388314759</v>
      </c>
      <c r="BC11" s="71">
        <f t="shared" ca="1" si="113"/>
        <v>3.874865360063807</v>
      </c>
      <c r="BD11" s="71">
        <f t="shared" ca="1" si="114"/>
        <v>0.64853986941573794</v>
      </c>
      <c r="BE11" s="71">
        <f t="shared" ca="1" si="115"/>
        <v>3.864667270294762</v>
      </c>
      <c r="BF11" s="71">
        <f t="shared" ca="1" si="116"/>
        <v>4.6216639521050764</v>
      </c>
      <c r="BG11" s="71">
        <f t="shared" ca="1" si="117"/>
        <v>14.354541831003413</v>
      </c>
      <c r="BH11" s="71">
        <f t="shared" ca="1" si="118"/>
        <v>3.9837228767635651</v>
      </c>
      <c r="BI11" s="71">
        <f t="shared" ca="1" si="119"/>
        <v>1.2355581701912477</v>
      </c>
      <c r="BJ11" s="71">
        <f t="shared" ca="1" si="120"/>
        <v>6.4411121171579371</v>
      </c>
      <c r="BK11" s="71">
        <f t="shared" ca="1" si="121"/>
        <v>3.5060898947004029</v>
      </c>
      <c r="BL11" s="71">
        <f t="shared" ca="1" si="122"/>
        <v>6.2078098043272423</v>
      </c>
      <c r="BM11" s="71">
        <f t="shared" ca="1" si="123"/>
        <v>3.8078209159632803</v>
      </c>
      <c r="BN11" s="71">
        <f t="shared" ca="1" si="124"/>
        <v>0.26659346410765511</v>
      </c>
      <c r="BO11" s="71">
        <f t="shared" ca="1" si="125"/>
        <v>2.3905158372957289</v>
      </c>
      <c r="BP11" s="71">
        <f t="shared" ca="1" si="126"/>
        <v>0.90308376075616437</v>
      </c>
      <c r="BQ11" s="71">
        <f t="shared" ca="1" si="127"/>
        <v>4.9695065362724637</v>
      </c>
      <c r="BR11" s="71">
        <f t="shared" ca="1" si="128"/>
        <v>5.5930614392777782</v>
      </c>
      <c r="BS11" s="71">
        <f t="shared" ca="1" si="129"/>
        <v>0.69211764720256619</v>
      </c>
      <c r="BT11" s="71">
        <f t="shared" ca="1" si="130"/>
        <v>3.7717027655110389</v>
      </c>
      <c r="BU11" s="71">
        <f t="shared" ca="1" si="131"/>
        <v>3.240477023889766</v>
      </c>
      <c r="BV11" s="71">
        <f t="shared" ca="1" si="132"/>
        <v>7.4135261442753153</v>
      </c>
      <c r="BW11" s="71">
        <f t="shared" ca="1" si="133"/>
        <v>4.8164915044477281</v>
      </c>
      <c r="BX11" s="71">
        <f t="shared" ca="1" si="134"/>
        <v>0.62034248378896673</v>
      </c>
      <c r="BY11" s="71">
        <f t="shared" ca="1" si="135"/>
        <v>3.7717027655110389</v>
      </c>
      <c r="BZ11" s="71">
        <f t="shared" ca="1" si="136"/>
        <v>3.240477023889766</v>
      </c>
      <c r="CA11" s="71">
        <f t="shared" ca="1" si="137"/>
        <v>10.281175817665327</v>
      </c>
      <c r="CB11" s="71">
        <f t="shared" ca="1" si="138"/>
        <v>3.886483661083679</v>
      </c>
      <c r="CC11" s="71">
        <f t="shared" ca="1" si="139"/>
        <v>0.7587660132294799</v>
      </c>
      <c r="CD11" s="71">
        <f t="shared" ca="1" si="140"/>
        <v>6.6151464056610507</v>
      </c>
      <c r="CE11" s="71">
        <f t="shared" ca="1" si="141"/>
        <v>3.1620614384632368</v>
      </c>
      <c r="CF11" s="71">
        <f t="shared" ca="1" si="142"/>
        <v>8.6877738574080716</v>
      </c>
      <c r="CG11" s="71">
        <f t="shared" ca="1" si="143"/>
        <v>3.1620614384632368</v>
      </c>
      <c r="CH11" s="71">
        <f t="shared" ca="1" si="144"/>
        <v>4.272994771905176</v>
      </c>
      <c r="CI11" s="71">
        <f t="shared" ca="1" si="145"/>
        <v>12.01858562237269</v>
      </c>
      <c r="CJ11" s="71">
        <f t="shared" ca="1" si="146"/>
        <v>4.272994771905176</v>
      </c>
      <c r="CK11" s="71">
        <f t="shared" ca="1" si="147"/>
        <v>4.0733660133380853</v>
      </c>
    </row>
    <row r="12" spans="1:89" x14ac:dyDescent="0.25">
      <c r="A12" t="str">
        <f>PLANTILLA!D12</f>
        <v>R. Forsyth</v>
      </c>
      <c r="B12" s="448">
        <f>PLANTILLA!E12</f>
        <v>28</v>
      </c>
      <c r="C12" s="95">
        <f ca="1">PLANTILLA!F12</f>
        <v>94</v>
      </c>
      <c r="D12" s="448" t="str">
        <f>PLANTILLA!G12</f>
        <v>POT</v>
      </c>
      <c r="E12" s="203">
        <f>PLANTILLA!O12</f>
        <v>43626</v>
      </c>
      <c r="F12" s="95">
        <f>PLANTILLA!Q12</f>
        <v>6</v>
      </c>
      <c r="G12" s="115">
        <f t="shared" si="74"/>
        <v>0.92582009977255142</v>
      </c>
      <c r="H12" s="115">
        <f t="shared" si="75"/>
        <v>0.99928545900129484</v>
      </c>
      <c r="I12" s="150">
        <f ca="1">PLANTILLA!P12</f>
        <v>1</v>
      </c>
      <c r="J12" s="151">
        <f>PLANTILLA!I12</f>
        <v>8</v>
      </c>
      <c r="K12" s="48">
        <f>PLANTILLA!X12</f>
        <v>0</v>
      </c>
      <c r="L12" s="48">
        <f>PLANTILLA!Y12</f>
        <v>11.692307692307692</v>
      </c>
      <c r="M12" s="48">
        <f>PLANTILLA!Z12</f>
        <v>14.692307692307692</v>
      </c>
      <c r="N12" s="48">
        <f>PLANTILLA!AA12</f>
        <v>3</v>
      </c>
      <c r="O12" s="48">
        <f>PLANTILLA!AB12</f>
        <v>4</v>
      </c>
      <c r="P12" s="48">
        <f>PLANTILLA!AC12</f>
        <v>7.5</v>
      </c>
      <c r="Q12" s="48">
        <f>PLANTILLA!AD12</f>
        <v>19</v>
      </c>
      <c r="R12" s="151">
        <f t="shared" si="76"/>
        <v>2.8365384615384617</v>
      </c>
      <c r="S12" s="151">
        <f t="shared" ca="1" si="77"/>
        <v>20.171105161669594</v>
      </c>
      <c r="T12" s="48">
        <f t="shared" si="78"/>
        <v>0.94499999999999995</v>
      </c>
      <c r="U12" s="48">
        <f t="shared" si="79"/>
        <v>1.0376923076923077</v>
      </c>
      <c r="V12" s="151">
        <f t="shared" ca="1" si="80"/>
        <v>19.63120047793166</v>
      </c>
      <c r="W12" s="151">
        <f t="shared" ca="1" si="81"/>
        <v>21.188968769586854</v>
      </c>
      <c r="X12" s="71">
        <f t="shared" ca="1" si="82"/>
        <v>5.1512736679355458</v>
      </c>
      <c r="Y12" s="71">
        <f t="shared" ca="1" si="83"/>
        <v>7.8147496668395675</v>
      </c>
      <c r="Z12" s="71">
        <f t="shared" ca="1" si="84"/>
        <v>5.1512736679355458</v>
      </c>
      <c r="AA12" s="71">
        <f t="shared" ca="1" si="85"/>
        <v>7.1705566802812264</v>
      </c>
      <c r="AB12" s="71">
        <f t="shared" ca="1" si="86"/>
        <v>13.896427674963617</v>
      </c>
      <c r="AC12" s="71">
        <f t="shared" ca="1" si="87"/>
        <v>3.5852783401406132</v>
      </c>
      <c r="AD12" s="71">
        <f t="shared" ca="1" si="88"/>
        <v>4.0213497866413404</v>
      </c>
      <c r="AE12" s="71">
        <f t="shared" ca="1" si="89"/>
        <v>5.2528496611362474</v>
      </c>
      <c r="AF12" s="71">
        <f t="shared" ca="1" si="90"/>
        <v>10.047117208998694</v>
      </c>
      <c r="AG12" s="71">
        <f t="shared" ca="1" si="91"/>
        <v>2.6264248305681237</v>
      </c>
      <c r="AH12" s="71">
        <f t="shared" ca="1" si="92"/>
        <v>6.5051246548609916</v>
      </c>
      <c r="AI12" s="71">
        <f t="shared" ca="1" si="93"/>
        <v>12.784713460966527</v>
      </c>
      <c r="AJ12" s="71">
        <f t="shared" ca="1" si="94"/>
        <v>5.753121057434937</v>
      </c>
      <c r="AK12" s="71">
        <f t="shared" ca="1" si="95"/>
        <v>2.8217034217189236</v>
      </c>
      <c r="AL12" s="71">
        <f t="shared" ca="1" si="96"/>
        <v>3.0600225498016838</v>
      </c>
      <c r="AM12" s="71">
        <f t="shared" ca="1" si="97"/>
        <v>10.477906466922567</v>
      </c>
      <c r="AN12" s="71">
        <f t="shared" ca="1" si="98"/>
        <v>9.8386707938742397</v>
      </c>
      <c r="AO12" s="71">
        <f t="shared" ca="1" si="99"/>
        <v>3.5410880371035396</v>
      </c>
      <c r="AP12" s="71">
        <f t="shared" ca="1" si="100"/>
        <v>1.4517096319279832</v>
      </c>
      <c r="AQ12" s="71">
        <f t="shared" ca="1" si="101"/>
        <v>3.7520354722401765</v>
      </c>
      <c r="AR12" s="71">
        <f t="shared" ca="1" si="102"/>
        <v>8.2544780389283883</v>
      </c>
      <c r="AS12" s="71">
        <f t="shared" ca="1" si="103"/>
        <v>1.8760177361200883</v>
      </c>
      <c r="AT12" s="71">
        <f t="shared" ca="1" si="104"/>
        <v>15.950227725165652</v>
      </c>
      <c r="AU12" s="71">
        <f t="shared" ca="1" si="105"/>
        <v>0.80653559774527028</v>
      </c>
      <c r="AV12" s="71">
        <f t="shared" ca="1" si="106"/>
        <v>2.4233071549181857</v>
      </c>
      <c r="AW12" s="71">
        <f t="shared" ca="1" si="107"/>
        <v>0.40326779887263514</v>
      </c>
      <c r="AX12" s="71">
        <f t="shared" ca="1" si="108"/>
        <v>2.6264248305681237</v>
      </c>
      <c r="AY12" s="71">
        <f t="shared" ca="1" si="109"/>
        <v>5.5585710699854474</v>
      </c>
      <c r="AZ12" s="71">
        <f t="shared" ca="1" si="110"/>
        <v>1.3132124152840619</v>
      </c>
      <c r="BA12" s="71">
        <f t="shared" ca="1" si="111"/>
        <v>16.896427674963615</v>
      </c>
      <c r="BB12" s="71">
        <f t="shared" ca="1" si="112"/>
        <v>1.569642355611949</v>
      </c>
      <c r="BC12" s="71">
        <f t="shared" ca="1" si="113"/>
        <v>4.1534701104434149</v>
      </c>
      <c r="BD12" s="71">
        <f t="shared" ca="1" si="114"/>
        <v>0.78482117780597449</v>
      </c>
      <c r="BE12" s="71">
        <f t="shared" ca="1" si="115"/>
        <v>4.0438604534144122</v>
      </c>
      <c r="BF12" s="71">
        <f t="shared" ca="1" si="116"/>
        <v>4.835956830887338</v>
      </c>
      <c r="BG12" s="71">
        <f t="shared" ca="1" si="117"/>
        <v>14.885752781642944</v>
      </c>
      <c r="BH12" s="71">
        <f t="shared" ca="1" si="118"/>
        <v>4.9414626645811168</v>
      </c>
      <c r="BI12" s="71">
        <f t="shared" ca="1" si="119"/>
        <v>1.4951929158200779</v>
      </c>
      <c r="BJ12" s="71">
        <f t="shared" ca="1" si="120"/>
        <v>6.739767422357354</v>
      </c>
      <c r="BK12" s="71">
        <f t="shared" ca="1" si="121"/>
        <v>3.6686569061903951</v>
      </c>
      <c r="BL12" s="71">
        <f t="shared" ca="1" si="122"/>
        <v>6.4375389441611377</v>
      </c>
      <c r="BM12" s="71">
        <f t="shared" ca="1" si="123"/>
        <v>4.7494008648412791</v>
      </c>
      <c r="BN12" s="71">
        <f t="shared" ca="1" si="124"/>
        <v>0.3226142390981081</v>
      </c>
      <c r="BO12" s="71">
        <f t="shared" ca="1" si="125"/>
        <v>2.5013569814934509</v>
      </c>
      <c r="BP12" s="71">
        <f t="shared" ca="1" si="126"/>
        <v>0.94495708189752603</v>
      </c>
      <c r="BQ12" s="71">
        <f t="shared" ca="1" si="127"/>
        <v>5.1534104408639028</v>
      </c>
      <c r="BR12" s="71">
        <f t="shared" ca="1" si="128"/>
        <v>6.9784982976955199</v>
      </c>
      <c r="BS12" s="71">
        <f t="shared" ca="1" si="129"/>
        <v>0.83755619765854994</v>
      </c>
      <c r="BT12" s="71">
        <f t="shared" ca="1" si="130"/>
        <v>3.9465854596896666</v>
      </c>
      <c r="BU12" s="71">
        <f t="shared" ca="1" si="131"/>
        <v>3.3907283526911223</v>
      </c>
      <c r="BV12" s="71">
        <f t="shared" ca="1" si="132"/>
        <v>7.6878745921084448</v>
      </c>
      <c r="BW12" s="71">
        <f t="shared" ca="1" si="133"/>
        <v>6.0101649407827642</v>
      </c>
      <c r="BX12" s="71">
        <f t="shared" ca="1" si="134"/>
        <v>0.75069851790136688</v>
      </c>
      <c r="BY12" s="71">
        <f t="shared" ca="1" si="135"/>
        <v>3.9465854596896666</v>
      </c>
      <c r="BZ12" s="71">
        <f t="shared" ca="1" si="136"/>
        <v>3.3907283526911223</v>
      </c>
      <c r="CA12" s="71">
        <f t="shared" ca="1" si="137"/>
        <v>10.661645862902041</v>
      </c>
      <c r="CB12" s="71">
        <f t="shared" ca="1" si="138"/>
        <v>4.8506873844770526</v>
      </c>
      <c r="CC12" s="71">
        <f t="shared" ca="1" si="139"/>
        <v>0.91820975743307687</v>
      </c>
      <c r="CD12" s="71">
        <f t="shared" ca="1" si="140"/>
        <v>6.8599496360352283</v>
      </c>
      <c r="CE12" s="71">
        <f t="shared" ca="1" si="141"/>
        <v>3.5328465109637368</v>
      </c>
      <c r="CF12" s="71">
        <f t="shared" ca="1" si="142"/>
        <v>9.0263391004705724</v>
      </c>
      <c r="CG12" s="71">
        <f t="shared" ca="1" si="143"/>
        <v>3.5328465109637368</v>
      </c>
      <c r="CH12" s="71">
        <f t="shared" ca="1" si="144"/>
        <v>4.5541667491946409</v>
      </c>
      <c r="CI12" s="71">
        <f t="shared" ca="1" si="145"/>
        <v>11.993440256255962</v>
      </c>
      <c r="CJ12" s="71">
        <f t="shared" ca="1" si="146"/>
        <v>4.5541667491946409</v>
      </c>
      <c r="CK12" s="71">
        <f t="shared" ca="1" si="147"/>
        <v>4.2241069187409037</v>
      </c>
    </row>
    <row r="13" spans="1:89" x14ac:dyDescent="0.25">
      <c r="A13" t="str">
        <f>PLANTILLA!D13</f>
        <v>Dusty Ware</v>
      </c>
      <c r="B13" s="448">
        <f>PLANTILLA!E13</f>
        <v>29</v>
      </c>
      <c r="C13" s="95">
        <f ca="1">PLANTILLA!F13</f>
        <v>76</v>
      </c>
      <c r="D13" s="448" t="str">
        <f>PLANTILLA!G13</f>
        <v>POT</v>
      </c>
      <c r="E13" s="203">
        <f>PLANTILLA!O13</f>
        <v>44354</v>
      </c>
      <c r="F13" s="95">
        <f>PLANTILLA!Q13</f>
        <v>7</v>
      </c>
      <c r="G13" s="115">
        <f t="shared" si="74"/>
        <v>1</v>
      </c>
      <c r="H13" s="115">
        <f t="shared" si="75"/>
        <v>1</v>
      </c>
      <c r="I13" s="150">
        <f ca="1">PLANTILLA!P13</f>
        <v>1</v>
      </c>
      <c r="J13" s="151">
        <f>PLANTILLA!I13</f>
        <v>9</v>
      </c>
      <c r="K13" s="48">
        <f>PLANTILLA!X13</f>
        <v>0</v>
      </c>
      <c r="L13" s="48">
        <f>PLANTILLA!Y13</f>
        <v>11.307692307692308</v>
      </c>
      <c r="M13" s="48">
        <f>PLANTILLA!Z13</f>
        <v>15</v>
      </c>
      <c r="N13" s="48">
        <f>PLANTILLA!AA13</f>
        <v>4</v>
      </c>
      <c r="O13" s="48">
        <f>PLANTILLA!AB13</f>
        <v>3</v>
      </c>
      <c r="P13" s="48">
        <f>PLANTILLA!AC13</f>
        <v>9</v>
      </c>
      <c r="Q13" s="48">
        <f>PLANTILLA!AD13</f>
        <v>18.25</v>
      </c>
      <c r="R13" s="151">
        <f t="shared" si="76"/>
        <v>2.5384615384615383</v>
      </c>
      <c r="S13" s="151">
        <f t="shared" ca="1" si="77"/>
        <v>22.399334594481211</v>
      </c>
      <c r="T13" s="48">
        <f t="shared" si="78"/>
        <v>0.99749999999999994</v>
      </c>
      <c r="U13" s="48">
        <f t="shared" si="79"/>
        <v>0.99980769230769229</v>
      </c>
      <c r="V13" s="151">
        <f t="shared" ca="1" si="80"/>
        <v>20.522323345919101</v>
      </c>
      <c r="W13" s="151">
        <f t="shared" ca="1" si="81"/>
        <v>20.522323345919101</v>
      </c>
      <c r="X13" s="71">
        <f t="shared" ca="1" si="82"/>
        <v>5.1046613579104516</v>
      </c>
      <c r="Y13" s="71">
        <f t="shared" ca="1" si="83"/>
        <v>7.7393386703507883</v>
      </c>
      <c r="Z13" s="71">
        <f t="shared" ca="1" si="84"/>
        <v>5.1046613579104516</v>
      </c>
      <c r="AA13" s="71">
        <f t="shared" ca="1" si="85"/>
        <v>7.0072880772634871</v>
      </c>
      <c r="AB13" s="71">
        <f t="shared" ca="1" si="86"/>
        <v>13.580015653611408</v>
      </c>
      <c r="AC13" s="71">
        <f t="shared" ca="1" si="87"/>
        <v>3.5036440386317436</v>
      </c>
      <c r="AD13" s="71">
        <f t="shared" ca="1" si="88"/>
        <v>4.1108129563287461</v>
      </c>
      <c r="AE13" s="71">
        <f t="shared" ca="1" si="89"/>
        <v>5.1332459170651124</v>
      </c>
      <c r="AF13" s="71">
        <f t="shared" ca="1" si="90"/>
        <v>9.8183513175610475</v>
      </c>
      <c r="AG13" s="71">
        <f t="shared" ca="1" si="91"/>
        <v>2.5666229585325562</v>
      </c>
      <c r="AH13" s="71">
        <f t="shared" ca="1" si="92"/>
        <v>6.6498444881788545</v>
      </c>
      <c r="AI13" s="71">
        <f t="shared" ca="1" si="93"/>
        <v>12.493614401322496</v>
      </c>
      <c r="AJ13" s="71">
        <f t="shared" ca="1" si="94"/>
        <v>5.6221264805951225</v>
      </c>
      <c r="AK13" s="71">
        <f t="shared" ca="1" si="95"/>
        <v>2.8844779987684901</v>
      </c>
      <c r="AL13" s="71">
        <f t="shared" ca="1" si="96"/>
        <v>3.6881261274004302</v>
      </c>
      <c r="AM13" s="71">
        <f t="shared" ca="1" si="97"/>
        <v>10.239331802823001</v>
      </c>
      <c r="AN13" s="71">
        <f t="shared" ca="1" si="98"/>
        <v>9.6146510827568772</v>
      </c>
      <c r="AO13" s="71">
        <f t="shared" ca="1" si="99"/>
        <v>3.4272279987684899</v>
      </c>
      <c r="AP13" s="71">
        <f t="shared" ca="1" si="100"/>
        <v>1.3855060467016236</v>
      </c>
      <c r="AQ13" s="71">
        <f t="shared" ca="1" si="101"/>
        <v>3.6666042264750804</v>
      </c>
      <c r="AR13" s="71">
        <f t="shared" ca="1" si="102"/>
        <v>8.0665292982451753</v>
      </c>
      <c r="AS13" s="71">
        <f t="shared" ca="1" si="103"/>
        <v>1.8333021132375402</v>
      </c>
      <c r="AT13" s="71">
        <f t="shared" ca="1" si="104"/>
        <v>16.305073238547632</v>
      </c>
      <c r="AU13" s="71">
        <f t="shared" ca="1" si="105"/>
        <v>0.68540203496948293</v>
      </c>
      <c r="AV13" s="71">
        <f t="shared" ca="1" si="106"/>
        <v>2.5827907403542962</v>
      </c>
      <c r="AW13" s="71">
        <f t="shared" ca="1" si="107"/>
        <v>0.34270101748474147</v>
      </c>
      <c r="AX13" s="71">
        <f t="shared" ca="1" si="108"/>
        <v>2.5666229585325562</v>
      </c>
      <c r="AY13" s="71">
        <f t="shared" ca="1" si="109"/>
        <v>5.4320062614445632</v>
      </c>
      <c r="AZ13" s="71">
        <f t="shared" ca="1" si="110"/>
        <v>1.2833114792662781</v>
      </c>
      <c r="BA13" s="71">
        <f t="shared" ca="1" si="111"/>
        <v>17.272323345919101</v>
      </c>
      <c r="BB13" s="71">
        <f t="shared" ca="1" si="112"/>
        <v>1.3338978065175322</v>
      </c>
      <c r="BC13" s="71">
        <f t="shared" ca="1" si="113"/>
        <v>4.1650501636014239</v>
      </c>
      <c r="BD13" s="71">
        <f t="shared" ca="1" si="114"/>
        <v>0.6669489032587661</v>
      </c>
      <c r="BE13" s="71">
        <f t="shared" ca="1" si="115"/>
        <v>3.9517845552009194</v>
      </c>
      <c r="BF13" s="71">
        <f t="shared" ca="1" si="116"/>
        <v>4.7258454474567699</v>
      </c>
      <c r="BG13" s="71">
        <f t="shared" ca="1" si="117"/>
        <v>15.216916867754728</v>
      </c>
      <c r="BH13" s="71">
        <f t="shared" ca="1" si="118"/>
        <v>5.2610954545220796</v>
      </c>
      <c r="BI13" s="71">
        <f t="shared" ca="1" si="119"/>
        <v>1.2706299263665031</v>
      </c>
      <c r="BJ13" s="71">
        <f t="shared" ca="1" si="120"/>
        <v>6.5863075920015328</v>
      </c>
      <c r="BK13" s="71">
        <f t="shared" ca="1" si="121"/>
        <v>3.5851241325534118</v>
      </c>
      <c r="BL13" s="71">
        <f t="shared" ca="1" si="122"/>
        <v>6.5807551947951781</v>
      </c>
      <c r="BM13" s="71">
        <f t="shared" ca="1" si="123"/>
        <v>5.2810106043332938</v>
      </c>
      <c r="BN13" s="71">
        <f t="shared" ca="1" si="124"/>
        <v>0.27416081398779318</v>
      </c>
      <c r="BO13" s="71">
        <f t="shared" ca="1" si="125"/>
        <v>2.4444028176500532</v>
      </c>
      <c r="BP13" s="71">
        <f t="shared" ca="1" si="126"/>
        <v>0.92344106444557583</v>
      </c>
      <c r="BQ13" s="71">
        <f t="shared" ca="1" si="127"/>
        <v>5.2680586205053261</v>
      </c>
      <c r="BR13" s="71">
        <f t="shared" ca="1" si="128"/>
        <v>7.7802078228519616</v>
      </c>
      <c r="BS13" s="71">
        <f t="shared" ca="1" si="129"/>
        <v>0.71176365169907851</v>
      </c>
      <c r="BT13" s="71">
        <f t="shared" ca="1" si="130"/>
        <v>3.8567244456256398</v>
      </c>
      <c r="BU13" s="71">
        <f t="shared" ca="1" si="131"/>
        <v>3.3135238194811834</v>
      </c>
      <c r="BV13" s="71">
        <f t="shared" ca="1" si="132"/>
        <v>7.858907122393191</v>
      </c>
      <c r="BW13" s="71">
        <f t="shared" ca="1" si="133"/>
        <v>6.7057342672783626</v>
      </c>
      <c r="BX13" s="71">
        <f t="shared" ca="1" si="134"/>
        <v>0.63795112485621108</v>
      </c>
      <c r="BY13" s="71">
        <f t="shared" ca="1" si="135"/>
        <v>3.8567244456256398</v>
      </c>
      <c r="BZ13" s="71">
        <f t="shared" ca="1" si="136"/>
        <v>3.3135238194811834</v>
      </c>
      <c r="CA13" s="71">
        <f t="shared" ca="1" si="137"/>
        <v>10.898836031274953</v>
      </c>
      <c r="CB13" s="71">
        <f t="shared" ca="1" si="138"/>
        <v>5.4207293945975943</v>
      </c>
      <c r="CC13" s="71">
        <f t="shared" ca="1" si="139"/>
        <v>0.78030385519602674</v>
      </c>
      <c r="CD13" s="71">
        <f t="shared" ca="1" si="140"/>
        <v>7.0125632784431557</v>
      </c>
      <c r="CE13" s="71">
        <f t="shared" ca="1" si="141"/>
        <v>3.652880463223851</v>
      </c>
      <c r="CF13" s="71">
        <f t="shared" ca="1" si="142"/>
        <v>9.4346360875049058</v>
      </c>
      <c r="CG13" s="71">
        <f t="shared" ca="1" si="143"/>
        <v>3.652880463223851</v>
      </c>
      <c r="CH13" s="71">
        <f t="shared" ca="1" si="144"/>
        <v>5.0656574445075995</v>
      </c>
      <c r="CI13" s="71">
        <f t="shared" ca="1" si="145"/>
        <v>13.217810660563247</v>
      </c>
      <c r="CJ13" s="71">
        <f t="shared" ca="1" si="146"/>
        <v>5.0656574445075995</v>
      </c>
      <c r="CK13" s="71">
        <f t="shared" ca="1" si="147"/>
        <v>4.3180808364797754</v>
      </c>
    </row>
    <row r="14" spans="1:89" x14ac:dyDescent="0.25">
      <c r="A14" t="str">
        <f>PLANTILLA!D11</f>
        <v>S. Kariuki</v>
      </c>
      <c r="B14" s="448">
        <f>PLANTILLA!E11</f>
        <v>29</v>
      </c>
      <c r="C14" s="95">
        <f ca="1">PLANTILLA!F11</f>
        <v>40</v>
      </c>
      <c r="D14" s="448" t="str">
        <f>PLANTILLA!G11</f>
        <v>CAB</v>
      </c>
      <c r="E14" s="203">
        <f>PLANTILLA!O11</f>
        <v>44652</v>
      </c>
      <c r="F14" s="95">
        <f>PLANTILLA!Q11</f>
        <v>5</v>
      </c>
      <c r="G14" s="115">
        <f t="shared" si="74"/>
        <v>0.84515425472851657</v>
      </c>
      <c r="H14" s="115">
        <f t="shared" si="75"/>
        <v>0.92504826128926143</v>
      </c>
      <c r="I14" s="150">
        <f ca="1">PLANTILLA!P11</f>
        <v>0.38624561461075513</v>
      </c>
      <c r="J14" s="151">
        <f>PLANTILLA!I11</f>
        <v>9</v>
      </c>
      <c r="K14" s="48">
        <f>PLANTILLA!X11</f>
        <v>0</v>
      </c>
      <c r="L14" s="48">
        <f>PLANTILLA!Y11</f>
        <v>13</v>
      </c>
      <c r="M14" s="48">
        <f>PLANTILLA!Z11</f>
        <v>14</v>
      </c>
      <c r="N14" s="48">
        <f>PLANTILLA!AA11</f>
        <v>2</v>
      </c>
      <c r="O14" s="48">
        <f>PLANTILLA!AB11</f>
        <v>2</v>
      </c>
      <c r="P14" s="48">
        <f>PLANTILLA!AC11</f>
        <v>7</v>
      </c>
      <c r="Q14" s="48">
        <f>PLANTILLA!AD11</f>
        <v>19</v>
      </c>
      <c r="R14" s="151">
        <f t="shared" si="76"/>
        <v>2.5</v>
      </c>
      <c r="S14" s="151">
        <f t="shared" ca="1" si="77"/>
        <v>18.135437402770982</v>
      </c>
      <c r="T14" s="48">
        <f t="shared" si="78"/>
        <v>0.91999999999999993</v>
      </c>
      <c r="U14" s="48">
        <f t="shared" si="79"/>
        <v>1.0900000000000001</v>
      </c>
      <c r="V14" s="151">
        <f t="shared" ca="1" si="80"/>
        <v>17.535191353229436</v>
      </c>
      <c r="W14" s="151">
        <f t="shared" ca="1" si="81"/>
        <v>19.192825666942795</v>
      </c>
      <c r="X14" s="71">
        <f t="shared" ca="1" si="82"/>
        <v>5.0359307025425641</v>
      </c>
      <c r="Y14" s="71">
        <f t="shared" ca="1" si="83"/>
        <v>7.666212528044043</v>
      </c>
      <c r="Z14" s="71">
        <f t="shared" ca="1" si="84"/>
        <v>5.0359307025425641</v>
      </c>
      <c r="AA14" s="71">
        <f t="shared" ca="1" si="85"/>
        <v>7.5638215836334055</v>
      </c>
      <c r="AB14" s="71">
        <f t="shared" ca="1" si="86"/>
        <v>14.658568960529855</v>
      </c>
      <c r="AC14" s="71">
        <f t="shared" ca="1" si="87"/>
        <v>3.7819107918167028</v>
      </c>
      <c r="AD14" s="71">
        <f t="shared" ca="1" si="88"/>
        <v>3.7267394126061055</v>
      </c>
      <c r="AE14" s="71">
        <f t="shared" ca="1" si="89"/>
        <v>5.5409390670802852</v>
      </c>
      <c r="AF14" s="71">
        <f t="shared" ca="1" si="90"/>
        <v>10.598145358463086</v>
      </c>
      <c r="AG14" s="71">
        <f t="shared" ca="1" si="91"/>
        <v>2.7704695335401426</v>
      </c>
      <c r="AH14" s="71">
        <f t="shared" ca="1" si="92"/>
        <v>6.0285490498039946</v>
      </c>
      <c r="AI14" s="71">
        <f t="shared" ca="1" si="93"/>
        <v>13.485883443687468</v>
      </c>
      <c r="AJ14" s="71">
        <f t="shared" ca="1" si="94"/>
        <v>6.0686475496593602</v>
      </c>
      <c r="AK14" s="71">
        <f t="shared" ca="1" si="95"/>
        <v>2.6149810164084859</v>
      </c>
      <c r="AL14" s="71">
        <f t="shared" ca="1" si="96"/>
        <v>2.1512385487915542</v>
      </c>
      <c r="AM14" s="71">
        <f t="shared" ca="1" si="97"/>
        <v>11.052560996239512</v>
      </c>
      <c r="AN14" s="71">
        <f t="shared" ca="1" si="98"/>
        <v>10.378266824055137</v>
      </c>
      <c r="AO14" s="71">
        <f t="shared" ca="1" si="99"/>
        <v>3.4499810164084859</v>
      </c>
      <c r="AP14" s="71">
        <f t="shared" ca="1" si="100"/>
        <v>1.1976678606325981</v>
      </c>
      <c r="AQ14" s="71">
        <f t="shared" ca="1" si="101"/>
        <v>3.9578136193430611</v>
      </c>
      <c r="AR14" s="71">
        <f t="shared" ca="1" si="102"/>
        <v>8.7071899625547342</v>
      </c>
      <c r="AS14" s="71">
        <f t="shared" ca="1" si="103"/>
        <v>1.9789068096715305</v>
      </c>
      <c r="AT14" s="71">
        <f t="shared" ca="1" si="104"/>
        <v>14.781689098740182</v>
      </c>
      <c r="AU14" s="71">
        <f t="shared" ca="1" si="105"/>
        <v>0.47561396486888113</v>
      </c>
      <c r="AV14" s="71">
        <f t="shared" ca="1" si="106"/>
        <v>1.9369607054352473</v>
      </c>
      <c r="AW14" s="71">
        <f t="shared" ca="1" si="107"/>
        <v>0.23780698243444057</v>
      </c>
      <c r="AX14" s="71">
        <f t="shared" ca="1" si="108"/>
        <v>2.7704695335401426</v>
      </c>
      <c r="AY14" s="71">
        <f t="shared" ca="1" si="109"/>
        <v>5.8634275842119425</v>
      </c>
      <c r="AZ14" s="71">
        <f t="shared" ca="1" si="110"/>
        <v>1.3852347667700713</v>
      </c>
      <c r="BA14" s="71">
        <f t="shared" ca="1" si="111"/>
        <v>15.658568960529855</v>
      </c>
      <c r="BB14" s="71">
        <f t="shared" ca="1" si="112"/>
        <v>0.9256179470140532</v>
      </c>
      <c r="BC14" s="71">
        <f t="shared" ca="1" si="113"/>
        <v>3.0658714972519503</v>
      </c>
      <c r="BD14" s="71">
        <f t="shared" ca="1" si="114"/>
        <v>0.4628089735070266</v>
      </c>
      <c r="BE14" s="71">
        <f t="shared" ca="1" si="115"/>
        <v>4.2656435675141875</v>
      </c>
      <c r="BF14" s="71">
        <f t="shared" ca="1" si="116"/>
        <v>5.1011819982643898</v>
      </c>
      <c r="BG14" s="71">
        <f t="shared" ca="1" si="117"/>
        <v>13.795199254226803</v>
      </c>
      <c r="BH14" s="71">
        <f t="shared" ca="1" si="118"/>
        <v>3.2524678059110408</v>
      </c>
      <c r="BI14" s="71">
        <f t="shared" ca="1" si="119"/>
        <v>0.88171511948769488</v>
      </c>
      <c r="BJ14" s="71">
        <f t="shared" ca="1" si="120"/>
        <v>7.10940594585698</v>
      </c>
      <c r="BK14" s="71">
        <f t="shared" ca="1" si="121"/>
        <v>3.8698622055798819</v>
      </c>
      <c r="BL14" s="71">
        <f t="shared" ca="1" si="122"/>
        <v>5.9659147739618748</v>
      </c>
      <c r="BM14" s="71">
        <f t="shared" ca="1" si="123"/>
        <v>3.1975892715030927</v>
      </c>
      <c r="BN14" s="71">
        <f t="shared" ca="1" si="124"/>
        <v>0.19024558594755242</v>
      </c>
      <c r="BO14" s="71">
        <f t="shared" ca="1" si="125"/>
        <v>2.6385424128953741</v>
      </c>
      <c r="BP14" s="71">
        <f t="shared" ca="1" si="126"/>
        <v>0.9967826893160302</v>
      </c>
      <c r="BQ14" s="71">
        <f t="shared" ca="1" si="127"/>
        <v>4.7758635329616057</v>
      </c>
      <c r="BR14" s="71">
        <f t="shared" ca="1" si="128"/>
        <v>4.7049196832413926</v>
      </c>
      <c r="BS14" s="71">
        <f t="shared" ca="1" si="129"/>
        <v>0.49390680967153039</v>
      </c>
      <c r="BT14" s="71">
        <f t="shared" ca="1" si="130"/>
        <v>4.1630335847904787</v>
      </c>
      <c r="BU14" s="71">
        <f t="shared" ca="1" si="131"/>
        <v>3.5766908263692847</v>
      </c>
      <c r="BV14" s="71">
        <f t="shared" ca="1" si="132"/>
        <v>7.1246488770410847</v>
      </c>
      <c r="BW14" s="71">
        <f t="shared" ca="1" si="133"/>
        <v>4.0536944082670789</v>
      </c>
      <c r="BX14" s="71">
        <f t="shared" ca="1" si="134"/>
        <v>0.44268684422411242</v>
      </c>
      <c r="BY14" s="71">
        <f t="shared" ca="1" si="135"/>
        <v>4.1630335847904787</v>
      </c>
      <c r="BZ14" s="71">
        <f t="shared" ca="1" si="136"/>
        <v>3.5766908263692847</v>
      </c>
      <c r="CA14" s="71">
        <f t="shared" ca="1" si="137"/>
        <v>9.8805570140943395</v>
      </c>
      <c r="CB14" s="71">
        <f t="shared" ca="1" si="138"/>
        <v>3.2744192196742197</v>
      </c>
      <c r="CC14" s="71">
        <f t="shared" ca="1" si="139"/>
        <v>0.5414682061584184</v>
      </c>
      <c r="CD14" s="71">
        <f t="shared" ca="1" si="140"/>
        <v>6.3573789979751218</v>
      </c>
      <c r="CE14" s="71">
        <f t="shared" ca="1" si="141"/>
        <v>2.5411144284360541</v>
      </c>
      <c r="CF14" s="71">
        <f t="shared" ca="1" si="142"/>
        <v>7.0345486495566174</v>
      </c>
      <c r="CG14" s="71">
        <f t="shared" ca="1" si="143"/>
        <v>2.5411144284360541</v>
      </c>
      <c r="CH14" s="71">
        <f t="shared" ca="1" si="144"/>
        <v>3.7388646026113035</v>
      </c>
      <c r="CI14" s="71">
        <f t="shared" ca="1" si="145"/>
        <v>10.008580906965372</v>
      </c>
      <c r="CJ14" s="71">
        <f t="shared" ca="1" si="146"/>
        <v>3.7388646026113035</v>
      </c>
      <c r="CK14" s="71">
        <f t="shared" ca="1" si="147"/>
        <v>3.9146422401324639</v>
      </c>
    </row>
    <row r="15" spans="1:89" x14ac:dyDescent="0.25">
      <c r="A15" t="str">
        <f>PLANTILLA!D10</f>
        <v>K. Polyukhov</v>
      </c>
      <c r="B15" s="448">
        <f>PLANTILLA!E10</f>
        <v>30</v>
      </c>
      <c r="C15" s="95">
        <f ca="1">PLANTILLA!F10</f>
        <v>48</v>
      </c>
      <c r="D15" s="448" t="str">
        <f>PLANTILLA!G10</f>
        <v>IMP</v>
      </c>
      <c r="E15" s="203">
        <f>PLANTILLA!O10</f>
        <v>44531</v>
      </c>
      <c r="F15" s="95">
        <f>PLANTILLA!Q10</f>
        <v>6</v>
      </c>
      <c r="G15" s="115">
        <f t="shared" si="74"/>
        <v>0.92582009977255142</v>
      </c>
      <c r="H15" s="115">
        <f t="shared" si="75"/>
        <v>0.99928545900129484</v>
      </c>
      <c r="I15" s="150">
        <f ca="1">PLANTILLA!P10</f>
        <v>0.71056080396655619</v>
      </c>
      <c r="J15" s="151">
        <f>PLANTILLA!I10</f>
        <v>8</v>
      </c>
      <c r="K15" s="48">
        <f>PLANTILLA!X10</f>
        <v>0</v>
      </c>
      <c r="L15" s="48">
        <f>PLANTILLA!Y10</f>
        <v>14.454545454545455</v>
      </c>
      <c r="M15" s="48">
        <f>PLANTILLA!Z10</f>
        <v>13</v>
      </c>
      <c r="N15" s="48">
        <f>PLANTILLA!AA10</f>
        <v>1</v>
      </c>
      <c r="O15" s="48">
        <f>PLANTILLA!AB10</f>
        <v>9</v>
      </c>
      <c r="P15" s="48">
        <f>PLANTILLA!AC10</f>
        <v>9</v>
      </c>
      <c r="Q15" s="48">
        <f>PLANTILLA!AD10</f>
        <v>16</v>
      </c>
      <c r="R15" s="151">
        <f t="shared" si="76"/>
        <v>4.4318181818181817</v>
      </c>
      <c r="S15" s="151">
        <f t="shared" ca="1" si="77"/>
        <v>20.371444538435682</v>
      </c>
      <c r="T15" s="48">
        <f t="shared" si="78"/>
        <v>0.93</v>
      </c>
      <c r="U15" s="48">
        <f t="shared" si="79"/>
        <v>1.0581818181818181</v>
      </c>
      <c r="V15" s="151">
        <f t="shared" ca="1" si="80"/>
        <v>16.636828408887141</v>
      </c>
      <c r="W15" s="151">
        <f t="shared" ca="1" si="81"/>
        <v>17.956988314452083</v>
      </c>
      <c r="X15" s="71">
        <f t="shared" ca="1" si="82"/>
        <v>5.6609708721759722</v>
      </c>
      <c r="Y15" s="71">
        <f t="shared" ca="1" si="83"/>
        <v>8.6150347137114416</v>
      </c>
      <c r="Z15" s="71">
        <f t="shared" ca="1" si="84"/>
        <v>5.6609708721759722</v>
      </c>
      <c r="AA15" s="71">
        <f t="shared" ca="1" si="85"/>
        <v>8.4465207404426561</v>
      </c>
      <c r="AB15" s="71">
        <f t="shared" ca="1" si="86"/>
        <v>16.369226241167937</v>
      </c>
      <c r="AC15" s="71">
        <f t="shared" ca="1" si="87"/>
        <v>4.2232603702213281</v>
      </c>
      <c r="AD15" s="71">
        <f t="shared" ca="1" si="88"/>
        <v>3.5496940272161503</v>
      </c>
      <c r="AE15" s="71">
        <f t="shared" ca="1" si="89"/>
        <v>6.1875675191614796</v>
      </c>
      <c r="AF15" s="71">
        <f t="shared" ca="1" si="90"/>
        <v>11.834950572364418</v>
      </c>
      <c r="AG15" s="71">
        <f t="shared" ca="1" si="91"/>
        <v>3.0937837595807398</v>
      </c>
      <c r="AH15" s="71">
        <f t="shared" ca="1" si="92"/>
        <v>5.7421521028496558</v>
      </c>
      <c r="AI15" s="71">
        <f t="shared" ca="1" si="93"/>
        <v>15.059688141874503</v>
      </c>
      <c r="AJ15" s="71">
        <f t="shared" ca="1" si="94"/>
        <v>6.776859663843525</v>
      </c>
      <c r="AK15" s="71">
        <f t="shared" ca="1" si="95"/>
        <v>2.4907516913659546</v>
      </c>
      <c r="AL15" s="71">
        <f t="shared" ca="1" si="96"/>
        <v>1.7138323025340185</v>
      </c>
      <c r="AM15" s="71">
        <f t="shared" ca="1" si="97"/>
        <v>12.342396585840625</v>
      </c>
      <c r="AN15" s="71">
        <f t="shared" ca="1" si="98"/>
        <v>11.589412178746899</v>
      </c>
      <c r="AO15" s="71">
        <f t="shared" ca="1" si="99"/>
        <v>2.9917516913659541</v>
      </c>
      <c r="AP15" s="71">
        <f t="shared" ca="1" si="100"/>
        <v>1.8277917029109108</v>
      </c>
      <c r="AQ15" s="71">
        <f t="shared" ca="1" si="101"/>
        <v>4.4196910851153435</v>
      </c>
      <c r="AR15" s="71">
        <f t="shared" ca="1" si="102"/>
        <v>9.7233203872537537</v>
      </c>
      <c r="AS15" s="71">
        <f t="shared" ca="1" si="103"/>
        <v>2.2098455425576717</v>
      </c>
      <c r="AT15" s="71">
        <f t="shared" ca="1" si="104"/>
        <v>14.079458662571621</v>
      </c>
      <c r="AU15" s="71">
        <f t="shared" ca="1" si="105"/>
        <v>1.4189085022609227</v>
      </c>
      <c r="AV15" s="71">
        <f t="shared" ca="1" si="106"/>
        <v>3.1980014704803867</v>
      </c>
      <c r="AW15" s="71">
        <f t="shared" ca="1" si="107"/>
        <v>0.70945425113046134</v>
      </c>
      <c r="AX15" s="71">
        <f t="shared" ca="1" si="108"/>
        <v>3.0937837595807398</v>
      </c>
      <c r="AY15" s="71">
        <f t="shared" ca="1" si="109"/>
        <v>6.5476904964671752</v>
      </c>
      <c r="AZ15" s="71">
        <f t="shared" ca="1" si="110"/>
        <v>1.5468918797903699</v>
      </c>
      <c r="BA15" s="71">
        <f t="shared" ca="1" si="111"/>
        <v>14.914680786622482</v>
      </c>
      <c r="BB15" s="71">
        <f t="shared" ca="1" si="112"/>
        <v>2.7614142390154877</v>
      </c>
      <c r="BC15" s="71">
        <f t="shared" ca="1" si="113"/>
        <v>6.0139891134289876</v>
      </c>
      <c r="BD15" s="71">
        <f t="shared" ca="1" si="114"/>
        <v>1.3807071195077438</v>
      </c>
      <c r="BE15" s="71">
        <f t="shared" ca="1" si="115"/>
        <v>4.7634448361798691</v>
      </c>
      <c r="BF15" s="71">
        <f t="shared" ca="1" si="116"/>
        <v>5.696490731926442</v>
      </c>
      <c r="BG15" s="71">
        <f t="shared" ca="1" si="117"/>
        <v>13.139833773014406</v>
      </c>
      <c r="BH15" s="71">
        <f t="shared" ca="1" si="118"/>
        <v>5.111151219307386</v>
      </c>
      <c r="BI15" s="71">
        <f t="shared" ca="1" si="119"/>
        <v>2.6304380695760181</v>
      </c>
      <c r="BJ15" s="71">
        <f t="shared" ca="1" si="120"/>
        <v>7.9390747269664494</v>
      </c>
      <c r="BK15" s="71">
        <f t="shared" ca="1" si="121"/>
        <v>4.3214757276683358</v>
      </c>
      <c r="BL15" s="71">
        <f t="shared" ca="1" si="122"/>
        <v>5.6824933797031658</v>
      </c>
      <c r="BM15" s="71">
        <f t="shared" ca="1" si="123"/>
        <v>4.1554310075080485</v>
      </c>
      <c r="BN15" s="71">
        <f t="shared" ca="1" si="124"/>
        <v>0.56756340090436896</v>
      </c>
      <c r="BO15" s="71">
        <f t="shared" ca="1" si="125"/>
        <v>2.9464607234102287</v>
      </c>
      <c r="BP15" s="71">
        <f t="shared" ca="1" si="126"/>
        <v>1.1131073843994197</v>
      </c>
      <c r="BQ15" s="71">
        <f t="shared" ca="1" si="127"/>
        <v>4.5489776399198565</v>
      </c>
      <c r="BR15" s="71">
        <f t="shared" ca="1" si="128"/>
        <v>6.0362794915965097</v>
      </c>
      <c r="BS15" s="71">
        <f t="shared" ca="1" si="129"/>
        <v>1.4734819061940352</v>
      </c>
      <c r="BT15" s="71">
        <f t="shared" ca="1" si="130"/>
        <v>4.6488602524916933</v>
      </c>
      <c r="BU15" s="71">
        <f t="shared" ca="1" si="131"/>
        <v>3.9940912028449764</v>
      </c>
      <c r="BV15" s="71">
        <f t="shared" ca="1" si="132"/>
        <v>6.7861797579132297</v>
      </c>
      <c r="BW15" s="71">
        <f t="shared" ca="1" si="133"/>
        <v>5.181466311577708</v>
      </c>
      <c r="BX15" s="71">
        <f t="shared" ca="1" si="134"/>
        <v>1.3206763751813202</v>
      </c>
      <c r="BY15" s="71">
        <f t="shared" ca="1" si="135"/>
        <v>4.6488602524916933</v>
      </c>
      <c r="BZ15" s="71">
        <f t="shared" ca="1" si="136"/>
        <v>3.9940912028449764</v>
      </c>
      <c r="CA15" s="71">
        <f t="shared" ca="1" si="137"/>
        <v>9.4111635763587866</v>
      </c>
      <c r="CB15" s="71">
        <f t="shared" ca="1" si="138"/>
        <v>4.1526393040271206</v>
      </c>
      <c r="CC15" s="71">
        <f t="shared" ca="1" si="139"/>
        <v>1.6153727564201272</v>
      </c>
      <c r="CD15" s="71">
        <f t="shared" ca="1" si="140"/>
        <v>6.0553603993687277</v>
      </c>
      <c r="CE15" s="71">
        <f t="shared" ca="1" si="141"/>
        <v>4.5345486898303129</v>
      </c>
      <c r="CF15" s="71">
        <f t="shared" ca="1" si="142"/>
        <v>12.289930565736913</v>
      </c>
      <c r="CG15" s="71">
        <f t="shared" ca="1" si="143"/>
        <v>4.5345486898303129</v>
      </c>
      <c r="CH15" s="71">
        <f t="shared" ca="1" si="144"/>
        <v>5.1071003210345012</v>
      </c>
      <c r="CI15" s="71">
        <f t="shared" ca="1" si="145"/>
        <v>14.942197996886177</v>
      </c>
      <c r="CJ15" s="71">
        <f t="shared" ca="1" si="146"/>
        <v>5.1071003210345012</v>
      </c>
      <c r="CK15" s="71">
        <f t="shared" ca="1" si="147"/>
        <v>3.7286701966556204</v>
      </c>
    </row>
    <row r="16" spans="1:89" x14ac:dyDescent="0.25">
      <c r="A16" t="str">
        <f>PLANTILLA!D16</f>
        <v>I. Vanags</v>
      </c>
      <c r="B16" s="448">
        <f>PLANTILLA!E16</f>
        <v>28</v>
      </c>
      <c r="C16" s="95">
        <f ca="1">PLANTILLA!F16</f>
        <v>37</v>
      </c>
      <c r="D16" s="448" t="str">
        <f>PLANTILLA!G16</f>
        <v>CAB</v>
      </c>
      <c r="E16" s="203">
        <f>PLANTILLA!O16</f>
        <v>43626</v>
      </c>
      <c r="F16" s="95">
        <f>PLANTILLA!Q16</f>
        <v>7</v>
      </c>
      <c r="G16" s="115">
        <f t="shared" si="74"/>
        <v>1</v>
      </c>
      <c r="H16" s="115">
        <f t="shared" si="75"/>
        <v>1</v>
      </c>
      <c r="I16" s="150">
        <f ca="1">PLANTILLA!P16</f>
        <v>1</v>
      </c>
      <c r="J16" s="151">
        <f>PLANTILLA!I16</f>
        <v>7</v>
      </c>
      <c r="K16" s="48">
        <f>PLANTILLA!X16</f>
        <v>0</v>
      </c>
      <c r="L16" s="48">
        <f>PLANTILLA!Y16</f>
        <v>8.8571428571428577</v>
      </c>
      <c r="M16" s="48">
        <f>PLANTILLA!Z16</f>
        <v>15</v>
      </c>
      <c r="N16" s="48">
        <f>PLANTILLA!AA16</f>
        <v>3</v>
      </c>
      <c r="O16" s="48">
        <f>PLANTILLA!AB16</f>
        <v>4</v>
      </c>
      <c r="P16" s="48">
        <f>PLANTILLA!AC16</f>
        <v>8.2857142857142865</v>
      </c>
      <c r="Q16" s="48">
        <f>PLANTILLA!AD16</f>
        <v>19.399999999999999</v>
      </c>
      <c r="R16" s="151">
        <f t="shared" si="76"/>
        <v>2.4821428571428572</v>
      </c>
      <c r="S16" s="151">
        <f t="shared" ca="1" si="77"/>
        <v>21.524507938861056</v>
      </c>
      <c r="T16" s="48">
        <f t="shared" si="78"/>
        <v>0.99628571428571422</v>
      </c>
      <c r="U16" s="48">
        <f t="shared" si="79"/>
        <v>0.93628571428571428</v>
      </c>
      <c r="V16" s="151">
        <f t="shared" ca="1" si="80"/>
        <v>21.526797386685676</v>
      </c>
      <c r="W16" s="151">
        <f t="shared" ca="1" si="81"/>
        <v>21.526797386685676</v>
      </c>
      <c r="X16" s="71">
        <f t="shared" ca="1" si="82"/>
        <v>4.3012655471480237</v>
      </c>
      <c r="Y16" s="71">
        <f t="shared" ca="1" si="83"/>
        <v>6.5099811404969214</v>
      </c>
      <c r="Z16" s="71">
        <f t="shared" ca="1" si="84"/>
        <v>4.3012655471480237</v>
      </c>
      <c r="AA16" s="71">
        <f t="shared" ca="1" si="85"/>
        <v>5.6677131658155231</v>
      </c>
      <c r="AB16" s="71">
        <f t="shared" ca="1" si="86"/>
        <v>10.983940243828533</v>
      </c>
      <c r="AC16" s="71">
        <f t="shared" ca="1" si="87"/>
        <v>2.8338565829077615</v>
      </c>
      <c r="AD16" s="71">
        <f t="shared" ca="1" si="88"/>
        <v>4.076177778031191</v>
      </c>
      <c r="AE16" s="71">
        <f t="shared" ca="1" si="89"/>
        <v>4.1519294121671857</v>
      </c>
      <c r="AF16" s="71">
        <f t="shared" ca="1" si="90"/>
        <v>7.9413887962880292</v>
      </c>
      <c r="AG16" s="71">
        <f t="shared" ca="1" si="91"/>
        <v>2.0759647060835928</v>
      </c>
      <c r="AH16" s="71">
        <f t="shared" ca="1" si="92"/>
        <v>6.5938169938739861</v>
      </c>
      <c r="AI16" s="71">
        <f t="shared" ca="1" si="93"/>
        <v>10.10522502432225</v>
      </c>
      <c r="AJ16" s="71">
        <f t="shared" ca="1" si="94"/>
        <v>4.5473512609450122</v>
      </c>
      <c r="AK16" s="71">
        <f t="shared" ca="1" si="95"/>
        <v>2.8601751635765083</v>
      </c>
      <c r="AL16" s="71">
        <f t="shared" ca="1" si="96"/>
        <v>3.014556863371177</v>
      </c>
      <c r="AM16" s="71">
        <f t="shared" ca="1" si="97"/>
        <v>8.2818909438467134</v>
      </c>
      <c r="AN16" s="71">
        <f t="shared" ca="1" si="98"/>
        <v>7.7766296926306007</v>
      </c>
      <c r="AO16" s="71">
        <f t="shared" ca="1" si="99"/>
        <v>3.5949751635765081</v>
      </c>
      <c r="AP16" s="71">
        <f t="shared" ca="1" si="100"/>
        <v>1.3273747902226174</v>
      </c>
      <c r="AQ16" s="71">
        <f t="shared" ca="1" si="101"/>
        <v>2.965663865833704</v>
      </c>
      <c r="AR16" s="71">
        <f t="shared" ca="1" si="102"/>
        <v>6.5244605048341482</v>
      </c>
      <c r="AS16" s="71">
        <f t="shared" ca="1" si="103"/>
        <v>1.482831932916852</v>
      </c>
      <c r="AT16" s="71">
        <f t="shared" ca="1" si="104"/>
        <v>16.167696733031278</v>
      </c>
      <c r="AU16" s="71">
        <f t="shared" ca="1" si="105"/>
        <v>0.79648366026913786</v>
      </c>
      <c r="AV16" s="71">
        <f t="shared" ca="1" si="106"/>
        <v>2.536580205727474</v>
      </c>
      <c r="AW16" s="71">
        <f t="shared" ca="1" si="107"/>
        <v>0.39824183013456893</v>
      </c>
      <c r="AX16" s="71">
        <f t="shared" ca="1" si="108"/>
        <v>2.0759647060835928</v>
      </c>
      <c r="AY16" s="71">
        <f t="shared" ca="1" si="109"/>
        <v>4.3935760975314135</v>
      </c>
      <c r="AZ16" s="71">
        <f t="shared" ca="1" si="110"/>
        <v>1.0379823530417964</v>
      </c>
      <c r="BA16" s="71">
        <f t="shared" ca="1" si="111"/>
        <v>17.126797386685677</v>
      </c>
      <c r="BB16" s="71">
        <f t="shared" ca="1" si="112"/>
        <v>1.5500797388314758</v>
      </c>
      <c r="BC16" s="71">
        <f t="shared" ca="1" si="113"/>
        <v>4.2758653600638077</v>
      </c>
      <c r="BD16" s="71">
        <f t="shared" ca="1" si="114"/>
        <v>0.77503986941573788</v>
      </c>
      <c r="BE16" s="71">
        <f t="shared" ca="1" si="115"/>
        <v>3.1963266109541029</v>
      </c>
      <c r="BF16" s="71">
        <f t="shared" ca="1" si="116"/>
        <v>3.8224112048523291</v>
      </c>
      <c r="BG16" s="71">
        <f t="shared" ca="1" si="117"/>
        <v>15.088708497670082</v>
      </c>
      <c r="BH16" s="71">
        <f t="shared" ca="1" si="118"/>
        <v>4.8727228767635653</v>
      </c>
      <c r="BI16" s="71">
        <f t="shared" ca="1" si="119"/>
        <v>1.4765581701912478</v>
      </c>
      <c r="BJ16" s="71">
        <f t="shared" ca="1" si="120"/>
        <v>5.327211018256838</v>
      </c>
      <c r="BK16" s="71">
        <f t="shared" ca="1" si="121"/>
        <v>2.8997602243707328</v>
      </c>
      <c r="BL16" s="71">
        <f t="shared" ca="1" si="122"/>
        <v>6.5253098043272431</v>
      </c>
      <c r="BM16" s="71">
        <f t="shared" ca="1" si="123"/>
        <v>4.6818209159632804</v>
      </c>
      <c r="BN16" s="71">
        <f t="shared" ca="1" si="124"/>
        <v>0.3185934641076551</v>
      </c>
      <c r="BO16" s="71">
        <f t="shared" ca="1" si="125"/>
        <v>1.9771092438891358</v>
      </c>
      <c r="BP16" s="71">
        <f t="shared" ca="1" si="126"/>
        <v>0.74690793658034027</v>
      </c>
      <c r="BQ16" s="71">
        <f t="shared" ca="1" si="127"/>
        <v>5.2236732029391311</v>
      </c>
      <c r="BR16" s="71">
        <f t="shared" ca="1" si="128"/>
        <v>6.8790614392777787</v>
      </c>
      <c r="BS16" s="71">
        <f t="shared" ca="1" si="129"/>
        <v>0.8271176472025662</v>
      </c>
      <c r="BT16" s="71">
        <f t="shared" ca="1" si="130"/>
        <v>3.1194390292473031</v>
      </c>
      <c r="BU16" s="71">
        <f t="shared" ca="1" si="131"/>
        <v>2.680081419494162</v>
      </c>
      <c r="BV16" s="71">
        <f t="shared" ca="1" si="132"/>
        <v>7.7926928109419835</v>
      </c>
      <c r="BW16" s="71">
        <f t="shared" ca="1" si="133"/>
        <v>5.9244915044477278</v>
      </c>
      <c r="BX16" s="71">
        <f t="shared" ca="1" si="134"/>
        <v>0.74134248378896672</v>
      </c>
      <c r="BY16" s="71">
        <f t="shared" ca="1" si="135"/>
        <v>3.1194390292473031</v>
      </c>
      <c r="BZ16" s="71">
        <f t="shared" ca="1" si="136"/>
        <v>2.680081419494162</v>
      </c>
      <c r="CA16" s="71">
        <f t="shared" ca="1" si="137"/>
        <v>10.807009150998663</v>
      </c>
      <c r="CB16" s="71">
        <f t="shared" ca="1" si="138"/>
        <v>4.7814836610836791</v>
      </c>
      <c r="CC16" s="71">
        <f t="shared" ca="1" si="139"/>
        <v>0.90676601322947992</v>
      </c>
      <c r="CD16" s="71">
        <f t="shared" ca="1" si="140"/>
        <v>6.9534797389943854</v>
      </c>
      <c r="CE16" s="71">
        <f t="shared" ca="1" si="141"/>
        <v>3.5923471527489514</v>
      </c>
      <c r="CF16" s="71">
        <f t="shared" ca="1" si="142"/>
        <v>9.3973452859794993</v>
      </c>
      <c r="CG16" s="71">
        <f t="shared" ca="1" si="143"/>
        <v>3.5923471527489514</v>
      </c>
      <c r="CH16" s="71">
        <f t="shared" ca="1" si="144"/>
        <v>4.7102804861908902</v>
      </c>
      <c r="CI16" s="71">
        <f t="shared" ca="1" si="145"/>
        <v>12.673299908086976</v>
      </c>
      <c r="CJ16" s="71">
        <f t="shared" ca="1" si="146"/>
        <v>4.7102804861908902</v>
      </c>
      <c r="CK16" s="71">
        <f t="shared" ca="1" si="147"/>
        <v>4.2816993466714193</v>
      </c>
    </row>
    <row r="17" spans="1:89" x14ac:dyDescent="0.25">
      <c r="A17" t="str">
        <f>PLANTILLA!D17</f>
        <v>I. Stone</v>
      </c>
      <c r="B17" s="448">
        <f>PLANTILLA!E17</f>
        <v>27</v>
      </c>
      <c r="C17" s="95">
        <f ca="1">PLANTILLA!F17</f>
        <v>92</v>
      </c>
      <c r="D17" s="448" t="str">
        <f>PLANTILLA!G17</f>
        <v>RAP</v>
      </c>
      <c r="E17" s="203">
        <f>PLANTILLA!O17</f>
        <v>43633</v>
      </c>
      <c r="F17" s="95">
        <f>PLANTILLA!Q17</f>
        <v>6</v>
      </c>
      <c r="G17" s="115">
        <f t="shared" si="74"/>
        <v>0.92582009977255142</v>
      </c>
      <c r="H17" s="115">
        <f t="shared" si="75"/>
        <v>0.99928545900129484</v>
      </c>
      <c r="I17" s="150">
        <f ca="1">PLANTILLA!P17</f>
        <v>1</v>
      </c>
      <c r="J17" s="151">
        <f>PLANTILLA!I17</f>
        <v>8</v>
      </c>
      <c r="K17" s="48">
        <f>PLANTILLA!X17</f>
        <v>0</v>
      </c>
      <c r="L17" s="48">
        <f>PLANTILLA!Y17</f>
        <v>8.1666666666666661</v>
      </c>
      <c r="M17" s="48">
        <f>PLANTILLA!Z17</f>
        <v>13.818181818181818</v>
      </c>
      <c r="N17" s="48">
        <f>PLANTILLA!AA17</f>
        <v>2</v>
      </c>
      <c r="O17" s="48">
        <f>PLANTILLA!AB17</f>
        <v>6</v>
      </c>
      <c r="P17" s="48">
        <f>PLANTILLA!AC17</f>
        <v>10</v>
      </c>
      <c r="Q17" s="48">
        <f>PLANTILLA!AD17</f>
        <v>19</v>
      </c>
      <c r="R17" s="151">
        <f t="shared" si="76"/>
        <v>2.895833333333333</v>
      </c>
      <c r="S17" s="151">
        <f t="shared" ca="1" si="77"/>
        <v>24.321105161669593</v>
      </c>
      <c r="T17" s="48">
        <f t="shared" si="78"/>
        <v>1.0699999999999998</v>
      </c>
      <c r="U17" s="48">
        <f t="shared" si="79"/>
        <v>0.89666666666666672</v>
      </c>
      <c r="V17" s="151">
        <f t="shared" ca="1" si="80"/>
        <v>19.63120047793166</v>
      </c>
      <c r="W17" s="151">
        <f t="shared" ca="1" si="81"/>
        <v>21.188968769586854</v>
      </c>
      <c r="X17" s="71">
        <f t="shared" ca="1" si="82"/>
        <v>4.1781967448586226</v>
      </c>
      <c r="Y17" s="71">
        <f t="shared" ca="1" si="83"/>
        <v>6.3163522309421314</v>
      </c>
      <c r="Z17" s="71">
        <f t="shared" ca="1" si="84"/>
        <v>4.1781967448586226</v>
      </c>
      <c r="AA17" s="71">
        <f t="shared" ca="1" si="85"/>
        <v>5.3513259110504574</v>
      </c>
      <c r="AB17" s="71">
        <f t="shared" ca="1" si="86"/>
        <v>10.370786649322591</v>
      </c>
      <c r="AC17" s="71">
        <f t="shared" ca="1" si="87"/>
        <v>2.6756629555252287</v>
      </c>
      <c r="AD17" s="71">
        <f t="shared" ca="1" si="88"/>
        <v>3.8133078285993824</v>
      </c>
      <c r="AE17" s="71">
        <f t="shared" ca="1" si="89"/>
        <v>3.9201573534439396</v>
      </c>
      <c r="AF17" s="71">
        <f t="shared" ca="1" si="90"/>
        <v>7.4980787474602328</v>
      </c>
      <c r="AG17" s="71">
        <f t="shared" ca="1" si="91"/>
        <v>1.9600786767219698</v>
      </c>
      <c r="AH17" s="71">
        <f t="shared" ca="1" si="92"/>
        <v>6.1685861933225308</v>
      </c>
      <c r="AI17" s="71">
        <f t="shared" ca="1" si="93"/>
        <v>9.5411237173767844</v>
      </c>
      <c r="AJ17" s="71">
        <f t="shared" ca="1" si="94"/>
        <v>4.2935056728195526</v>
      </c>
      <c r="AK17" s="71">
        <f t="shared" ca="1" si="95"/>
        <v>2.6757244007399028</v>
      </c>
      <c r="AL17" s="71">
        <f t="shared" ca="1" si="96"/>
        <v>2.4720225498016837</v>
      </c>
      <c r="AM17" s="71">
        <f t="shared" ca="1" si="97"/>
        <v>7.819573133589234</v>
      </c>
      <c r="AN17" s="71">
        <f t="shared" ca="1" si="98"/>
        <v>7.3425169477203944</v>
      </c>
      <c r="AO17" s="71">
        <f t="shared" ca="1" si="99"/>
        <v>3.5410880371035396</v>
      </c>
      <c r="AP17" s="71">
        <f t="shared" ca="1" si="100"/>
        <v>1.4687865550049062</v>
      </c>
      <c r="AQ17" s="71">
        <f t="shared" ca="1" si="101"/>
        <v>2.8001123953170999</v>
      </c>
      <c r="AR17" s="71">
        <f t="shared" ca="1" si="102"/>
        <v>6.1602472696976189</v>
      </c>
      <c r="AS17" s="71">
        <f t="shared" ca="1" si="103"/>
        <v>1.4000561976585499</v>
      </c>
      <c r="AT17" s="71">
        <f t="shared" ca="1" si="104"/>
        <v>15.125052899990827</v>
      </c>
      <c r="AU17" s="71">
        <f t="shared" ca="1" si="105"/>
        <v>1.0665355977452702</v>
      </c>
      <c r="AV17" s="71">
        <f t="shared" ca="1" si="106"/>
        <v>3.095807154918186</v>
      </c>
      <c r="AW17" s="71">
        <f t="shared" ca="1" si="107"/>
        <v>0.53326779887263509</v>
      </c>
      <c r="AX17" s="71">
        <f t="shared" ca="1" si="108"/>
        <v>1.9600786767219698</v>
      </c>
      <c r="AY17" s="71">
        <f t="shared" ca="1" si="109"/>
        <v>4.1483146597290368</v>
      </c>
      <c r="AZ17" s="71">
        <f t="shared" ca="1" si="110"/>
        <v>0.98003933836098489</v>
      </c>
      <c r="BA17" s="71">
        <f t="shared" ca="1" si="111"/>
        <v>16.022301800837742</v>
      </c>
      <c r="BB17" s="71">
        <f t="shared" ca="1" si="112"/>
        <v>2.075642355611949</v>
      </c>
      <c r="BC17" s="71">
        <f t="shared" ca="1" si="113"/>
        <v>5.3604701104434147</v>
      </c>
      <c r="BD17" s="71">
        <f t="shared" ca="1" si="114"/>
        <v>1.0378211778059745</v>
      </c>
      <c r="BE17" s="71">
        <f t="shared" ca="1" si="115"/>
        <v>3.0178989149528737</v>
      </c>
      <c r="BF17" s="71">
        <f t="shared" ca="1" si="116"/>
        <v>3.6090337539642614</v>
      </c>
      <c r="BG17" s="71">
        <f t="shared" ca="1" si="117"/>
        <v>14.115647886538051</v>
      </c>
      <c r="BH17" s="71">
        <f t="shared" ca="1" si="118"/>
        <v>4.9974626645811178</v>
      </c>
      <c r="BI17" s="71">
        <f t="shared" ca="1" si="119"/>
        <v>1.9771929158200778</v>
      </c>
      <c r="BJ17" s="71">
        <f t="shared" ca="1" si="120"/>
        <v>5.0298315249214562</v>
      </c>
      <c r="BK17" s="71">
        <f t="shared" ca="1" si="121"/>
        <v>2.7378876754211641</v>
      </c>
      <c r="BL17" s="71">
        <f t="shared" ca="1" si="122"/>
        <v>6.1044969861191793</v>
      </c>
      <c r="BM17" s="71">
        <f t="shared" ca="1" si="123"/>
        <v>4.4784008648412783</v>
      </c>
      <c r="BN17" s="71">
        <f t="shared" ca="1" si="124"/>
        <v>0.42661423909810808</v>
      </c>
      <c r="BO17" s="71">
        <f t="shared" ca="1" si="125"/>
        <v>1.8667415968780663</v>
      </c>
      <c r="BP17" s="71">
        <f t="shared" ca="1" si="126"/>
        <v>0.70521349215393625</v>
      </c>
      <c r="BQ17" s="71">
        <f t="shared" ca="1" si="127"/>
        <v>4.8868020492555111</v>
      </c>
      <c r="BR17" s="71">
        <f t="shared" ca="1" si="128"/>
        <v>6.5504982976955191</v>
      </c>
      <c r="BS17" s="71">
        <f t="shared" ca="1" si="129"/>
        <v>1.10755619765855</v>
      </c>
      <c r="BT17" s="71">
        <f t="shared" ca="1" si="130"/>
        <v>2.9453034084076157</v>
      </c>
      <c r="BU17" s="71">
        <f t="shared" ca="1" si="131"/>
        <v>2.530471942434712</v>
      </c>
      <c r="BV17" s="71">
        <f t="shared" ca="1" si="132"/>
        <v>7.2901473193811723</v>
      </c>
      <c r="BW17" s="71">
        <f t="shared" ca="1" si="133"/>
        <v>5.6341649407827648</v>
      </c>
      <c r="BX17" s="71">
        <f t="shared" ca="1" si="134"/>
        <v>0.99269851790136687</v>
      </c>
      <c r="BY17" s="71">
        <f t="shared" ca="1" si="135"/>
        <v>2.9453034084076157</v>
      </c>
      <c r="BZ17" s="71">
        <f t="shared" ca="1" si="136"/>
        <v>2.530471942434712</v>
      </c>
      <c r="CA17" s="71">
        <f t="shared" ca="1" si="137"/>
        <v>10.110072436328615</v>
      </c>
      <c r="CB17" s="71">
        <f t="shared" ca="1" si="138"/>
        <v>4.5346873844770528</v>
      </c>
      <c r="CC17" s="71">
        <f t="shared" ca="1" si="139"/>
        <v>1.2142097574330768</v>
      </c>
      <c r="CD17" s="71">
        <f t="shared" ca="1" si="140"/>
        <v>6.5050545311401233</v>
      </c>
      <c r="CE17" s="71">
        <f t="shared" ca="1" si="141"/>
        <v>4.206346510963737</v>
      </c>
      <c r="CF17" s="71">
        <f t="shared" ca="1" si="142"/>
        <v>11.569839100470571</v>
      </c>
      <c r="CG17" s="71">
        <f t="shared" ca="1" si="143"/>
        <v>4.206346510963737</v>
      </c>
      <c r="CH17" s="71">
        <f t="shared" ca="1" si="144"/>
        <v>5.267166749194641</v>
      </c>
      <c r="CI17" s="71">
        <f t="shared" ca="1" si="145"/>
        <v>15.231440256255961</v>
      </c>
      <c r="CJ17" s="71">
        <f t="shared" ca="1" si="146"/>
        <v>5.267166749194641</v>
      </c>
      <c r="CK17" s="71">
        <f t="shared" ca="1" si="147"/>
        <v>4.0055754502094354</v>
      </c>
    </row>
    <row r="18" spans="1:89" x14ac:dyDescent="0.25">
      <c r="A18" t="str">
        <f>PLANTILLA!D18</f>
        <v>G. Piscaer</v>
      </c>
      <c r="B18" s="448">
        <f>PLANTILLA!E18</f>
        <v>28</v>
      </c>
      <c r="C18" s="95">
        <f ca="1">PLANTILLA!F18</f>
        <v>53</v>
      </c>
      <c r="D18" s="448" t="str">
        <f>PLANTILLA!G18</f>
        <v>IMP</v>
      </c>
      <c r="E18" s="203">
        <f>PLANTILLA!O18</f>
        <v>43630</v>
      </c>
      <c r="F18" s="95">
        <f>PLANTILLA!Q18</f>
        <v>4</v>
      </c>
      <c r="G18" s="115">
        <f t="shared" si="74"/>
        <v>0.7559289460184544</v>
      </c>
      <c r="H18" s="115">
        <f t="shared" si="75"/>
        <v>0.84430867747355465</v>
      </c>
      <c r="I18" s="150">
        <f ca="1">PLANTILLA!P18</f>
        <v>1</v>
      </c>
      <c r="J18" s="151">
        <f>PLANTILLA!I18</f>
        <v>9</v>
      </c>
      <c r="K18" s="48">
        <f>PLANTILLA!X18</f>
        <v>0</v>
      </c>
      <c r="L18" s="48">
        <f>PLANTILLA!Y18</f>
        <v>9.25</v>
      </c>
      <c r="M18" s="48">
        <f>PLANTILLA!Z18</f>
        <v>15</v>
      </c>
      <c r="N18" s="48">
        <f>PLANTILLA!AA18</f>
        <v>3</v>
      </c>
      <c r="O18" s="48">
        <f>PLANTILLA!AB18</f>
        <v>2</v>
      </c>
      <c r="P18" s="48">
        <f>PLANTILLA!AC18</f>
        <v>9.25</v>
      </c>
      <c r="Q18" s="48">
        <f>PLANTILLA!AD18</f>
        <v>18.666666666666668</v>
      </c>
      <c r="R18" s="151">
        <f t="shared" si="76"/>
        <v>2.03125</v>
      </c>
      <c r="S18" s="151">
        <f t="shared" ca="1" si="77"/>
        <v>23.043501261147881</v>
      </c>
      <c r="T18" s="48">
        <f t="shared" si="78"/>
        <v>1.0225000000000002</v>
      </c>
      <c r="U18" s="48">
        <f t="shared" si="79"/>
        <v>0.93</v>
      </c>
      <c r="V18" s="151">
        <f t="shared" ca="1" si="80"/>
        <v>15.828388650904904</v>
      </c>
      <c r="W18" s="151">
        <f t="shared" ca="1" si="81"/>
        <v>17.67897096515826</v>
      </c>
      <c r="X18" s="71">
        <f t="shared" ca="1" si="82"/>
        <v>4.5367382809873744</v>
      </c>
      <c r="Y18" s="71">
        <f t="shared" ca="1" si="83"/>
        <v>6.8648194395815576</v>
      </c>
      <c r="Z18" s="71">
        <f t="shared" ca="1" si="84"/>
        <v>4.5367382809873744</v>
      </c>
      <c r="AA18" s="71">
        <f t="shared" ca="1" si="85"/>
        <v>5.9455188464942559</v>
      </c>
      <c r="AB18" s="71">
        <f t="shared" ca="1" si="86"/>
        <v>11.5223233459191</v>
      </c>
      <c r="AC18" s="71">
        <f t="shared" ca="1" si="87"/>
        <v>2.9727594232471279</v>
      </c>
      <c r="AD18" s="71">
        <f t="shared" ca="1" si="88"/>
        <v>4.1108129563287461</v>
      </c>
      <c r="AE18" s="71">
        <f t="shared" ca="1" si="89"/>
        <v>4.3554382247574202</v>
      </c>
      <c r="AF18" s="71">
        <f t="shared" ca="1" si="90"/>
        <v>8.3306397790995081</v>
      </c>
      <c r="AG18" s="71">
        <f t="shared" ca="1" si="91"/>
        <v>2.1777191123787101</v>
      </c>
      <c r="AH18" s="71">
        <f t="shared" ca="1" si="92"/>
        <v>6.6498444881788545</v>
      </c>
      <c r="AI18" s="71">
        <f t="shared" ca="1" si="93"/>
        <v>10.600537478245572</v>
      </c>
      <c r="AJ18" s="71">
        <f t="shared" ca="1" si="94"/>
        <v>4.7702418652105072</v>
      </c>
      <c r="AK18" s="71">
        <f t="shared" ca="1" si="95"/>
        <v>2.8844779987684901</v>
      </c>
      <c r="AL18" s="71">
        <f t="shared" ca="1" si="96"/>
        <v>3.1001261274004306</v>
      </c>
      <c r="AM18" s="71">
        <f t="shared" ca="1" si="97"/>
        <v>8.6878318028230019</v>
      </c>
      <c r="AN18" s="71">
        <f t="shared" ca="1" si="98"/>
        <v>8.1578049289107213</v>
      </c>
      <c r="AO18" s="71">
        <f t="shared" ca="1" si="99"/>
        <v>3.4968113321018235</v>
      </c>
      <c r="AP18" s="71">
        <f t="shared" ca="1" si="100"/>
        <v>1.2394291236247006</v>
      </c>
      <c r="AQ18" s="71">
        <f t="shared" ca="1" si="101"/>
        <v>3.1110273033981573</v>
      </c>
      <c r="AR18" s="71">
        <f t="shared" ca="1" si="102"/>
        <v>6.8442600674759451</v>
      </c>
      <c r="AS18" s="71">
        <f t="shared" ca="1" si="103"/>
        <v>1.5555136516990786</v>
      </c>
      <c r="AT18" s="71">
        <f t="shared" ca="1" si="104"/>
        <v>16.305073238547632</v>
      </c>
      <c r="AU18" s="71">
        <f t="shared" ca="1" si="105"/>
        <v>0.55540203496948293</v>
      </c>
      <c r="AV18" s="71">
        <f t="shared" ca="1" si="106"/>
        <v>2.5060407403542961</v>
      </c>
      <c r="AW18" s="71">
        <f t="shared" ca="1" si="107"/>
        <v>0.27770101748474146</v>
      </c>
      <c r="AX18" s="71">
        <f t="shared" ca="1" si="108"/>
        <v>2.1777191123787101</v>
      </c>
      <c r="AY18" s="71">
        <f t="shared" ca="1" si="109"/>
        <v>4.6089293383676404</v>
      </c>
      <c r="AZ18" s="71">
        <f t="shared" ca="1" si="110"/>
        <v>1.088859556189355</v>
      </c>
      <c r="BA18" s="71">
        <f t="shared" ca="1" si="111"/>
        <v>17.272323345919101</v>
      </c>
      <c r="BB18" s="71">
        <f t="shared" ca="1" si="112"/>
        <v>1.0808978065175323</v>
      </c>
      <c r="BC18" s="71">
        <f t="shared" ca="1" si="113"/>
        <v>3.8765501636014239</v>
      </c>
      <c r="BD18" s="71">
        <f t="shared" ca="1" si="114"/>
        <v>0.54044890325876616</v>
      </c>
      <c r="BE18" s="71">
        <f t="shared" ca="1" si="115"/>
        <v>3.3529960936624579</v>
      </c>
      <c r="BF18" s="71">
        <f t="shared" ca="1" si="116"/>
        <v>4.0097685243798464</v>
      </c>
      <c r="BG18" s="71">
        <f t="shared" ca="1" si="117"/>
        <v>15.216916867754728</v>
      </c>
      <c r="BH18" s="71">
        <f t="shared" ca="1" si="118"/>
        <v>4.3720954545220794</v>
      </c>
      <c r="BI18" s="71">
        <f t="shared" ca="1" si="119"/>
        <v>1.029629926366503</v>
      </c>
      <c r="BJ18" s="71">
        <f t="shared" ca="1" si="120"/>
        <v>5.588326822770763</v>
      </c>
      <c r="BK18" s="71">
        <f t="shared" ca="1" si="121"/>
        <v>3.0418933633226426</v>
      </c>
      <c r="BL18" s="71">
        <f t="shared" ca="1" si="122"/>
        <v>6.5807551947951781</v>
      </c>
      <c r="BM18" s="71">
        <f t="shared" ca="1" si="123"/>
        <v>4.4070106043332933</v>
      </c>
      <c r="BN18" s="71">
        <f t="shared" ca="1" si="124"/>
        <v>0.22216081398779317</v>
      </c>
      <c r="BO18" s="71">
        <f t="shared" ca="1" si="125"/>
        <v>2.0740182022654379</v>
      </c>
      <c r="BP18" s="71">
        <f t="shared" ca="1" si="126"/>
        <v>0.78351798752249879</v>
      </c>
      <c r="BQ18" s="71">
        <f t="shared" ca="1" si="127"/>
        <v>5.2680586205053261</v>
      </c>
      <c r="BR18" s="71">
        <f t="shared" ca="1" si="128"/>
        <v>6.494207822851962</v>
      </c>
      <c r="BS18" s="71">
        <f t="shared" ca="1" si="129"/>
        <v>0.57676365169907851</v>
      </c>
      <c r="BT18" s="71">
        <f t="shared" ca="1" si="130"/>
        <v>3.272339830241024</v>
      </c>
      <c r="BU18" s="71">
        <f t="shared" ca="1" si="131"/>
        <v>2.8114468964042603</v>
      </c>
      <c r="BV18" s="71">
        <f t="shared" ca="1" si="132"/>
        <v>7.858907122393191</v>
      </c>
      <c r="BW18" s="71">
        <f t="shared" ca="1" si="133"/>
        <v>5.5977342672783621</v>
      </c>
      <c r="BX18" s="71">
        <f t="shared" ca="1" si="134"/>
        <v>0.51695112485621109</v>
      </c>
      <c r="BY18" s="71">
        <f t="shared" ca="1" si="135"/>
        <v>3.272339830241024</v>
      </c>
      <c r="BZ18" s="71">
        <f t="shared" ca="1" si="136"/>
        <v>2.8114468964042603</v>
      </c>
      <c r="CA18" s="71">
        <f t="shared" ca="1" si="137"/>
        <v>10.898836031274953</v>
      </c>
      <c r="CB18" s="71">
        <f t="shared" ca="1" si="138"/>
        <v>4.5257293945975938</v>
      </c>
      <c r="CC18" s="71">
        <f t="shared" ca="1" si="139"/>
        <v>0.63230385519602672</v>
      </c>
      <c r="CD18" s="71">
        <f t="shared" ca="1" si="140"/>
        <v>7.0125632784431557</v>
      </c>
      <c r="CE18" s="71">
        <f t="shared" ca="1" si="141"/>
        <v>3.2906304632238506</v>
      </c>
      <c r="CF18" s="71">
        <f t="shared" ca="1" si="142"/>
        <v>9.0373860875049061</v>
      </c>
      <c r="CG18" s="71">
        <f t="shared" ca="1" si="143"/>
        <v>3.2906304632238506</v>
      </c>
      <c r="CH18" s="71">
        <f t="shared" ca="1" si="144"/>
        <v>4.7676574445075985</v>
      </c>
      <c r="CI18" s="71">
        <f t="shared" ca="1" si="145"/>
        <v>13.098810660563247</v>
      </c>
      <c r="CJ18" s="71">
        <f t="shared" ca="1" si="146"/>
        <v>4.7676574445075985</v>
      </c>
      <c r="CK18" s="71">
        <f t="shared" ca="1" si="147"/>
        <v>4.3180808364797754</v>
      </c>
    </row>
    <row r="19" spans="1:89" x14ac:dyDescent="0.25">
      <c r="A19" t="str">
        <f>PLANTILLA!D19</f>
        <v>M. Bondarewski</v>
      </c>
      <c r="B19" s="448">
        <f>PLANTILLA!E19</f>
        <v>28</v>
      </c>
      <c r="C19" s="95">
        <f ca="1">PLANTILLA!F19</f>
        <v>53</v>
      </c>
      <c r="D19" s="448" t="str">
        <f>PLANTILLA!G19</f>
        <v>RAP</v>
      </c>
      <c r="E19" s="203">
        <f>PLANTILLA!O19</f>
        <v>43627</v>
      </c>
      <c r="F19" s="95">
        <f>PLANTILLA!Q19</f>
        <v>5</v>
      </c>
      <c r="G19" s="115">
        <f t="shared" si="74"/>
        <v>0.84515425472851657</v>
      </c>
      <c r="H19" s="115">
        <f t="shared" si="75"/>
        <v>0.92504826128926143</v>
      </c>
      <c r="I19" s="150">
        <f ca="1">PLANTILLA!P19</f>
        <v>1</v>
      </c>
      <c r="J19" s="151">
        <f>PLANTILLA!I19</f>
        <v>9</v>
      </c>
      <c r="K19" s="48">
        <f>PLANTILLA!X19</f>
        <v>0</v>
      </c>
      <c r="L19" s="48">
        <f>PLANTILLA!Y19</f>
        <v>8</v>
      </c>
      <c r="M19" s="48">
        <f>PLANTILLA!Z19</f>
        <v>14.846153846153847</v>
      </c>
      <c r="N19" s="48">
        <f>PLANTILLA!AA19</f>
        <v>5</v>
      </c>
      <c r="O19" s="48">
        <f>PLANTILLA!AB19</f>
        <v>4</v>
      </c>
      <c r="P19" s="48">
        <f>PLANTILLA!AC19</f>
        <v>9.125</v>
      </c>
      <c r="Q19" s="48">
        <f>PLANTILLA!AD19</f>
        <v>20.166666666666668</v>
      </c>
      <c r="R19" s="151">
        <f t="shared" si="76"/>
        <v>2.375</v>
      </c>
      <c r="S19" s="151">
        <f t="shared" ca="1" si="77"/>
        <v>23.661001261147881</v>
      </c>
      <c r="T19" s="48">
        <f t="shared" si="78"/>
        <v>1.06125</v>
      </c>
      <c r="U19" s="48">
        <f t="shared" si="79"/>
        <v>0.92500000000000004</v>
      </c>
      <c r="V19" s="151">
        <f t="shared" ca="1" si="80"/>
        <v>18.964407880947551</v>
      </c>
      <c r="W19" s="151">
        <f t="shared" ca="1" si="81"/>
        <v>20.757148696229567</v>
      </c>
      <c r="X19" s="71">
        <f t="shared" ca="1" si="82"/>
        <v>4.1917382809873747</v>
      </c>
      <c r="Y19" s="71">
        <f t="shared" ca="1" si="83"/>
        <v>6.3335694395815576</v>
      </c>
      <c r="Z19" s="71">
        <f t="shared" ca="1" si="84"/>
        <v>4.1917382809873747</v>
      </c>
      <c r="AA19" s="71">
        <f t="shared" ca="1" si="85"/>
        <v>5.3005188464942554</v>
      </c>
      <c r="AB19" s="71">
        <f t="shared" ca="1" si="86"/>
        <v>10.2723233459191</v>
      </c>
      <c r="AC19" s="71">
        <f t="shared" ca="1" si="87"/>
        <v>2.6502594232471277</v>
      </c>
      <c r="AD19" s="71">
        <f t="shared" ca="1" si="88"/>
        <v>4.0741975717133618</v>
      </c>
      <c r="AE19" s="71">
        <f t="shared" ca="1" si="89"/>
        <v>3.8829382247574196</v>
      </c>
      <c r="AF19" s="71">
        <f t="shared" ca="1" si="90"/>
        <v>7.4268897790995085</v>
      </c>
      <c r="AG19" s="71">
        <f t="shared" ca="1" si="91"/>
        <v>1.9414691123787098</v>
      </c>
      <c r="AH19" s="71">
        <f t="shared" ca="1" si="92"/>
        <v>6.5906137189480853</v>
      </c>
      <c r="AI19" s="71">
        <f t="shared" ca="1" si="93"/>
        <v>9.4505374782455718</v>
      </c>
      <c r="AJ19" s="71">
        <f t="shared" ca="1" si="94"/>
        <v>4.2527418652105071</v>
      </c>
      <c r="AK19" s="71">
        <f t="shared" ca="1" si="95"/>
        <v>2.8587856910761826</v>
      </c>
      <c r="AL19" s="71">
        <f t="shared" ca="1" si="96"/>
        <v>4.2761261274004303</v>
      </c>
      <c r="AM19" s="71">
        <f t="shared" ca="1" si="97"/>
        <v>7.7453318028230012</v>
      </c>
      <c r="AN19" s="71">
        <f t="shared" ca="1" si="98"/>
        <v>7.2728049289107224</v>
      </c>
      <c r="AO19" s="71">
        <f t="shared" ca="1" si="99"/>
        <v>3.7473113321018237</v>
      </c>
      <c r="AP19" s="71">
        <f t="shared" ca="1" si="100"/>
        <v>1.3384291236247006</v>
      </c>
      <c r="AQ19" s="71">
        <f t="shared" ca="1" si="101"/>
        <v>2.7735273033981569</v>
      </c>
      <c r="AR19" s="71">
        <f t="shared" ca="1" si="102"/>
        <v>6.1017600674759453</v>
      </c>
      <c r="AS19" s="71">
        <f t="shared" ca="1" si="103"/>
        <v>1.3867636516990784</v>
      </c>
      <c r="AT19" s="71">
        <f t="shared" ca="1" si="104"/>
        <v>16.159842469316864</v>
      </c>
      <c r="AU19" s="71">
        <f t="shared" ca="1" si="105"/>
        <v>0.81540203496948294</v>
      </c>
      <c r="AV19" s="71">
        <f t="shared" ca="1" si="106"/>
        <v>2.7244157403542961</v>
      </c>
      <c r="AW19" s="71">
        <f t="shared" ca="1" si="107"/>
        <v>0.40770101748474147</v>
      </c>
      <c r="AX19" s="71">
        <f t="shared" ca="1" si="108"/>
        <v>1.9414691123787098</v>
      </c>
      <c r="AY19" s="71">
        <f t="shared" ca="1" si="109"/>
        <v>4.1089293383676404</v>
      </c>
      <c r="AZ19" s="71">
        <f t="shared" ca="1" si="110"/>
        <v>0.97073455618935489</v>
      </c>
      <c r="BA19" s="71">
        <f t="shared" ca="1" si="111"/>
        <v>17.118477192072948</v>
      </c>
      <c r="BB19" s="71">
        <f t="shared" ca="1" si="112"/>
        <v>1.5868978065175323</v>
      </c>
      <c r="BC19" s="71">
        <f t="shared" ca="1" si="113"/>
        <v>4.5323001636014242</v>
      </c>
      <c r="BD19" s="71">
        <f t="shared" ca="1" si="114"/>
        <v>0.79344890325876616</v>
      </c>
      <c r="BE19" s="71">
        <f t="shared" ca="1" si="115"/>
        <v>2.9892460936624579</v>
      </c>
      <c r="BF19" s="71">
        <f t="shared" ca="1" si="116"/>
        <v>3.5747685243798464</v>
      </c>
      <c r="BG19" s="71">
        <f t="shared" ca="1" si="117"/>
        <v>15.081378406216267</v>
      </c>
      <c r="BH19" s="71">
        <f t="shared" ca="1" si="118"/>
        <v>6.150095454522079</v>
      </c>
      <c r="BI19" s="71">
        <f t="shared" ca="1" si="119"/>
        <v>1.511629926366503</v>
      </c>
      <c r="BJ19" s="71">
        <f t="shared" ca="1" si="120"/>
        <v>4.9820768227707628</v>
      </c>
      <c r="BK19" s="71">
        <f t="shared" ca="1" si="121"/>
        <v>2.7118933633226425</v>
      </c>
      <c r="BL19" s="71">
        <f t="shared" ca="1" si="122"/>
        <v>6.5221398101797936</v>
      </c>
      <c r="BM19" s="71">
        <f t="shared" ca="1" si="123"/>
        <v>6.1550106043332935</v>
      </c>
      <c r="BN19" s="71">
        <f t="shared" ca="1" si="124"/>
        <v>0.32616081398779317</v>
      </c>
      <c r="BO19" s="71">
        <f t="shared" ca="1" si="125"/>
        <v>1.8490182022654378</v>
      </c>
      <c r="BP19" s="71">
        <f t="shared" ca="1" si="126"/>
        <v>0.69851798752249883</v>
      </c>
      <c r="BQ19" s="71">
        <f t="shared" ca="1" si="127"/>
        <v>5.2211355435822489</v>
      </c>
      <c r="BR19" s="71">
        <f t="shared" ca="1" si="128"/>
        <v>9.0662078228519611</v>
      </c>
      <c r="BS19" s="71">
        <f t="shared" ca="1" si="129"/>
        <v>0.84676365169907852</v>
      </c>
      <c r="BT19" s="71">
        <f t="shared" ca="1" si="130"/>
        <v>2.9173398302410241</v>
      </c>
      <c r="BU19" s="71">
        <f t="shared" ca="1" si="131"/>
        <v>2.5064468964042601</v>
      </c>
      <c r="BV19" s="71">
        <f t="shared" ca="1" si="132"/>
        <v>7.7889071223931916</v>
      </c>
      <c r="BW19" s="71">
        <f t="shared" ca="1" si="133"/>
        <v>7.8137342672783623</v>
      </c>
      <c r="BX19" s="71">
        <f t="shared" ca="1" si="134"/>
        <v>0.75895112485621108</v>
      </c>
      <c r="BY19" s="71">
        <f t="shared" ca="1" si="135"/>
        <v>2.9173398302410241</v>
      </c>
      <c r="BZ19" s="71">
        <f t="shared" ca="1" si="136"/>
        <v>2.5064468964042601</v>
      </c>
      <c r="CA19" s="71">
        <f t="shared" ca="1" si="137"/>
        <v>10.801759108198031</v>
      </c>
      <c r="CB19" s="71">
        <f t="shared" ca="1" si="138"/>
        <v>6.3157293945975939</v>
      </c>
      <c r="CC19" s="71">
        <f t="shared" ca="1" si="139"/>
        <v>0.92830385519602676</v>
      </c>
      <c r="CD19" s="71">
        <f t="shared" ca="1" si="140"/>
        <v>6.9501017399816174</v>
      </c>
      <c r="CE19" s="71">
        <f t="shared" ca="1" si="141"/>
        <v>4.0627554632238514</v>
      </c>
      <c r="CF19" s="71">
        <f t="shared" ca="1" si="142"/>
        <v>10.050511087504905</v>
      </c>
      <c r="CG19" s="71">
        <f t="shared" ca="1" si="143"/>
        <v>4.0627554632238514</v>
      </c>
      <c r="CH19" s="71">
        <f t="shared" ca="1" si="144"/>
        <v>5.4611574445075988</v>
      </c>
      <c r="CI19" s="71">
        <f t="shared" ca="1" si="145"/>
        <v>13.711810660563248</v>
      </c>
      <c r="CJ19" s="71">
        <f t="shared" ca="1" si="146"/>
        <v>5.4611574445075988</v>
      </c>
      <c r="CK19" s="71">
        <f t="shared" ca="1" si="147"/>
        <v>4.279619298018237</v>
      </c>
    </row>
    <row r="20" spans="1:89" ht="6" customHeight="1" x14ac:dyDescent="0.25">
      <c r="B20" s="448"/>
      <c r="C20" s="95"/>
      <c r="D20" s="448"/>
      <c r="E20" s="203"/>
      <c r="F20" s="95"/>
      <c r="G20" s="115"/>
      <c r="H20" s="115"/>
      <c r="I20" s="150"/>
      <c r="J20" s="151"/>
      <c r="K20" s="48"/>
      <c r="L20" s="48"/>
      <c r="M20" s="48"/>
      <c r="N20" s="48"/>
      <c r="O20" s="48"/>
      <c r="P20" s="48"/>
      <c r="Q20" s="48"/>
      <c r="R20" s="151"/>
      <c r="S20" s="151"/>
      <c r="T20" s="48"/>
      <c r="U20" s="48"/>
      <c r="V20" s="151"/>
      <c r="W20" s="15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</row>
    <row r="21" spans="1:89" ht="6" customHeight="1" x14ac:dyDescent="0.25">
      <c r="B21" s="448"/>
      <c r="C21" s="95"/>
      <c r="D21" s="448"/>
      <c r="E21" s="203"/>
      <c r="F21" s="95"/>
      <c r="G21" s="115"/>
      <c r="H21" s="115"/>
      <c r="I21" s="150"/>
      <c r="J21" s="151"/>
      <c r="K21" s="48"/>
      <c r="L21" s="48"/>
      <c r="M21" s="48"/>
      <c r="N21" s="48"/>
      <c r="O21" s="48"/>
      <c r="P21" s="48"/>
      <c r="Q21" s="48"/>
      <c r="R21" s="151"/>
      <c r="S21" s="151"/>
      <c r="T21" s="48"/>
      <c r="U21" s="48"/>
      <c r="V21" s="151"/>
      <c r="W21" s="15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</row>
    <row r="22" spans="1:89" ht="6" customHeight="1" x14ac:dyDescent="0.25">
      <c r="B22" s="371"/>
      <c r="C22" s="95"/>
      <c r="D22" s="371"/>
      <c r="E22" s="203"/>
      <c r="F22" s="95"/>
      <c r="G22" s="115"/>
      <c r="H22" s="115"/>
      <c r="I22" s="150"/>
      <c r="J22" s="151"/>
      <c r="K22" s="48"/>
      <c r="L22" s="48"/>
      <c r="M22" s="48"/>
      <c r="N22" s="48"/>
      <c r="O22" s="48"/>
      <c r="P22" s="48"/>
      <c r="Q22" s="48"/>
      <c r="R22" s="151"/>
      <c r="S22" s="151"/>
      <c r="T22" s="48"/>
      <c r="U22" s="48"/>
      <c r="V22" s="151"/>
      <c r="W22" s="15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</row>
    <row r="23" spans="1:89" ht="6" customHeight="1" x14ac:dyDescent="0.25">
      <c r="B23" s="371"/>
      <c r="C23" s="95"/>
      <c r="D23" s="371"/>
      <c r="E23" s="203"/>
      <c r="F23" s="95"/>
      <c r="G23" s="115"/>
      <c r="H23" s="115"/>
      <c r="I23" s="150"/>
      <c r="J23" s="151"/>
      <c r="K23" s="48"/>
      <c r="L23" s="48"/>
      <c r="M23" s="48"/>
      <c r="N23" s="48"/>
      <c r="O23" s="48"/>
      <c r="P23" s="48"/>
      <c r="Q23" s="48"/>
      <c r="R23" s="151"/>
      <c r="S23" s="151"/>
      <c r="T23" s="48"/>
      <c r="U23" s="48"/>
      <c r="V23" s="151"/>
      <c r="W23" s="15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</row>
    <row r="24" spans="1:89" ht="6" customHeight="1" x14ac:dyDescent="0.25">
      <c r="B24" s="371"/>
      <c r="C24" s="95"/>
      <c r="D24" s="371"/>
      <c r="E24" s="203"/>
      <c r="F24" s="95"/>
      <c r="G24" s="115"/>
      <c r="H24" s="115"/>
      <c r="I24" s="150"/>
      <c r="J24" s="151"/>
      <c r="K24" s="48"/>
      <c r="L24" s="48"/>
      <c r="M24" s="48"/>
      <c r="N24" s="48"/>
      <c r="O24" s="48"/>
      <c r="P24" s="48"/>
      <c r="Q24" s="48"/>
      <c r="R24" s="151"/>
      <c r="S24" s="151"/>
      <c r="T24" s="48"/>
      <c r="U24" s="48"/>
      <c r="V24" s="151"/>
      <c r="W24" s="15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</row>
    <row r="25" spans="1:89" ht="6" customHeight="1" x14ac:dyDescent="0.25">
      <c r="B25" s="57"/>
      <c r="C25" s="95"/>
      <c r="D25" s="57"/>
      <c r="E25" s="203"/>
      <c r="F25" s="95"/>
      <c r="G25" s="115"/>
      <c r="H25" s="115"/>
      <c r="I25" s="150"/>
      <c r="J25" s="151"/>
      <c r="K25" s="48"/>
      <c r="L25" s="48"/>
      <c r="M25" s="48"/>
      <c r="N25" s="48"/>
      <c r="O25" s="48"/>
      <c r="P25" s="48"/>
      <c r="Q25" s="48"/>
      <c r="R25" s="151"/>
      <c r="S25" s="151"/>
      <c r="T25" s="48"/>
      <c r="U25" s="48"/>
      <c r="V25" s="151"/>
      <c r="W25" s="15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</row>
    <row r="26" spans="1:89" ht="6" customHeight="1" x14ac:dyDescent="0.25">
      <c r="B26" s="57"/>
      <c r="C26" s="95"/>
      <c r="D26" s="57"/>
      <c r="E26" s="203"/>
      <c r="F26" s="95"/>
      <c r="G26" s="115"/>
      <c r="H26" s="115"/>
      <c r="I26" s="150"/>
      <c r="J26" s="151"/>
      <c r="K26" s="48"/>
      <c r="L26" s="48"/>
      <c r="M26" s="48"/>
      <c r="N26" s="48"/>
      <c r="O26" s="48"/>
      <c r="P26" s="48"/>
      <c r="Q26" s="48"/>
      <c r="R26" s="151"/>
      <c r="S26" s="151"/>
      <c r="T26" s="48"/>
      <c r="U26" s="48"/>
      <c r="V26" s="151"/>
      <c r="W26" s="15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</row>
    <row r="27" spans="1:89" ht="6" customHeight="1" x14ac:dyDescent="0.25">
      <c r="D27" s="57"/>
    </row>
    <row r="28" spans="1:89" ht="18.75" x14ac:dyDescent="0.3">
      <c r="A28" s="133" t="s">
        <v>266</v>
      </c>
      <c r="B28" s="133" t="s">
        <v>267</v>
      </c>
      <c r="C28" s="133"/>
      <c r="D28" s="134"/>
      <c r="L28" s="44"/>
      <c r="M28" s="44"/>
    </row>
    <row r="29" spans="1:89" x14ac:dyDescent="0.25">
      <c r="A29" s="69" t="s">
        <v>268</v>
      </c>
      <c r="B29" s="135">
        <v>1</v>
      </c>
      <c r="C29" s="152">
        <v>0.624</v>
      </c>
      <c r="D29" s="153">
        <v>0.24500000000000002</v>
      </c>
    </row>
    <row r="30" spans="1:89" x14ac:dyDescent="0.25">
      <c r="A30" s="69" t="s">
        <v>269</v>
      </c>
      <c r="B30" s="135">
        <v>1</v>
      </c>
      <c r="C30" s="152">
        <v>1.002</v>
      </c>
      <c r="D30" s="153">
        <v>0.34000000000000008</v>
      </c>
    </row>
    <row r="31" spans="1:89" x14ac:dyDescent="0.25">
      <c r="A31" s="69" t="s">
        <v>270</v>
      </c>
      <c r="B31" s="135">
        <v>1</v>
      </c>
      <c r="C31" s="152">
        <v>0.46800000000000008</v>
      </c>
      <c r="D31" s="153">
        <v>0.125</v>
      </c>
    </row>
    <row r="32" spans="1:89" x14ac:dyDescent="0.25">
      <c r="A32" s="69" t="s">
        <v>271</v>
      </c>
      <c r="B32" s="135">
        <v>1</v>
      </c>
      <c r="C32" s="152">
        <v>0.877</v>
      </c>
      <c r="D32" s="153">
        <v>0.25</v>
      </c>
    </row>
    <row r="33" spans="1:85" x14ac:dyDescent="0.25">
      <c r="A33" s="69" t="s">
        <v>272</v>
      </c>
      <c r="B33" s="135">
        <v>1</v>
      </c>
      <c r="C33" s="152">
        <v>0.59299999999999997</v>
      </c>
      <c r="D33" s="153">
        <v>0.19</v>
      </c>
    </row>
    <row r="35" spans="1:85" ht="15.75" x14ac:dyDescent="0.25">
      <c r="A35" s="557" t="s">
        <v>273</v>
      </c>
      <c r="B35" s="557"/>
      <c r="C35" s="557"/>
      <c r="D35" s="557"/>
      <c r="E35" s="557"/>
    </row>
    <row r="36" spans="1:85" x14ac:dyDescent="0.25">
      <c r="A36" s="142" t="s">
        <v>84</v>
      </c>
      <c r="B36" s="142" t="s">
        <v>187</v>
      </c>
      <c r="C36" s="142" t="s">
        <v>86</v>
      </c>
      <c r="D36" s="143" t="s">
        <v>186</v>
      </c>
      <c r="E36" s="142" t="s">
        <v>256</v>
      </c>
      <c r="F36" s="145" t="s">
        <v>96</v>
      </c>
      <c r="G36" s="146" t="s">
        <v>258</v>
      </c>
      <c r="H36" s="146" t="s">
        <v>14</v>
      </c>
      <c r="I36" s="146" t="s">
        <v>37</v>
      </c>
      <c r="J36" s="146" t="s">
        <v>167</v>
      </c>
      <c r="K36" s="146" t="s">
        <v>30</v>
      </c>
      <c r="L36" s="146" t="s">
        <v>169</v>
      </c>
      <c r="M36" s="146" t="s">
        <v>170</v>
      </c>
      <c r="N36" s="146" t="s">
        <v>171</v>
      </c>
      <c r="O36" s="147" t="s">
        <v>259</v>
      </c>
      <c r="P36" s="147" t="s">
        <v>114</v>
      </c>
      <c r="Q36" s="147" t="s">
        <v>260</v>
      </c>
      <c r="R36" s="147" t="s">
        <v>261</v>
      </c>
      <c r="S36" s="147" t="s">
        <v>116</v>
      </c>
      <c r="T36" s="148" t="s">
        <v>262</v>
      </c>
      <c r="U36" s="148" t="s">
        <v>263</v>
      </c>
      <c r="V36" s="148" t="s">
        <v>262</v>
      </c>
      <c r="W36" s="149" t="s">
        <v>262</v>
      </c>
      <c r="X36" s="149" t="s">
        <v>263</v>
      </c>
      <c r="Y36" s="149" t="s">
        <v>262</v>
      </c>
      <c r="Z36" s="149" t="s">
        <v>28</v>
      </c>
      <c r="AA36" s="149" t="s">
        <v>262</v>
      </c>
      <c r="AB36" s="149" t="s">
        <v>263</v>
      </c>
      <c r="AC36" s="149" t="s">
        <v>262</v>
      </c>
      <c r="AD36" s="149" t="s">
        <v>28</v>
      </c>
      <c r="AE36" s="148" t="s">
        <v>262</v>
      </c>
      <c r="AF36" s="148" t="s">
        <v>263</v>
      </c>
      <c r="AG36" s="148" t="s">
        <v>28</v>
      </c>
      <c r="AH36" s="148" t="s">
        <v>264</v>
      </c>
      <c r="AI36" s="148" t="s">
        <v>262</v>
      </c>
      <c r="AJ36" s="148" t="s">
        <v>263</v>
      </c>
      <c r="AK36" s="148" t="s">
        <v>28</v>
      </c>
      <c r="AL36" s="148" t="s">
        <v>264</v>
      </c>
      <c r="AM36" s="148" t="s">
        <v>262</v>
      </c>
      <c r="AN36" s="148" t="s">
        <v>263</v>
      </c>
      <c r="AO36" s="148" t="s">
        <v>262</v>
      </c>
      <c r="AP36" s="148" t="s">
        <v>28</v>
      </c>
      <c r="AQ36" s="148" t="s">
        <v>264</v>
      </c>
      <c r="AR36" s="148" t="s">
        <v>265</v>
      </c>
      <c r="AS36" s="148" t="s">
        <v>264</v>
      </c>
      <c r="AT36" s="148" t="s">
        <v>262</v>
      </c>
      <c r="AU36" s="148" t="s">
        <v>263</v>
      </c>
      <c r="AV36" s="148" t="s">
        <v>262</v>
      </c>
      <c r="AW36" s="148" t="s">
        <v>28</v>
      </c>
      <c r="AX36" s="148" t="s">
        <v>264</v>
      </c>
      <c r="AY36" s="148" t="s">
        <v>265</v>
      </c>
      <c r="AZ36" s="148" t="s">
        <v>264</v>
      </c>
      <c r="BA36" s="149" t="s">
        <v>262</v>
      </c>
      <c r="BB36" s="149" t="s">
        <v>263</v>
      </c>
      <c r="BC36" s="149" t="s">
        <v>28</v>
      </c>
      <c r="BD36" s="149" t="s">
        <v>264</v>
      </c>
      <c r="BE36" s="149" t="s">
        <v>265</v>
      </c>
      <c r="BF36" s="149" t="s">
        <v>262</v>
      </c>
      <c r="BG36" s="149" t="s">
        <v>263</v>
      </c>
      <c r="BH36" s="149" t="s">
        <v>28</v>
      </c>
      <c r="BI36" s="149" t="s">
        <v>264</v>
      </c>
      <c r="BJ36" s="149" t="s">
        <v>265</v>
      </c>
      <c r="BK36" s="148" t="s">
        <v>262</v>
      </c>
      <c r="BL36" s="148" t="s">
        <v>263</v>
      </c>
      <c r="BM36" s="148" t="s">
        <v>28</v>
      </c>
      <c r="BN36" s="148" t="s">
        <v>264</v>
      </c>
      <c r="BO36" s="148" t="s">
        <v>265</v>
      </c>
      <c r="BP36" s="148" t="s">
        <v>262</v>
      </c>
      <c r="BQ36" s="148" t="s">
        <v>263</v>
      </c>
      <c r="BR36" s="148" t="s">
        <v>28</v>
      </c>
      <c r="BS36" s="148" t="s">
        <v>264</v>
      </c>
      <c r="BT36" s="148" t="s">
        <v>265</v>
      </c>
      <c r="BU36" s="148" t="s">
        <v>262</v>
      </c>
      <c r="BV36" s="148" t="s">
        <v>263</v>
      </c>
      <c r="BW36" s="148" t="s">
        <v>28</v>
      </c>
      <c r="BX36" s="148" t="s">
        <v>264</v>
      </c>
      <c r="BY36" s="148" t="s">
        <v>265</v>
      </c>
      <c r="BZ36" s="149" t="s">
        <v>28</v>
      </c>
      <c r="CA36" s="149" t="s">
        <v>264</v>
      </c>
      <c r="CB36" s="149" t="s">
        <v>265</v>
      </c>
      <c r="CC36" s="149" t="s">
        <v>264</v>
      </c>
      <c r="CD36" s="148" t="s">
        <v>264</v>
      </c>
      <c r="CE36" s="148" t="s">
        <v>265</v>
      </c>
      <c r="CF36" s="148" t="s">
        <v>264</v>
      </c>
      <c r="CG36" s="148" t="s">
        <v>28</v>
      </c>
    </row>
    <row r="37" spans="1:85" x14ac:dyDescent="0.25">
      <c r="A37" t="str">
        <f t="shared" ref="A37:E46" si="148">A3</f>
        <v>D. Gehmacher</v>
      </c>
      <c r="B37">
        <f t="shared" si="148"/>
        <v>44</v>
      </c>
      <c r="C37" s="49">
        <f t="shared" ca="1" si="148"/>
        <v>82</v>
      </c>
      <c r="D37">
        <f t="shared" si="148"/>
        <v>0</v>
      </c>
      <c r="E37" s="203">
        <f t="shared" si="148"/>
        <v>42468</v>
      </c>
      <c r="F37" s="150">
        <f t="shared" ref="F37:F57" ca="1" si="149">I3</f>
        <v>1</v>
      </c>
      <c r="G37" s="151">
        <f t="shared" ref="G37:G57" si="150">J3</f>
        <v>26.2</v>
      </c>
      <c r="H37" s="48">
        <f t="shared" ref="H37:H57" si="151">K3</f>
        <v>3.95</v>
      </c>
      <c r="I37" s="48">
        <f t="shared" ref="I37:I57" si="152">L3</f>
        <v>0</v>
      </c>
      <c r="J37" s="48">
        <f t="shared" ref="J37:J57" si="153">M3</f>
        <v>0</v>
      </c>
      <c r="K37" s="48">
        <f t="shared" ref="K37:K57" si="154">N3</f>
        <v>0</v>
      </c>
      <c r="L37" s="48">
        <f t="shared" ref="L37:L57" si="155">O3</f>
        <v>0</v>
      </c>
      <c r="M37" s="48">
        <f t="shared" ref="M37:M57" si="156">P3</f>
        <v>0</v>
      </c>
      <c r="N37" s="48">
        <f t="shared" ref="N37:N57" si="157">Q3</f>
        <v>8</v>
      </c>
      <c r="O37" s="151">
        <f t="shared" ref="O37:O57" si="158">((2*(L37+1))+(I37+1))/8</f>
        <v>0.375</v>
      </c>
      <c r="P37" s="151">
        <f t="shared" ref="P37:P57" ca="1" si="159">1.66*(M37+(LOG(G37)*4/3)+F37)+0.55*(N37+(LOG(G37)*4/3)+F37)-7.6</f>
        <v>3.1892611384221841</v>
      </c>
      <c r="Q37" s="151">
        <f t="shared" ref="Q37:Q57" si="160">(0.5*M37+0.3*N37)/10</f>
        <v>0.24</v>
      </c>
      <c r="R37" s="151">
        <f t="shared" ref="R37:R57" si="161">(0.4*I37+0.3*N37)/10</f>
        <v>0.24</v>
      </c>
      <c r="S37" s="151">
        <f t="shared" ref="S37:S57" ca="1" si="162">IF(TODAY()-E37&gt;335,(N37+1+(LOG(G37)*4/3)),(N37+((TODAY()-E37)^0.5)/(336^0.5)+(LOG(G37)*4/3)))</f>
        <v>10.891068388426326</v>
      </c>
      <c r="T37" s="71">
        <f t="shared" ref="T37:T57" ca="1" si="163">((H37+F37+(LOG(G37)*4/3))*0.597)+((I37+F37+(LOG(G37)*4/3))*0.276)</f>
        <v>4.8820527030961838</v>
      </c>
      <c r="U37" s="71">
        <f t="shared" ref="U37:U57" ca="1" si="164">((H37+F37+(LOG(G37)*4/3))*0.866)+((I37+F37+(LOG(G37)*4/3))*0.425)</f>
        <v>7.1530692894583883</v>
      </c>
      <c r="V37" s="71">
        <f t="shared" ref="V37:V57" ca="1" si="165">T37</f>
        <v>4.8820527030961838</v>
      </c>
      <c r="W37" s="71">
        <f t="shared" ref="W37:W57" ca="1" si="166">((I37+F37+(LOG(G37)*4/3))*0.516)</f>
        <v>1.4917912884279849</v>
      </c>
      <c r="X37" s="71">
        <f t="shared" ref="X37:X57" ca="1" si="167">(I37+F37+(LOG(G37)*4/3))*1</f>
        <v>2.8910683884263273</v>
      </c>
      <c r="Y37" s="71">
        <f t="shared" ref="Y37:Y57" ca="1" si="168">W37/2</f>
        <v>0.74589564421399246</v>
      </c>
      <c r="Z37" s="71">
        <f t="shared" ref="Z37:Z57" ca="1" si="169">(J37+F37+(LOG(G37)*4/3))*0.238</f>
        <v>0.68807427644546582</v>
      </c>
      <c r="AA37" s="71">
        <f t="shared" ref="AA37:AA57" ca="1" si="170">((I37+F37+(LOG(G37)*4/3))*0.378)</f>
        <v>1.0928238508251518</v>
      </c>
      <c r="AB37" s="71">
        <f t="shared" ref="AB37:AB57" ca="1" si="171">(I37+F37+(LOG(G37)*4/3))*0.723</f>
        <v>2.0902424448322345</v>
      </c>
      <c r="AC37" s="71">
        <f t="shared" ref="AC37:AC57" ca="1" si="172">AA37/2</f>
        <v>0.54641192541257588</v>
      </c>
      <c r="AD37" s="71">
        <f t="shared" ref="AD37:AD57" ca="1" si="173">(J37+F37+(LOG(G37)*4/3))*0.385</f>
        <v>1.1130613295441361</v>
      </c>
      <c r="AE37" s="237">
        <f t="shared" ref="AE37:AE57" ca="1" si="174">((I37+F37+(LOG(G37)*4/3))*0.92)</f>
        <v>2.6597829173522212</v>
      </c>
      <c r="AF37" s="71">
        <f t="shared" ref="AF37:AF57" ca="1" si="175">(I37+F37+(LOG(G37)*4/3))*0.414</f>
        <v>1.1969023128084995</v>
      </c>
      <c r="AG37" s="71">
        <f t="shared" ref="AG37:AG57" ca="1" si="176">((J37+F37+(LOG(G37)*4/3))*0.167)</f>
        <v>0.48280842086719666</v>
      </c>
      <c r="AH37" s="237">
        <f t="shared" ref="AH37:AH57" ca="1" si="177">(K37+F37+(LOG(G37)*4/3))*0.588</f>
        <v>1.6999482123946803</v>
      </c>
      <c r="AI37" s="71">
        <f t="shared" ref="AI37:AI57" ca="1" si="178">((I37+F37+(LOG(G37)*4/3))*0.754)</f>
        <v>2.1798655648734506</v>
      </c>
      <c r="AJ37" s="71">
        <f t="shared" ref="AJ37:AJ57" ca="1" si="179">((I37+F37+(LOG(G37)*4/3))*0.708)</f>
        <v>2.0468764190058395</v>
      </c>
      <c r="AK37" s="71">
        <f t="shared" ref="AK37:AK57" ca="1" si="180">((N37+F37+(LOG(G37)*4/3))*0.167)</f>
        <v>1.8188084208671966</v>
      </c>
      <c r="AL37" s="71">
        <f t="shared" ref="AL37:AL57" ca="1" si="181">((O37+F37+(LOG(G37)*4/3))*0.288)</f>
        <v>0.94062769586678219</v>
      </c>
      <c r="AM37" s="71">
        <f t="shared" ref="AM37:AM57" ca="1" si="182">((I37+F37+(LOG(G37)*4/3))*0.27)</f>
        <v>0.78058846487510847</v>
      </c>
      <c r="AN37" s="71">
        <f t="shared" ref="AN37:AN57" ca="1" si="183">((I37+F37+(LOG(G37)*4/3))*0.594)</f>
        <v>1.7172946227252384</v>
      </c>
      <c r="AO37" s="71">
        <f t="shared" ref="AO37:AO57" ca="1" si="184">AM37/2</f>
        <v>0.39029423243755423</v>
      </c>
      <c r="AP37" s="71">
        <f t="shared" ref="AP37:AP57" ca="1" si="185">((J37+F37+(LOG(G37)*4/3))*0.944)</f>
        <v>2.729168558674453</v>
      </c>
      <c r="AQ37" s="71">
        <f t="shared" ref="AQ37:AQ57" ca="1" si="186">((L37+F37+(LOG(G37)*4/3))*0.13)</f>
        <v>0.37583889049542257</v>
      </c>
      <c r="AR37" s="71">
        <f t="shared" ref="AR37:AR57" ca="1" si="187">((M37+F37+(LOG(G37)*4/3))*0.173)+((L37+F37+(LOG(G37)*4/3))*0.12)</f>
        <v>0.84708303780891381</v>
      </c>
      <c r="AS37" s="71">
        <f t="shared" ref="AS37:AS57" ca="1" si="188">AQ37/2</f>
        <v>0.18791944524771129</v>
      </c>
      <c r="AT37" s="71">
        <f t="shared" ref="AT37:AT57" ca="1" si="189">((I37+F37+(LOG(G37)*4/3))*0.189)</f>
        <v>0.54641192541257588</v>
      </c>
      <c r="AU37" s="71">
        <f t="shared" ref="AU37:AU57" ca="1" si="190">((I37+F37+(LOG(G37)*4/3))*0.4)</f>
        <v>1.1564273553705309</v>
      </c>
      <c r="AV37" s="71">
        <f t="shared" ref="AV37:AV57" ca="1" si="191">AT37/2</f>
        <v>0.27320596270628794</v>
      </c>
      <c r="AW37" s="71">
        <f t="shared" ref="AW37:AW57" ca="1" si="192">((J37+F37+(LOG(G37)*4/3))*1)</f>
        <v>2.8910683884263273</v>
      </c>
      <c r="AX37" s="71">
        <f t="shared" ref="AX37:AX57" ca="1" si="193">((L37+F37+(LOG(G37)*4/3))*0.253)</f>
        <v>0.73144030227186085</v>
      </c>
      <c r="AY37" s="71">
        <f t="shared" ref="AY37:AY57" ca="1" si="194">((M37+F37+(LOG(G37)*4/3))*0.21)+((L37+F37+(LOG(G37)*4/3))*0.341)</f>
        <v>1.5929786820229066</v>
      </c>
      <c r="AZ37" s="71">
        <f t="shared" ref="AZ37:AZ57" ca="1" si="195">AX37/2</f>
        <v>0.36572015113593043</v>
      </c>
      <c r="BA37" s="71">
        <f t="shared" ref="BA37:BA57" ca="1" si="196">((I37+F37+(LOG(G37)*4/3))*0.291)</f>
        <v>0.84130090103206123</v>
      </c>
      <c r="BB37" s="71">
        <f t="shared" ref="BB37:BB57" ca="1" si="197">((I37+F37+(LOG(G37)*4/3))*0.348)</f>
        <v>1.0060917991723619</v>
      </c>
      <c r="BC37" s="71">
        <f t="shared" ref="BC37:BC57" ca="1" si="198">((J37+F37+(LOG(G37)*4/3))*0.881)</f>
        <v>2.5470312502035943</v>
      </c>
      <c r="BD37" s="71">
        <f t="shared" ref="BD37:BD57" ca="1" si="199">((K37+F37+(LOG(G37)*4/3))*0.574)+((L37+F37+(LOG(G37)*4/3))*0.315)</f>
        <v>2.5701597973110051</v>
      </c>
      <c r="BE37" s="71">
        <f t="shared" ref="BE37:BE57" ca="1" si="200">((L37+F37+(LOG(G37)*4/3))*0.241)</f>
        <v>0.69674748161074485</v>
      </c>
      <c r="BF37" s="71">
        <f t="shared" ref="BF37:BF57" ca="1" si="201">((I37+F37+(LOG(G37)*4/3))*0.485)</f>
        <v>1.4021681683867686</v>
      </c>
      <c r="BG37" s="71">
        <f t="shared" ref="BG37:BG57" ca="1" si="202">((I37+F37+(LOG(G37)*4/3))*0.264)</f>
        <v>0.76324205454455041</v>
      </c>
      <c r="BH37" s="71">
        <f t="shared" ref="BH37:BH57" ca="1" si="203">((J37+F37+(LOG(G37)*4/3))*0.381)</f>
        <v>1.1014970559904307</v>
      </c>
      <c r="BI37" s="71">
        <f t="shared" ref="BI37:BI57" ca="1" si="204">((K37+F37+(LOG(G37)*4/3))*0.673)+((L37+F37+(LOG(G37)*4/3))*0.201)</f>
        <v>2.52679377148461</v>
      </c>
      <c r="BJ37" s="71">
        <f t="shared" ref="BJ37:BJ57" ca="1" si="205">((L37+F37+(LOG(G37)*4/3))*0.052)</f>
        <v>0.15033555619816902</v>
      </c>
      <c r="BK37" s="71">
        <f t="shared" ref="BK37:BK57" ca="1" si="206">((I37+F37+(LOG(G37)*4/3))*0.18)</f>
        <v>0.5203923099167389</v>
      </c>
      <c r="BL37" s="71">
        <f t="shared" ref="BL37:BL57" ca="1" si="207">(I37+F37+(LOG(G37)*4/3))*0.068</f>
        <v>0.19659265041299026</v>
      </c>
      <c r="BM37" s="71">
        <f t="shared" ref="BM37:BM57" ca="1" si="208">((J37+F37+(LOG(G37)*4/3))*0.305)</f>
        <v>0.88177585847002982</v>
      </c>
      <c r="BN37" s="71">
        <f t="shared" ref="BN37:BN57" ca="1" si="209">((K37+F37+(LOG(G37)*4/3))*1)+((L37+F37+(LOG(G37)*4/3))*0.286)</f>
        <v>3.7179139475162568</v>
      </c>
      <c r="BO37" s="71">
        <f t="shared" ref="BO37:BO57" ca="1" si="210">((L37+F37+(LOG(G37)*4/3))*0.135)</f>
        <v>0.39029423243755423</v>
      </c>
      <c r="BP37" s="71">
        <f t="shared" ref="BP37:BP57" ca="1" si="211">((I37+F37+(LOG(G37)*4/3))*0.284)</f>
        <v>0.82106342231307683</v>
      </c>
      <c r="BQ37" s="71">
        <f t="shared" ref="BQ37:BQ57" ca="1" si="212">(I37+F37+(LOG(G37)*4/3))*0.244</f>
        <v>0.70542068677602388</v>
      </c>
      <c r="BR37" s="71">
        <f t="shared" ref="BR37:BR57" ca="1" si="213">((J37+F37+(LOG(G37)*4/3))*0.455)</f>
        <v>1.315436116733979</v>
      </c>
      <c r="BS37" s="71">
        <f t="shared" ref="BS37:BS57" ca="1" si="214">((K37+F37+(LOG(G37)*4/3))*0.864)+((L37+F37+(LOG(G37)*4/3))*0.244)</f>
        <v>3.2033037743763706</v>
      </c>
      <c r="BT37" s="71">
        <f t="shared" ref="BT37:BT57" ca="1" si="215">((L37+F37+(LOG(G37)*4/3))*0.121)</f>
        <v>0.34981927499958559</v>
      </c>
      <c r="BU37" s="71">
        <f t="shared" ref="BU37:BU57" ca="1" si="216">((I37+F37+(LOG(G37)*4/3))*0.284)</f>
        <v>0.82106342231307683</v>
      </c>
      <c r="BV37" s="71">
        <f t="shared" ref="BV37:BV57" ca="1" si="217">((I37+F37+(LOG(G37)*4/3))*0.244)</f>
        <v>0.70542068677602388</v>
      </c>
      <c r="BW37" s="71">
        <f t="shared" ref="BW37:BW57" ca="1" si="218">((J37+F37+(LOG(G37)*4/3))*0.631)</f>
        <v>1.8242641530970125</v>
      </c>
      <c r="BX37" s="71">
        <f t="shared" ref="BX37:BX57" ca="1" si="219">((K37+F37+(LOG(G37)*4/3))*0.702)+((L37+F37+(LOG(G37)*4/3))*0.193)</f>
        <v>2.5875062076415629</v>
      </c>
      <c r="BY37" s="71">
        <f t="shared" ref="BY37:BY57" ca="1" si="220">((L37+F37+(LOG(G37)*4/3))*0.148)</f>
        <v>0.42787812148709642</v>
      </c>
      <c r="BZ37" s="71">
        <f t="shared" ref="BZ37:BZ57" ca="1" si="221">((J37+F37+(LOG(G37)*4/3))*0.406)</f>
        <v>1.1737737657010889</v>
      </c>
      <c r="CA37" s="71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1.5062466303701165</v>
      </c>
      <c r="CB37" s="71">
        <f t="shared" ref="CB37:CB57" ca="1" si="223">((L37+F37+(LOG(G37)*4/3))*0.543)+((M37+F37+(LOG(G37)*4/3))*0.583)</f>
        <v>3.2553430053680446</v>
      </c>
      <c r="CC37" s="71">
        <f t="shared" ref="CC37:CC57" ca="1" si="224">CA37</f>
        <v>1.5062466303701165</v>
      </c>
      <c r="CD37" s="71">
        <f t="shared" ref="CD37:CD57" ca="1" si="225">((M37+1+(LOG(G37)*4/3))*0.26)+((K37+F37+(LOG(G37)*4/3))*0.221)+((L37+F37+(LOG(G37)*4/3))*0.142)</f>
        <v>1.801135605989602</v>
      </c>
      <c r="CE37" s="71">
        <f t="shared" ref="CE37:CE57" ca="1" si="226">((M37+F37+(LOG(G37)*4/3))*1)+((L37+F37+(LOG(G37)*4/3))*0.369)</f>
        <v>3.9578726237556419</v>
      </c>
      <c r="CF37" s="71">
        <f t="shared" ref="CF37:CF57" ca="1" si="227">CD37</f>
        <v>1.801135605989602</v>
      </c>
      <c r="CG37" s="71">
        <f t="shared" ref="CG37:CG57" ca="1" si="228">((J37+F37+(LOG(G37)*4/3))*0.25)</f>
        <v>0.72276709710658182</v>
      </c>
    </row>
    <row r="38" spans="1:85" x14ac:dyDescent="0.25">
      <c r="A38" t="str">
        <f t="shared" si="148"/>
        <v>L. Guangwei</v>
      </c>
      <c r="B38">
        <f t="shared" si="148"/>
        <v>29</v>
      </c>
      <c r="C38" s="49">
        <f t="shared" ca="1" si="148"/>
        <v>9</v>
      </c>
      <c r="D38" t="str">
        <f t="shared" si="148"/>
        <v>IMP</v>
      </c>
      <c r="E38" s="203">
        <f t="shared" si="148"/>
        <v>43878</v>
      </c>
      <c r="F38" s="150">
        <f t="shared" ca="1" si="149"/>
        <v>1</v>
      </c>
      <c r="G38" s="151">
        <f t="shared" si="150"/>
        <v>9</v>
      </c>
      <c r="H38" s="48">
        <f t="shared" si="151"/>
        <v>15</v>
      </c>
      <c r="I38" s="48">
        <f t="shared" si="152"/>
        <v>9.2222222222222214</v>
      </c>
      <c r="J38" s="48">
        <f t="shared" si="153"/>
        <v>3</v>
      </c>
      <c r="K38" s="48">
        <f t="shared" si="154"/>
        <v>1</v>
      </c>
      <c r="L38" s="48">
        <f t="shared" si="155"/>
        <v>5</v>
      </c>
      <c r="M38" s="48">
        <f t="shared" si="156"/>
        <v>5.5</v>
      </c>
      <c r="N38" s="48">
        <f t="shared" si="157"/>
        <v>22</v>
      </c>
      <c r="O38" s="151">
        <f t="shared" si="158"/>
        <v>2.7777777777777777</v>
      </c>
      <c r="P38" s="151">
        <f t="shared" ca="1" si="159"/>
        <v>18.651834594481208</v>
      </c>
      <c r="Q38" s="151">
        <f t="shared" si="160"/>
        <v>0.93499999999999994</v>
      </c>
      <c r="R38" s="151">
        <f t="shared" si="161"/>
        <v>1.0288888888888887</v>
      </c>
      <c r="S38" s="151">
        <f t="shared" ca="1" si="162"/>
        <v>24.272323345919101</v>
      </c>
      <c r="T38" s="71">
        <f t="shared" ca="1" si="163"/>
        <v>13.484071614320708</v>
      </c>
      <c r="U38" s="71">
        <f t="shared" ca="1" si="164"/>
        <v>19.843013884026004</v>
      </c>
      <c r="V38" s="71">
        <f t="shared" ca="1" si="165"/>
        <v>13.484071614320708</v>
      </c>
      <c r="W38" s="71">
        <f t="shared" ca="1" si="166"/>
        <v>5.9311855131609219</v>
      </c>
      <c r="X38" s="71">
        <f t="shared" ca="1" si="167"/>
        <v>11.494545568141321</v>
      </c>
      <c r="Y38" s="71">
        <f t="shared" ca="1" si="168"/>
        <v>2.965592756580461</v>
      </c>
      <c r="Z38" s="71">
        <f t="shared" ca="1" si="169"/>
        <v>1.2548129563287456</v>
      </c>
      <c r="AA38" s="71">
        <f t="shared" ca="1" si="170"/>
        <v>4.3449382247574198</v>
      </c>
      <c r="AB38" s="71">
        <f t="shared" ca="1" si="171"/>
        <v>8.3105564457661742</v>
      </c>
      <c r="AC38" s="71">
        <f t="shared" ca="1" si="172"/>
        <v>2.1724691123787099</v>
      </c>
      <c r="AD38" s="71">
        <f t="shared" ca="1" si="173"/>
        <v>2.0298444881788535</v>
      </c>
      <c r="AE38" s="237">
        <f t="shared" ca="1" si="174"/>
        <v>10.574981922690016</v>
      </c>
      <c r="AF38" s="71">
        <f t="shared" ca="1" si="175"/>
        <v>4.7587418652105065</v>
      </c>
      <c r="AG38" s="71">
        <f t="shared" ca="1" si="176"/>
        <v>0.88047799876848964</v>
      </c>
      <c r="AH38" s="237">
        <f t="shared" ca="1" si="177"/>
        <v>1.9241261274004304</v>
      </c>
      <c r="AI38" s="71">
        <f t="shared" ca="1" si="178"/>
        <v>8.6668873583785562</v>
      </c>
      <c r="AJ38" s="71">
        <f t="shared" ca="1" si="179"/>
        <v>8.1381382622440555</v>
      </c>
      <c r="AK38" s="71">
        <f t="shared" ca="1" si="180"/>
        <v>4.0534779987684901</v>
      </c>
      <c r="AL38" s="71">
        <f t="shared" ca="1" si="181"/>
        <v>1.4544291236247007</v>
      </c>
      <c r="AM38" s="71">
        <f t="shared" ca="1" si="182"/>
        <v>3.103527303398157</v>
      </c>
      <c r="AN38" s="71">
        <f t="shared" ca="1" si="183"/>
        <v>6.8277600674759444</v>
      </c>
      <c r="AO38" s="71">
        <f t="shared" ca="1" si="184"/>
        <v>1.5517636516990785</v>
      </c>
      <c r="AP38" s="71">
        <f t="shared" ca="1" si="185"/>
        <v>4.9770732385476295</v>
      </c>
      <c r="AQ38" s="71">
        <f t="shared" ca="1" si="186"/>
        <v>0.94540203496948294</v>
      </c>
      <c r="AR38" s="71">
        <f t="shared" ca="1" si="187"/>
        <v>2.2172907403542963</v>
      </c>
      <c r="AS38" s="71">
        <f t="shared" ca="1" si="188"/>
        <v>0.47270101748474147</v>
      </c>
      <c r="AT38" s="71">
        <f t="shared" ca="1" si="189"/>
        <v>2.1724691123787099</v>
      </c>
      <c r="AU38" s="71">
        <f t="shared" ca="1" si="190"/>
        <v>4.5978182272565284</v>
      </c>
      <c r="AV38" s="71">
        <f t="shared" ca="1" si="191"/>
        <v>1.0862345561893549</v>
      </c>
      <c r="AW38" s="71">
        <f t="shared" ca="1" si="192"/>
        <v>5.2723233459190997</v>
      </c>
      <c r="AX38" s="71">
        <f t="shared" ca="1" si="193"/>
        <v>1.8398978065175322</v>
      </c>
      <c r="AY38" s="71">
        <f t="shared" ca="1" si="194"/>
        <v>4.1120501636014239</v>
      </c>
      <c r="AZ38" s="71">
        <f t="shared" ca="1" si="195"/>
        <v>0.9199489032587661</v>
      </c>
      <c r="BA38" s="71">
        <f t="shared" ca="1" si="196"/>
        <v>3.3449127603291244</v>
      </c>
      <c r="BB38" s="71">
        <f t="shared" ca="1" si="197"/>
        <v>4.0001018577131795</v>
      </c>
      <c r="BC38" s="71">
        <f t="shared" ca="1" si="198"/>
        <v>4.644916867754727</v>
      </c>
      <c r="BD38" s="71">
        <f t="shared" ca="1" si="199"/>
        <v>4.1690954545220791</v>
      </c>
      <c r="BE38" s="71">
        <f t="shared" ca="1" si="200"/>
        <v>1.7526299263665031</v>
      </c>
      <c r="BF38" s="71">
        <f t="shared" ca="1" si="201"/>
        <v>5.5748546005485409</v>
      </c>
      <c r="BG38" s="71">
        <f t="shared" ca="1" si="202"/>
        <v>3.0345600299893087</v>
      </c>
      <c r="BH38" s="71">
        <f t="shared" ca="1" si="203"/>
        <v>2.0087551947951772</v>
      </c>
      <c r="BI38" s="71">
        <f t="shared" ca="1" si="204"/>
        <v>3.6640106043332938</v>
      </c>
      <c r="BJ38" s="71">
        <f t="shared" ca="1" si="205"/>
        <v>0.37816081398779317</v>
      </c>
      <c r="BK38" s="71">
        <f t="shared" ca="1" si="206"/>
        <v>2.0690182022654375</v>
      </c>
      <c r="BL38" s="71">
        <f t="shared" ca="1" si="207"/>
        <v>0.78162909863360985</v>
      </c>
      <c r="BM38" s="71">
        <f t="shared" ca="1" si="208"/>
        <v>1.6080586205053253</v>
      </c>
      <c r="BN38" s="71">
        <f t="shared" ca="1" si="209"/>
        <v>5.3522078228519625</v>
      </c>
      <c r="BO38" s="71">
        <f t="shared" ca="1" si="210"/>
        <v>0.98176365169907853</v>
      </c>
      <c r="BP38" s="71">
        <f t="shared" ca="1" si="211"/>
        <v>3.264450941352135</v>
      </c>
      <c r="BQ38" s="71">
        <f t="shared" ca="1" si="212"/>
        <v>2.8046691186264825</v>
      </c>
      <c r="BR38" s="71">
        <f t="shared" ca="1" si="213"/>
        <v>2.3989071223931906</v>
      </c>
      <c r="BS38" s="71">
        <f t="shared" ca="1" si="214"/>
        <v>4.6017342672783625</v>
      </c>
      <c r="BT38" s="71">
        <f t="shared" ca="1" si="215"/>
        <v>0.87995112485621108</v>
      </c>
      <c r="BU38" s="71">
        <f t="shared" ca="1" si="216"/>
        <v>3.264450941352135</v>
      </c>
      <c r="BV38" s="71">
        <f t="shared" ca="1" si="217"/>
        <v>2.8046691186264825</v>
      </c>
      <c r="BW38" s="71">
        <f t="shared" ca="1" si="218"/>
        <v>3.3268360312749521</v>
      </c>
      <c r="BX38" s="71">
        <f t="shared" ca="1" si="219"/>
        <v>3.7007293945975941</v>
      </c>
      <c r="BY38" s="71">
        <f t="shared" ca="1" si="220"/>
        <v>1.0763038551960267</v>
      </c>
      <c r="BZ38" s="71">
        <f t="shared" ca="1" si="221"/>
        <v>2.1405632784431545</v>
      </c>
      <c r="CA38" s="71">
        <f t="shared" ca="1" si="222"/>
        <v>3.2763804632238509</v>
      </c>
      <c r="CB38" s="71">
        <f t="shared" ca="1" si="223"/>
        <v>8.4801360875049063</v>
      </c>
      <c r="CC38" s="71">
        <f t="shared" ca="1" si="224"/>
        <v>3.2763804632238509</v>
      </c>
      <c r="CD38" s="71">
        <f t="shared" ca="1" si="225"/>
        <v>3.7766574445075989</v>
      </c>
      <c r="CE38" s="71">
        <f t="shared" ca="1" si="226"/>
        <v>10.455810660563248</v>
      </c>
      <c r="CF38" s="71">
        <f t="shared" ca="1" si="227"/>
        <v>3.7766574445075989</v>
      </c>
      <c r="CG38" s="71">
        <f t="shared" ca="1" si="228"/>
        <v>1.3180808364797749</v>
      </c>
    </row>
    <row r="39" spans="1:85" x14ac:dyDescent="0.25">
      <c r="A39" t="str">
        <f t="shared" si="148"/>
        <v>V. Gardner</v>
      </c>
      <c r="B39">
        <f t="shared" si="148"/>
        <v>27</v>
      </c>
      <c r="C39" s="49">
        <f t="shared" ca="1" si="148"/>
        <v>50</v>
      </c>
      <c r="D39">
        <f t="shared" si="148"/>
        <v>0</v>
      </c>
      <c r="E39" s="203">
        <f t="shared" si="148"/>
        <v>43756</v>
      </c>
      <c r="F39" s="150">
        <f t="shared" ca="1" si="149"/>
        <v>1</v>
      </c>
      <c r="G39" s="151">
        <f t="shared" si="150"/>
        <v>7</v>
      </c>
      <c r="H39" s="48">
        <f t="shared" si="151"/>
        <v>0</v>
      </c>
      <c r="I39" s="48">
        <f t="shared" si="152"/>
        <v>15</v>
      </c>
      <c r="J39" s="48">
        <f t="shared" si="153"/>
        <v>8.125</v>
      </c>
      <c r="K39" s="48">
        <f t="shared" si="154"/>
        <v>3</v>
      </c>
      <c r="L39" s="48">
        <f t="shared" si="155"/>
        <v>5</v>
      </c>
      <c r="M39" s="48">
        <f t="shared" si="156"/>
        <v>7.333333333333333</v>
      </c>
      <c r="N39" s="48">
        <f t="shared" si="157"/>
        <v>19</v>
      </c>
      <c r="O39" s="151">
        <f t="shared" si="158"/>
        <v>3.5</v>
      </c>
      <c r="P39" s="151">
        <f t="shared" ca="1" si="159"/>
        <v>19.723555557908675</v>
      </c>
      <c r="Q39" s="151">
        <f t="shared" si="160"/>
        <v>0.93666666666666676</v>
      </c>
      <c r="R39" s="151">
        <f t="shared" si="161"/>
        <v>1.17</v>
      </c>
      <c r="S39" s="151">
        <f t="shared" ca="1" si="162"/>
        <v>21.126797386685677</v>
      </c>
      <c r="T39" s="71">
        <f t="shared" ca="1" si="163"/>
        <v>5.9966941185765954</v>
      </c>
      <c r="U39" s="71">
        <f t="shared" ca="1" si="164"/>
        <v>9.1206954262112081</v>
      </c>
      <c r="V39" s="71">
        <f t="shared" ca="1" si="165"/>
        <v>5.9966941185765954</v>
      </c>
      <c r="W39" s="71">
        <f t="shared" ca="1" si="166"/>
        <v>8.837427451529809</v>
      </c>
      <c r="X39" s="71">
        <f t="shared" ca="1" si="167"/>
        <v>17.126797386685677</v>
      </c>
      <c r="Y39" s="71">
        <f t="shared" ca="1" si="168"/>
        <v>4.4187137257649045</v>
      </c>
      <c r="Z39" s="71">
        <f t="shared" ca="1" si="169"/>
        <v>2.4399277780311905</v>
      </c>
      <c r="AA39" s="71">
        <f t="shared" ca="1" si="170"/>
        <v>6.4739294121671858</v>
      </c>
      <c r="AB39" s="71">
        <f t="shared" ca="1" si="171"/>
        <v>12.382674510573745</v>
      </c>
      <c r="AC39" s="71">
        <f t="shared" ca="1" si="172"/>
        <v>3.2369647060835929</v>
      </c>
      <c r="AD39" s="71">
        <f t="shared" ca="1" si="173"/>
        <v>3.9469419938739851</v>
      </c>
      <c r="AE39" s="237">
        <f t="shared" ca="1" si="174"/>
        <v>15.756653595750823</v>
      </c>
      <c r="AF39" s="71">
        <f t="shared" ca="1" si="175"/>
        <v>7.0904941180878698</v>
      </c>
      <c r="AG39" s="71">
        <f t="shared" ca="1" si="176"/>
        <v>1.712050163576508</v>
      </c>
      <c r="AH39" s="237">
        <f t="shared" ca="1" si="177"/>
        <v>3.014556863371177</v>
      </c>
      <c r="AI39" s="71">
        <f t="shared" ca="1" si="178"/>
        <v>12.913605229561</v>
      </c>
      <c r="AJ39" s="71">
        <f t="shared" ca="1" si="179"/>
        <v>12.125772549773458</v>
      </c>
      <c r="AK39" s="71">
        <f t="shared" ca="1" si="180"/>
        <v>3.5281751635765084</v>
      </c>
      <c r="AL39" s="71">
        <f t="shared" ca="1" si="181"/>
        <v>1.6205176473654743</v>
      </c>
      <c r="AM39" s="71">
        <f t="shared" ca="1" si="182"/>
        <v>4.6242352944051328</v>
      </c>
      <c r="AN39" s="71">
        <f t="shared" ca="1" si="183"/>
        <v>10.173317647691292</v>
      </c>
      <c r="AO39" s="71">
        <f t="shared" ca="1" si="184"/>
        <v>2.3121176472025664</v>
      </c>
      <c r="AP39" s="71">
        <f t="shared" ca="1" si="185"/>
        <v>9.6776967330312775</v>
      </c>
      <c r="AQ39" s="71">
        <f t="shared" ca="1" si="186"/>
        <v>0.92648366026913787</v>
      </c>
      <c r="AR39" s="71">
        <f t="shared" ca="1" si="187"/>
        <v>2.4918183009655692</v>
      </c>
      <c r="AS39" s="71">
        <f t="shared" ca="1" si="188"/>
        <v>0.46324183013456893</v>
      </c>
      <c r="AT39" s="71">
        <f t="shared" ca="1" si="189"/>
        <v>3.2369647060835929</v>
      </c>
      <c r="AU39" s="71">
        <f t="shared" ca="1" si="190"/>
        <v>6.8507189546742708</v>
      </c>
      <c r="AV39" s="71">
        <f t="shared" ca="1" si="191"/>
        <v>1.6184823530417964</v>
      </c>
      <c r="AW39" s="71">
        <f t="shared" ca="1" si="192"/>
        <v>10.251797386685675</v>
      </c>
      <c r="AX39" s="71">
        <f t="shared" ca="1" si="193"/>
        <v>1.8030797388314759</v>
      </c>
      <c r="AY39" s="71">
        <f t="shared" ca="1" si="194"/>
        <v>4.4168653600638068</v>
      </c>
      <c r="AZ39" s="71">
        <f t="shared" ca="1" si="195"/>
        <v>0.90153986941573794</v>
      </c>
      <c r="BA39" s="71">
        <f t="shared" ca="1" si="196"/>
        <v>4.9838980395255321</v>
      </c>
      <c r="BB39" s="71">
        <f t="shared" ca="1" si="197"/>
        <v>5.9601254905666154</v>
      </c>
      <c r="BC39" s="71">
        <f t="shared" ca="1" si="198"/>
        <v>9.03183349767008</v>
      </c>
      <c r="BD39" s="71">
        <f t="shared" ca="1" si="199"/>
        <v>5.1877228767635657</v>
      </c>
      <c r="BE39" s="71">
        <f t="shared" ca="1" si="200"/>
        <v>1.7175581701912477</v>
      </c>
      <c r="BF39" s="71">
        <f t="shared" ca="1" si="201"/>
        <v>8.3064967325425538</v>
      </c>
      <c r="BG39" s="71">
        <f t="shared" ca="1" si="202"/>
        <v>4.5214745100850191</v>
      </c>
      <c r="BH39" s="71">
        <f t="shared" ca="1" si="203"/>
        <v>3.9059348043272424</v>
      </c>
      <c r="BI39" s="71">
        <f t="shared" ca="1" si="204"/>
        <v>4.8828209159632801</v>
      </c>
      <c r="BJ39" s="71">
        <f t="shared" ca="1" si="205"/>
        <v>0.37059346410765509</v>
      </c>
      <c r="BK39" s="71">
        <f t="shared" ca="1" si="206"/>
        <v>3.0828235296034219</v>
      </c>
      <c r="BL39" s="71">
        <f t="shared" ca="1" si="207"/>
        <v>1.1646222222946261</v>
      </c>
      <c r="BM39" s="71">
        <f t="shared" ca="1" si="208"/>
        <v>3.1267982029391308</v>
      </c>
      <c r="BN39" s="71">
        <f t="shared" ca="1" si="209"/>
        <v>7.1650614392777783</v>
      </c>
      <c r="BO39" s="71">
        <f t="shared" ca="1" si="210"/>
        <v>0.96211764720256621</v>
      </c>
      <c r="BP39" s="71">
        <f t="shared" ca="1" si="211"/>
        <v>4.8640104578187318</v>
      </c>
      <c r="BQ39" s="71">
        <f t="shared" ca="1" si="212"/>
        <v>4.1789385623513047</v>
      </c>
      <c r="BR39" s="71">
        <f t="shared" ca="1" si="213"/>
        <v>4.6645678109419828</v>
      </c>
      <c r="BS39" s="71">
        <f t="shared" ca="1" si="214"/>
        <v>6.1684915044477275</v>
      </c>
      <c r="BT39" s="71">
        <f t="shared" ca="1" si="215"/>
        <v>0.86234248378896672</v>
      </c>
      <c r="BU39" s="71">
        <f t="shared" ca="1" si="216"/>
        <v>4.8640104578187318</v>
      </c>
      <c r="BV39" s="71">
        <f t="shared" ca="1" si="217"/>
        <v>4.1789385623513047</v>
      </c>
      <c r="BW39" s="71">
        <f t="shared" ca="1" si="218"/>
        <v>6.4688841509986608</v>
      </c>
      <c r="BX39" s="71">
        <f t="shared" ca="1" si="219"/>
        <v>4.9744836610836796</v>
      </c>
      <c r="BY39" s="71">
        <f t="shared" ca="1" si="220"/>
        <v>1.0547660132294798</v>
      </c>
      <c r="BZ39" s="71">
        <f t="shared" ca="1" si="221"/>
        <v>4.1622297389943848</v>
      </c>
      <c r="CA39" s="71">
        <f t="shared" ca="1" si="222"/>
        <v>3.7213947717965699</v>
      </c>
      <c r="CB39" s="71">
        <f t="shared" ca="1" si="223"/>
        <v>9.3851071907414028</v>
      </c>
      <c r="CC39" s="71">
        <f t="shared" ca="1" si="224"/>
        <v>3.7213947717965699</v>
      </c>
      <c r="CD39" s="71">
        <f t="shared" ca="1" si="225"/>
        <v>4.6046614385718421</v>
      </c>
      <c r="CE39" s="71">
        <f t="shared" ca="1" si="226"/>
        <v>12.089918955706022</v>
      </c>
      <c r="CF39" s="71">
        <f t="shared" ca="1" si="227"/>
        <v>4.6046614385718421</v>
      </c>
      <c r="CG39" s="71">
        <f t="shared" ca="1" si="228"/>
        <v>2.5629493466714188</v>
      </c>
    </row>
    <row r="40" spans="1:85" x14ac:dyDescent="0.25">
      <c r="A40" t="e">
        <f t="shared" si="148"/>
        <v>#REF!</v>
      </c>
      <c r="B40" t="e">
        <f t="shared" si="148"/>
        <v>#REF!</v>
      </c>
      <c r="C40" s="49" t="e">
        <f t="shared" si="148"/>
        <v>#REF!</v>
      </c>
      <c r="D40" t="e">
        <f t="shared" si="148"/>
        <v>#REF!</v>
      </c>
      <c r="E40" s="203" t="e">
        <f t="shared" si="148"/>
        <v>#REF!</v>
      </c>
      <c r="F40" s="150" t="e">
        <f t="shared" si="149"/>
        <v>#REF!</v>
      </c>
      <c r="G40" s="151" t="e">
        <f t="shared" si="150"/>
        <v>#REF!</v>
      </c>
      <c r="H40" s="48" t="e">
        <f t="shared" si="151"/>
        <v>#REF!</v>
      </c>
      <c r="I40" s="48" t="e">
        <f t="shared" si="152"/>
        <v>#REF!</v>
      </c>
      <c r="J40" s="48" t="e">
        <f t="shared" si="153"/>
        <v>#REF!</v>
      </c>
      <c r="K40" s="48" t="e">
        <f t="shared" si="154"/>
        <v>#REF!</v>
      </c>
      <c r="L40" s="48" t="e">
        <f t="shared" si="155"/>
        <v>#REF!</v>
      </c>
      <c r="M40" s="48" t="e">
        <f t="shared" si="156"/>
        <v>#REF!</v>
      </c>
      <c r="N40" s="48" t="e">
        <f t="shared" si="157"/>
        <v>#REF!</v>
      </c>
      <c r="O40" s="151" t="e">
        <f t="shared" si="158"/>
        <v>#REF!</v>
      </c>
      <c r="P40" s="151" t="e">
        <f t="shared" si="159"/>
        <v>#REF!</v>
      </c>
      <c r="Q40" s="151" t="e">
        <f t="shared" si="160"/>
        <v>#REF!</v>
      </c>
      <c r="R40" s="151" t="e">
        <f t="shared" si="161"/>
        <v>#REF!</v>
      </c>
      <c r="S40" s="151" t="e">
        <f t="shared" ca="1" si="162"/>
        <v>#REF!</v>
      </c>
      <c r="T40" s="71" t="e">
        <f t="shared" si="163"/>
        <v>#REF!</v>
      </c>
      <c r="U40" s="71" t="e">
        <f t="shared" si="164"/>
        <v>#REF!</v>
      </c>
      <c r="V40" s="71" t="e">
        <f t="shared" si="165"/>
        <v>#REF!</v>
      </c>
      <c r="W40" s="71" t="e">
        <f t="shared" si="166"/>
        <v>#REF!</v>
      </c>
      <c r="X40" s="71" t="e">
        <f t="shared" si="167"/>
        <v>#REF!</v>
      </c>
      <c r="Y40" s="71" t="e">
        <f t="shared" si="168"/>
        <v>#REF!</v>
      </c>
      <c r="Z40" s="71" t="e">
        <f t="shared" si="169"/>
        <v>#REF!</v>
      </c>
      <c r="AA40" s="71" t="e">
        <f t="shared" si="170"/>
        <v>#REF!</v>
      </c>
      <c r="AB40" s="71" t="e">
        <f t="shared" si="171"/>
        <v>#REF!</v>
      </c>
      <c r="AC40" s="71" t="e">
        <f t="shared" si="172"/>
        <v>#REF!</v>
      </c>
      <c r="AD40" s="71" t="e">
        <f t="shared" si="173"/>
        <v>#REF!</v>
      </c>
      <c r="AE40" s="237" t="e">
        <f t="shared" si="174"/>
        <v>#REF!</v>
      </c>
      <c r="AF40" s="71" t="e">
        <f t="shared" si="175"/>
        <v>#REF!</v>
      </c>
      <c r="AG40" s="71" t="e">
        <f t="shared" si="176"/>
        <v>#REF!</v>
      </c>
      <c r="AH40" s="237" t="e">
        <f t="shared" si="177"/>
        <v>#REF!</v>
      </c>
      <c r="AI40" s="71" t="e">
        <f t="shared" si="178"/>
        <v>#REF!</v>
      </c>
      <c r="AJ40" s="71" t="e">
        <f t="shared" si="179"/>
        <v>#REF!</v>
      </c>
      <c r="AK40" s="71" t="e">
        <f t="shared" si="180"/>
        <v>#REF!</v>
      </c>
      <c r="AL40" s="71" t="e">
        <f t="shared" si="181"/>
        <v>#REF!</v>
      </c>
      <c r="AM40" s="71" t="e">
        <f t="shared" si="182"/>
        <v>#REF!</v>
      </c>
      <c r="AN40" s="71" t="e">
        <f t="shared" si="183"/>
        <v>#REF!</v>
      </c>
      <c r="AO40" s="71" t="e">
        <f t="shared" si="184"/>
        <v>#REF!</v>
      </c>
      <c r="AP40" s="71" t="e">
        <f t="shared" si="185"/>
        <v>#REF!</v>
      </c>
      <c r="AQ40" s="71" t="e">
        <f t="shared" si="186"/>
        <v>#REF!</v>
      </c>
      <c r="AR40" s="71" t="e">
        <f t="shared" si="187"/>
        <v>#REF!</v>
      </c>
      <c r="AS40" s="71" t="e">
        <f t="shared" si="188"/>
        <v>#REF!</v>
      </c>
      <c r="AT40" s="71" t="e">
        <f t="shared" si="189"/>
        <v>#REF!</v>
      </c>
      <c r="AU40" s="71" t="e">
        <f t="shared" si="190"/>
        <v>#REF!</v>
      </c>
      <c r="AV40" s="71" t="e">
        <f t="shared" si="191"/>
        <v>#REF!</v>
      </c>
      <c r="AW40" s="71" t="e">
        <f t="shared" si="192"/>
        <v>#REF!</v>
      </c>
      <c r="AX40" s="71" t="e">
        <f t="shared" si="193"/>
        <v>#REF!</v>
      </c>
      <c r="AY40" s="71" t="e">
        <f t="shared" si="194"/>
        <v>#REF!</v>
      </c>
      <c r="AZ40" s="71" t="e">
        <f t="shared" si="195"/>
        <v>#REF!</v>
      </c>
      <c r="BA40" s="71" t="e">
        <f t="shared" si="196"/>
        <v>#REF!</v>
      </c>
      <c r="BB40" s="71" t="e">
        <f t="shared" si="197"/>
        <v>#REF!</v>
      </c>
      <c r="BC40" s="71" t="e">
        <f t="shared" si="198"/>
        <v>#REF!</v>
      </c>
      <c r="BD40" s="71" t="e">
        <f t="shared" si="199"/>
        <v>#REF!</v>
      </c>
      <c r="BE40" s="71" t="e">
        <f t="shared" si="200"/>
        <v>#REF!</v>
      </c>
      <c r="BF40" s="71" t="e">
        <f t="shared" si="201"/>
        <v>#REF!</v>
      </c>
      <c r="BG40" s="71" t="e">
        <f t="shared" si="202"/>
        <v>#REF!</v>
      </c>
      <c r="BH40" s="71" t="e">
        <f t="shared" si="203"/>
        <v>#REF!</v>
      </c>
      <c r="BI40" s="71" t="e">
        <f t="shared" si="204"/>
        <v>#REF!</v>
      </c>
      <c r="BJ40" s="71" t="e">
        <f t="shared" si="205"/>
        <v>#REF!</v>
      </c>
      <c r="BK40" s="71" t="e">
        <f t="shared" si="206"/>
        <v>#REF!</v>
      </c>
      <c r="BL40" s="71" t="e">
        <f t="shared" si="207"/>
        <v>#REF!</v>
      </c>
      <c r="BM40" s="71" t="e">
        <f t="shared" si="208"/>
        <v>#REF!</v>
      </c>
      <c r="BN40" s="71" t="e">
        <f t="shared" si="209"/>
        <v>#REF!</v>
      </c>
      <c r="BO40" s="71" t="e">
        <f t="shared" si="210"/>
        <v>#REF!</v>
      </c>
      <c r="BP40" s="71" t="e">
        <f t="shared" si="211"/>
        <v>#REF!</v>
      </c>
      <c r="BQ40" s="71" t="e">
        <f t="shared" si="212"/>
        <v>#REF!</v>
      </c>
      <c r="BR40" s="71" t="e">
        <f t="shared" si="213"/>
        <v>#REF!</v>
      </c>
      <c r="BS40" s="71" t="e">
        <f t="shared" si="214"/>
        <v>#REF!</v>
      </c>
      <c r="BT40" s="71" t="e">
        <f t="shared" si="215"/>
        <v>#REF!</v>
      </c>
      <c r="BU40" s="71" t="e">
        <f t="shared" si="216"/>
        <v>#REF!</v>
      </c>
      <c r="BV40" s="71" t="e">
        <f t="shared" si="217"/>
        <v>#REF!</v>
      </c>
      <c r="BW40" s="71" t="e">
        <f t="shared" si="218"/>
        <v>#REF!</v>
      </c>
      <c r="BX40" s="71" t="e">
        <f t="shared" si="219"/>
        <v>#REF!</v>
      </c>
      <c r="BY40" s="71" t="e">
        <f t="shared" si="220"/>
        <v>#REF!</v>
      </c>
      <c r="BZ40" s="71" t="e">
        <f t="shared" si="221"/>
        <v>#REF!</v>
      </c>
      <c r="CA40" s="71" t="e">
        <f t="shared" si="222"/>
        <v>#REF!</v>
      </c>
      <c r="CB40" s="71" t="e">
        <f t="shared" si="223"/>
        <v>#REF!</v>
      </c>
      <c r="CC40" s="71" t="e">
        <f t="shared" si="224"/>
        <v>#REF!</v>
      </c>
      <c r="CD40" s="71" t="e">
        <f t="shared" si="225"/>
        <v>#REF!</v>
      </c>
      <c r="CE40" s="71" t="e">
        <f t="shared" si="226"/>
        <v>#REF!</v>
      </c>
      <c r="CF40" s="71" t="e">
        <f t="shared" si="227"/>
        <v>#REF!</v>
      </c>
      <c r="CG40" s="71" t="e">
        <f t="shared" si="228"/>
        <v>#REF!</v>
      </c>
    </row>
    <row r="41" spans="1:85" x14ac:dyDescent="0.25">
      <c r="A41" t="str">
        <f t="shared" si="148"/>
        <v>S. Swärdborn</v>
      </c>
      <c r="B41">
        <f t="shared" si="148"/>
        <v>27</v>
      </c>
      <c r="C41" s="49">
        <f t="shared" ca="1" si="148"/>
        <v>38</v>
      </c>
      <c r="D41" t="str">
        <f t="shared" si="148"/>
        <v>IMP</v>
      </c>
      <c r="E41" s="203">
        <f t="shared" si="148"/>
        <v>43884</v>
      </c>
      <c r="F41" s="150">
        <f t="shared" ca="1" si="149"/>
        <v>1</v>
      </c>
      <c r="G41" s="151">
        <f t="shared" si="150"/>
        <v>8</v>
      </c>
      <c r="H41" s="48">
        <f t="shared" si="151"/>
        <v>0</v>
      </c>
      <c r="I41" s="48">
        <f t="shared" si="152"/>
        <v>14.75</v>
      </c>
      <c r="J41" s="48">
        <f t="shared" si="153"/>
        <v>9.7142857142857135</v>
      </c>
      <c r="K41" s="48">
        <f t="shared" si="154"/>
        <v>1</v>
      </c>
      <c r="L41" s="48">
        <f t="shared" si="155"/>
        <v>3</v>
      </c>
      <c r="M41" s="48">
        <f t="shared" si="156"/>
        <v>7.833333333333333</v>
      </c>
      <c r="N41" s="48">
        <f t="shared" si="157"/>
        <v>18.75</v>
      </c>
      <c r="O41" s="151">
        <f t="shared" si="158"/>
        <v>2.96875</v>
      </c>
      <c r="P41" s="151">
        <f t="shared" ca="1" si="159"/>
        <v>20.586938495002926</v>
      </c>
      <c r="Q41" s="151">
        <f t="shared" si="160"/>
        <v>0.95416666666666661</v>
      </c>
      <c r="R41" s="151">
        <f t="shared" si="161"/>
        <v>1.1525000000000001</v>
      </c>
      <c r="S41" s="151">
        <f t="shared" ca="1" si="162"/>
        <v>20.954119982655925</v>
      </c>
      <c r="T41" s="71">
        <f t="shared" ca="1" si="163"/>
        <v>5.9951967448586228</v>
      </c>
      <c r="U41" s="71">
        <f t="shared" ca="1" si="164"/>
        <v>9.1142688976087989</v>
      </c>
      <c r="V41" s="71">
        <f t="shared" ca="1" si="165"/>
        <v>5.9951967448586228</v>
      </c>
      <c r="W41" s="71">
        <f t="shared" ca="1" si="166"/>
        <v>8.7483259110504576</v>
      </c>
      <c r="X41" s="71">
        <f t="shared" ca="1" si="167"/>
        <v>16.954119982655925</v>
      </c>
      <c r="Y41" s="71">
        <f t="shared" ca="1" si="168"/>
        <v>4.3741629555252288</v>
      </c>
      <c r="Z41" s="71">
        <f t="shared" ca="1" si="169"/>
        <v>2.8365805558721098</v>
      </c>
      <c r="AA41" s="71">
        <f t="shared" ca="1" si="170"/>
        <v>6.4086573534439397</v>
      </c>
      <c r="AB41" s="71">
        <f t="shared" ca="1" si="171"/>
        <v>12.257828747460234</v>
      </c>
      <c r="AC41" s="71">
        <f t="shared" ca="1" si="172"/>
        <v>3.2043286767219699</v>
      </c>
      <c r="AD41" s="71">
        <f t="shared" ca="1" si="173"/>
        <v>4.5885861933225307</v>
      </c>
      <c r="AE41" s="237">
        <f t="shared" ca="1" si="174"/>
        <v>15.597790384043451</v>
      </c>
      <c r="AF41" s="71">
        <f t="shared" ca="1" si="175"/>
        <v>7.0190056728195529</v>
      </c>
      <c r="AG41" s="71">
        <f t="shared" ca="1" si="176"/>
        <v>1.9903737513892537</v>
      </c>
      <c r="AH41" s="237">
        <f t="shared" ca="1" si="177"/>
        <v>1.8840225498016838</v>
      </c>
      <c r="AI41" s="71">
        <f t="shared" ca="1" si="178"/>
        <v>12.783406466922568</v>
      </c>
      <c r="AJ41" s="71">
        <f t="shared" ca="1" si="179"/>
        <v>12.003516947720394</v>
      </c>
      <c r="AK41" s="71">
        <f t="shared" ca="1" si="180"/>
        <v>3.4993380371035396</v>
      </c>
      <c r="AL41" s="71">
        <f t="shared" ca="1" si="181"/>
        <v>1.4897865550049063</v>
      </c>
      <c r="AM41" s="71">
        <f t="shared" ca="1" si="182"/>
        <v>4.5776123953171002</v>
      </c>
      <c r="AN41" s="71">
        <f t="shared" ca="1" si="183"/>
        <v>10.07074726969762</v>
      </c>
      <c r="AO41" s="71">
        <f t="shared" ca="1" si="184"/>
        <v>2.2888061976585501</v>
      </c>
      <c r="AP41" s="71">
        <f t="shared" ca="1" si="185"/>
        <v>11.250974977912906</v>
      </c>
      <c r="AQ41" s="71">
        <f t="shared" ca="1" si="186"/>
        <v>0.67653559774527028</v>
      </c>
      <c r="AR41" s="71">
        <f t="shared" ca="1" si="187"/>
        <v>2.3609738215848521</v>
      </c>
      <c r="AS41" s="71">
        <f t="shared" ca="1" si="188"/>
        <v>0.33826779887263514</v>
      </c>
      <c r="AT41" s="71">
        <f t="shared" ca="1" si="189"/>
        <v>3.2043286767219699</v>
      </c>
      <c r="AU41" s="71">
        <f t="shared" ca="1" si="190"/>
        <v>6.7816479930623705</v>
      </c>
      <c r="AV41" s="71">
        <f t="shared" ca="1" si="191"/>
        <v>1.6021643383609849</v>
      </c>
      <c r="AW41" s="71">
        <f t="shared" ca="1" si="192"/>
        <v>11.918405696941639</v>
      </c>
      <c r="AX41" s="71">
        <f t="shared" ca="1" si="193"/>
        <v>1.3166423556119491</v>
      </c>
      <c r="AY41" s="71">
        <f t="shared" ca="1" si="194"/>
        <v>3.8824701104434141</v>
      </c>
      <c r="AZ41" s="71">
        <f t="shared" ca="1" si="195"/>
        <v>0.65832117780597454</v>
      </c>
      <c r="BA41" s="71">
        <f t="shared" ca="1" si="196"/>
        <v>4.9336489149528742</v>
      </c>
      <c r="BB41" s="71">
        <f t="shared" ca="1" si="197"/>
        <v>5.9000337539642613</v>
      </c>
      <c r="BC41" s="71">
        <f t="shared" ca="1" si="198"/>
        <v>10.500115419005583</v>
      </c>
      <c r="BD41" s="71">
        <f t="shared" ca="1" si="199"/>
        <v>3.4784626645811172</v>
      </c>
      <c r="BE41" s="71">
        <f t="shared" ca="1" si="200"/>
        <v>1.254192915820078</v>
      </c>
      <c r="BF41" s="71">
        <f t="shared" ca="1" si="201"/>
        <v>8.2227481915881242</v>
      </c>
      <c r="BG41" s="71">
        <f t="shared" ca="1" si="202"/>
        <v>4.4758876754211645</v>
      </c>
      <c r="BH41" s="71">
        <f t="shared" ca="1" si="203"/>
        <v>4.5409125705347639</v>
      </c>
      <c r="BI41" s="71">
        <f t="shared" ca="1" si="204"/>
        <v>3.2024008648412785</v>
      </c>
      <c r="BJ41" s="71">
        <f t="shared" ca="1" si="205"/>
        <v>0.27061423909810811</v>
      </c>
      <c r="BK41" s="71">
        <f t="shared" ca="1" si="206"/>
        <v>3.0517415968780663</v>
      </c>
      <c r="BL41" s="71">
        <f t="shared" ca="1" si="207"/>
        <v>1.152880158820603</v>
      </c>
      <c r="BM41" s="71">
        <f t="shared" ca="1" si="208"/>
        <v>3.6351137375671998</v>
      </c>
      <c r="BN41" s="71">
        <f t="shared" ca="1" si="209"/>
        <v>4.6924982976955194</v>
      </c>
      <c r="BO41" s="71">
        <f t="shared" ca="1" si="210"/>
        <v>0.70255619765854993</v>
      </c>
      <c r="BP41" s="71">
        <f t="shared" ca="1" si="211"/>
        <v>4.8149700750742825</v>
      </c>
      <c r="BQ41" s="71">
        <f t="shared" ca="1" si="212"/>
        <v>4.1368052757680456</v>
      </c>
      <c r="BR41" s="71">
        <f t="shared" ca="1" si="213"/>
        <v>5.422874592108446</v>
      </c>
      <c r="BS41" s="71">
        <f t="shared" ca="1" si="214"/>
        <v>4.0381649407827647</v>
      </c>
      <c r="BT41" s="71">
        <f t="shared" ca="1" si="215"/>
        <v>0.62969851790136688</v>
      </c>
      <c r="BU41" s="71">
        <f t="shared" ca="1" si="216"/>
        <v>4.8149700750742825</v>
      </c>
      <c r="BV41" s="71">
        <f t="shared" ca="1" si="217"/>
        <v>4.1368052757680456</v>
      </c>
      <c r="BW41" s="71">
        <f t="shared" ca="1" si="218"/>
        <v>7.520513994770174</v>
      </c>
      <c r="BX41" s="71">
        <f t="shared" ca="1" si="219"/>
        <v>3.2536873844770531</v>
      </c>
      <c r="BY41" s="71">
        <f t="shared" ca="1" si="220"/>
        <v>0.77020975743307685</v>
      </c>
      <c r="BZ41" s="71">
        <f t="shared" ca="1" si="221"/>
        <v>4.838872712958306</v>
      </c>
      <c r="CA41" s="71">
        <f t="shared" ca="1" si="222"/>
        <v>3.0371798442970701</v>
      </c>
      <c r="CB41" s="71">
        <f t="shared" ca="1" si="223"/>
        <v>8.6776724338039042</v>
      </c>
      <c r="CC41" s="71">
        <f t="shared" ca="1" si="224"/>
        <v>3.0371798442970701</v>
      </c>
      <c r="CD41" s="71">
        <f t="shared" ca="1" si="225"/>
        <v>4.0568334158613073</v>
      </c>
      <c r="CE41" s="71">
        <f t="shared" ca="1" si="226"/>
        <v>11.957773589589294</v>
      </c>
      <c r="CF41" s="71">
        <f t="shared" ca="1" si="227"/>
        <v>4.0568334158613073</v>
      </c>
      <c r="CG41" s="71">
        <f t="shared" ca="1" si="228"/>
        <v>2.9796014242354096</v>
      </c>
    </row>
    <row r="42" spans="1:85" x14ac:dyDescent="0.25">
      <c r="A42" t="str">
        <f t="shared" si="148"/>
        <v>A. Grimaud</v>
      </c>
      <c r="B42">
        <f t="shared" si="148"/>
        <v>27</v>
      </c>
      <c r="C42" s="49">
        <f t="shared" ca="1" si="148"/>
        <v>61</v>
      </c>
      <c r="D42" t="str">
        <f t="shared" si="148"/>
        <v>RAP</v>
      </c>
      <c r="E42" s="203">
        <f t="shared" si="148"/>
        <v>43739</v>
      </c>
      <c r="F42" s="150">
        <f t="shared" ca="1" si="149"/>
        <v>1</v>
      </c>
      <c r="G42" s="151">
        <f t="shared" si="150"/>
        <v>8</v>
      </c>
      <c r="H42" s="48">
        <f t="shared" si="151"/>
        <v>0</v>
      </c>
      <c r="I42" s="48">
        <f t="shared" si="152"/>
        <v>14.85</v>
      </c>
      <c r="J42" s="48">
        <f t="shared" si="153"/>
        <v>9.875</v>
      </c>
      <c r="K42" s="48">
        <f t="shared" si="154"/>
        <v>3</v>
      </c>
      <c r="L42" s="48">
        <f t="shared" si="155"/>
        <v>3</v>
      </c>
      <c r="M42" s="48">
        <f t="shared" si="156"/>
        <v>7.1428571428571432</v>
      </c>
      <c r="N42" s="48">
        <f t="shared" si="157"/>
        <v>18.2</v>
      </c>
      <c r="O42" s="151">
        <f t="shared" si="158"/>
        <v>2.9812500000000002</v>
      </c>
      <c r="P42" s="151">
        <f t="shared" ca="1" si="159"/>
        <v>19.138248018812448</v>
      </c>
      <c r="Q42" s="151">
        <f t="shared" si="160"/>
        <v>0.90314285714285725</v>
      </c>
      <c r="R42" s="151">
        <f t="shared" si="161"/>
        <v>1.1400000000000001</v>
      </c>
      <c r="S42" s="151">
        <f t="shared" ca="1" si="162"/>
        <v>20.404119982655924</v>
      </c>
      <c r="T42" s="71">
        <f t="shared" ca="1" si="163"/>
        <v>6.0227967448586224</v>
      </c>
      <c r="U42" s="71">
        <f t="shared" ca="1" si="164"/>
        <v>9.1567688976087975</v>
      </c>
      <c r="V42" s="71">
        <f t="shared" ca="1" si="165"/>
        <v>6.0227967448586224</v>
      </c>
      <c r="W42" s="71">
        <f t="shared" ca="1" si="166"/>
        <v>8.7999259110504564</v>
      </c>
      <c r="X42" s="71">
        <f t="shared" ca="1" si="167"/>
        <v>17.054119982655923</v>
      </c>
      <c r="Y42" s="71">
        <f t="shared" ca="1" si="168"/>
        <v>4.3999629555252282</v>
      </c>
      <c r="Z42" s="71">
        <f t="shared" ca="1" si="169"/>
        <v>2.8748305558721099</v>
      </c>
      <c r="AA42" s="71">
        <f t="shared" ca="1" si="170"/>
        <v>6.4464573534439387</v>
      </c>
      <c r="AB42" s="71">
        <f t="shared" ca="1" si="171"/>
        <v>12.330128747460233</v>
      </c>
      <c r="AC42" s="71">
        <f t="shared" ca="1" si="172"/>
        <v>3.2232286767219693</v>
      </c>
      <c r="AD42" s="71">
        <f t="shared" ca="1" si="173"/>
        <v>4.6504611933225313</v>
      </c>
      <c r="AE42" s="237">
        <f t="shared" ca="1" si="174"/>
        <v>15.68979038404345</v>
      </c>
      <c r="AF42" s="71">
        <f t="shared" ca="1" si="175"/>
        <v>7.0604056728195514</v>
      </c>
      <c r="AG42" s="71">
        <f t="shared" ca="1" si="176"/>
        <v>2.0172130371035397</v>
      </c>
      <c r="AH42" s="237">
        <f t="shared" ca="1" si="177"/>
        <v>3.0600225498016838</v>
      </c>
      <c r="AI42" s="71">
        <f t="shared" ca="1" si="178"/>
        <v>12.858806466922566</v>
      </c>
      <c r="AJ42" s="71">
        <f t="shared" ca="1" si="179"/>
        <v>12.074316947720392</v>
      </c>
      <c r="AK42" s="71">
        <f t="shared" ca="1" si="180"/>
        <v>3.4074880371035396</v>
      </c>
      <c r="AL42" s="71">
        <f t="shared" ca="1" si="181"/>
        <v>1.4933865550049064</v>
      </c>
      <c r="AM42" s="71">
        <f t="shared" ca="1" si="182"/>
        <v>4.6046123953170994</v>
      </c>
      <c r="AN42" s="71">
        <f t="shared" ca="1" si="183"/>
        <v>10.130147269697618</v>
      </c>
      <c r="AO42" s="71">
        <f t="shared" ca="1" si="184"/>
        <v>2.3023061976585497</v>
      </c>
      <c r="AP42" s="71">
        <f t="shared" ca="1" si="185"/>
        <v>11.402689263627193</v>
      </c>
      <c r="AQ42" s="71">
        <f t="shared" ca="1" si="186"/>
        <v>0.67653559774527028</v>
      </c>
      <c r="AR42" s="71">
        <f t="shared" ca="1" si="187"/>
        <v>2.2415214406324715</v>
      </c>
      <c r="AS42" s="71">
        <f t="shared" ca="1" si="188"/>
        <v>0.33826779887263514</v>
      </c>
      <c r="AT42" s="71">
        <f t="shared" ca="1" si="189"/>
        <v>3.2232286767219693</v>
      </c>
      <c r="AU42" s="71">
        <f t="shared" ca="1" si="190"/>
        <v>6.8216479930623697</v>
      </c>
      <c r="AV42" s="71">
        <f t="shared" ca="1" si="191"/>
        <v>1.6116143383609847</v>
      </c>
      <c r="AW42" s="71">
        <f t="shared" ca="1" si="192"/>
        <v>12.079119982655925</v>
      </c>
      <c r="AX42" s="71">
        <f t="shared" ca="1" si="193"/>
        <v>1.3166423556119491</v>
      </c>
      <c r="AY42" s="71">
        <f t="shared" ca="1" si="194"/>
        <v>3.7374701104434145</v>
      </c>
      <c r="AZ42" s="71">
        <f t="shared" ca="1" si="195"/>
        <v>0.65832117780597454</v>
      </c>
      <c r="BA42" s="71">
        <f t="shared" ca="1" si="196"/>
        <v>4.962748914952873</v>
      </c>
      <c r="BB42" s="71">
        <f t="shared" ca="1" si="197"/>
        <v>5.934833753964261</v>
      </c>
      <c r="BC42" s="71">
        <f t="shared" ca="1" si="198"/>
        <v>10.641704704719871</v>
      </c>
      <c r="BD42" s="71">
        <f t="shared" ca="1" si="199"/>
        <v>4.6264626645811173</v>
      </c>
      <c r="BE42" s="71">
        <f t="shared" ca="1" si="200"/>
        <v>1.254192915820078</v>
      </c>
      <c r="BF42" s="71">
        <f t="shared" ca="1" si="201"/>
        <v>8.2712481915881231</v>
      </c>
      <c r="BG42" s="71">
        <f t="shared" ca="1" si="202"/>
        <v>4.5022876754211643</v>
      </c>
      <c r="BH42" s="71">
        <f t="shared" ca="1" si="203"/>
        <v>4.6021447133919073</v>
      </c>
      <c r="BI42" s="71">
        <f t="shared" ca="1" si="204"/>
        <v>4.5484008648412786</v>
      </c>
      <c r="BJ42" s="71">
        <f t="shared" ca="1" si="205"/>
        <v>0.27061423909810811</v>
      </c>
      <c r="BK42" s="71">
        <f t="shared" ca="1" si="206"/>
        <v>3.0697415968780661</v>
      </c>
      <c r="BL42" s="71">
        <f t="shared" ca="1" si="207"/>
        <v>1.1596801588206029</v>
      </c>
      <c r="BM42" s="71">
        <f t="shared" ca="1" si="208"/>
        <v>3.684131594710057</v>
      </c>
      <c r="BN42" s="71">
        <f t="shared" ca="1" si="209"/>
        <v>6.6924982976955194</v>
      </c>
      <c r="BO42" s="71">
        <f t="shared" ca="1" si="210"/>
        <v>0.70255619765854993</v>
      </c>
      <c r="BP42" s="71">
        <f t="shared" ca="1" si="211"/>
        <v>4.8433700750742821</v>
      </c>
      <c r="BQ42" s="71">
        <f t="shared" ca="1" si="212"/>
        <v>4.1612052757680447</v>
      </c>
      <c r="BR42" s="71">
        <f t="shared" ca="1" si="213"/>
        <v>5.4959995921084461</v>
      </c>
      <c r="BS42" s="71">
        <f t="shared" ca="1" si="214"/>
        <v>5.7661649407827644</v>
      </c>
      <c r="BT42" s="71">
        <f t="shared" ca="1" si="215"/>
        <v>0.62969851790136688</v>
      </c>
      <c r="BU42" s="71">
        <f t="shared" ca="1" si="216"/>
        <v>4.8433700750742821</v>
      </c>
      <c r="BV42" s="71">
        <f t="shared" ca="1" si="217"/>
        <v>4.1612052757680447</v>
      </c>
      <c r="BW42" s="71">
        <f t="shared" ca="1" si="218"/>
        <v>7.6219247090558886</v>
      </c>
      <c r="BX42" s="71">
        <f t="shared" ca="1" si="219"/>
        <v>4.657687384477053</v>
      </c>
      <c r="BY42" s="71">
        <f t="shared" ca="1" si="220"/>
        <v>0.77020975743307685</v>
      </c>
      <c r="BZ42" s="71">
        <f t="shared" ca="1" si="221"/>
        <v>4.9041227129583058</v>
      </c>
      <c r="CA42" s="71">
        <f t="shared" ca="1" si="222"/>
        <v>3.2374893681065937</v>
      </c>
      <c r="CB42" s="71">
        <f t="shared" ca="1" si="223"/>
        <v>8.2751248147562855</v>
      </c>
      <c r="CC42" s="71">
        <f t="shared" ca="1" si="224"/>
        <v>3.2374893681065937</v>
      </c>
      <c r="CD42" s="71">
        <f t="shared" ca="1" si="225"/>
        <v>4.3193096063374981</v>
      </c>
      <c r="CE42" s="71">
        <f t="shared" ca="1" si="226"/>
        <v>11.267297399113104</v>
      </c>
      <c r="CF42" s="71">
        <f t="shared" ca="1" si="227"/>
        <v>4.3193096063374981</v>
      </c>
      <c r="CG42" s="71">
        <f t="shared" ca="1" si="228"/>
        <v>3.0197799956639813</v>
      </c>
    </row>
    <row r="43" spans="1:85" x14ac:dyDescent="0.25">
      <c r="A43" t="str">
        <f t="shared" si="148"/>
        <v>E. Deus</v>
      </c>
      <c r="B43">
        <f t="shared" si="148"/>
        <v>27</v>
      </c>
      <c r="C43" s="49">
        <f t="shared" ca="1" si="148"/>
        <v>89</v>
      </c>
      <c r="D43" t="str">
        <f t="shared" si="148"/>
        <v>IMP</v>
      </c>
      <c r="E43" s="203">
        <f t="shared" si="148"/>
        <v>43898</v>
      </c>
      <c r="F43" s="150">
        <f t="shared" ca="1" si="149"/>
        <v>1</v>
      </c>
      <c r="G43" s="151">
        <f t="shared" si="150"/>
        <v>7</v>
      </c>
      <c r="H43" s="48">
        <f t="shared" si="151"/>
        <v>0</v>
      </c>
      <c r="I43" s="48">
        <f t="shared" si="152"/>
        <v>14</v>
      </c>
      <c r="J43" s="48">
        <f t="shared" si="153"/>
        <v>9.125</v>
      </c>
      <c r="K43" s="48">
        <f t="shared" si="154"/>
        <v>1</v>
      </c>
      <c r="L43" s="48">
        <f t="shared" si="155"/>
        <v>6</v>
      </c>
      <c r="M43" s="48">
        <f t="shared" si="156"/>
        <v>6.4</v>
      </c>
      <c r="N43" s="48">
        <f t="shared" si="157"/>
        <v>19.2</v>
      </c>
      <c r="O43" s="151">
        <f t="shared" si="158"/>
        <v>3.625</v>
      </c>
      <c r="P43" s="151">
        <f t="shared" ca="1" si="159"/>
        <v>18.284222224575345</v>
      </c>
      <c r="Q43" s="151">
        <f t="shared" si="160"/>
        <v>0.89600000000000013</v>
      </c>
      <c r="R43" s="151">
        <f t="shared" si="161"/>
        <v>1.1359999999999999</v>
      </c>
      <c r="S43" s="151">
        <f t="shared" ca="1" si="162"/>
        <v>21.326797386685676</v>
      </c>
      <c r="T43" s="71">
        <f t="shared" ca="1" si="163"/>
        <v>5.7206941185765956</v>
      </c>
      <c r="U43" s="71">
        <f t="shared" ca="1" si="164"/>
        <v>8.6956954262112074</v>
      </c>
      <c r="V43" s="71">
        <f t="shared" ca="1" si="165"/>
        <v>5.7206941185765956</v>
      </c>
      <c r="W43" s="71">
        <f t="shared" ca="1" si="166"/>
        <v>8.321427451529809</v>
      </c>
      <c r="X43" s="71">
        <f t="shared" ca="1" si="167"/>
        <v>16.126797386685677</v>
      </c>
      <c r="Y43" s="71">
        <f t="shared" ca="1" si="168"/>
        <v>4.1607137257649045</v>
      </c>
      <c r="Z43" s="71">
        <f t="shared" ca="1" si="169"/>
        <v>2.6779277780311905</v>
      </c>
      <c r="AA43" s="71">
        <f t="shared" ca="1" si="170"/>
        <v>6.0959294121671856</v>
      </c>
      <c r="AB43" s="71">
        <f t="shared" ca="1" si="171"/>
        <v>11.659674510573744</v>
      </c>
      <c r="AC43" s="71">
        <f t="shared" ca="1" si="172"/>
        <v>3.0479647060835928</v>
      </c>
      <c r="AD43" s="71">
        <f t="shared" ca="1" si="173"/>
        <v>4.3319419938739854</v>
      </c>
      <c r="AE43" s="237">
        <f t="shared" ca="1" si="174"/>
        <v>14.836653595750823</v>
      </c>
      <c r="AF43" s="71">
        <f t="shared" ca="1" si="175"/>
        <v>6.6764941180878701</v>
      </c>
      <c r="AG43" s="71">
        <f t="shared" ca="1" si="176"/>
        <v>1.8790501635765078</v>
      </c>
      <c r="AH43" s="237">
        <f t="shared" ca="1" si="177"/>
        <v>1.8385568633711773</v>
      </c>
      <c r="AI43" s="71">
        <f t="shared" ca="1" si="178"/>
        <v>12.159605229561</v>
      </c>
      <c r="AJ43" s="71">
        <f t="shared" ca="1" si="179"/>
        <v>11.417772549773458</v>
      </c>
      <c r="AK43" s="71">
        <f t="shared" ca="1" si="180"/>
        <v>3.5615751635765083</v>
      </c>
      <c r="AL43" s="71">
        <f t="shared" ca="1" si="181"/>
        <v>1.6565176473654744</v>
      </c>
      <c r="AM43" s="71">
        <f t="shared" ca="1" si="182"/>
        <v>4.3542352944051332</v>
      </c>
      <c r="AN43" s="71">
        <f t="shared" ca="1" si="183"/>
        <v>9.5793176476912922</v>
      </c>
      <c r="AO43" s="71">
        <f t="shared" ca="1" si="184"/>
        <v>2.1771176472025666</v>
      </c>
      <c r="AP43" s="71">
        <f t="shared" ca="1" si="185"/>
        <v>10.621696733031277</v>
      </c>
      <c r="AQ43" s="71">
        <f t="shared" ca="1" si="186"/>
        <v>1.0564836602691379</v>
      </c>
      <c r="AR43" s="71">
        <f t="shared" ca="1" si="187"/>
        <v>2.4503516342989027</v>
      </c>
      <c r="AS43" s="71">
        <f t="shared" ca="1" si="188"/>
        <v>0.52824183013456893</v>
      </c>
      <c r="AT43" s="71">
        <f t="shared" ca="1" si="189"/>
        <v>3.0479647060835928</v>
      </c>
      <c r="AU43" s="71">
        <f t="shared" ca="1" si="190"/>
        <v>6.4507189546742714</v>
      </c>
      <c r="AV43" s="71">
        <f t="shared" ca="1" si="191"/>
        <v>1.5239823530417964</v>
      </c>
      <c r="AW43" s="71">
        <f t="shared" ca="1" si="192"/>
        <v>11.251797386685675</v>
      </c>
      <c r="AX43" s="71">
        <f t="shared" ca="1" si="193"/>
        <v>2.056079738831476</v>
      </c>
      <c r="AY43" s="71">
        <f t="shared" ca="1" si="194"/>
        <v>4.5618653600638073</v>
      </c>
      <c r="AZ43" s="71">
        <f t="shared" ca="1" si="195"/>
        <v>1.028039869415738</v>
      </c>
      <c r="BA43" s="71">
        <f t="shared" ca="1" si="196"/>
        <v>4.6928980395255318</v>
      </c>
      <c r="BB43" s="71">
        <f t="shared" ca="1" si="197"/>
        <v>5.6121254905666156</v>
      </c>
      <c r="BC43" s="71">
        <f t="shared" ca="1" si="198"/>
        <v>9.9128334976700803</v>
      </c>
      <c r="BD43" s="71">
        <f t="shared" ca="1" si="199"/>
        <v>4.3547228767635655</v>
      </c>
      <c r="BE43" s="71">
        <f t="shared" ca="1" si="200"/>
        <v>1.9585581701912478</v>
      </c>
      <c r="BF43" s="71">
        <f t="shared" ca="1" si="201"/>
        <v>7.8214967325425535</v>
      </c>
      <c r="BG43" s="71">
        <f t="shared" ca="1" si="202"/>
        <v>4.2574745100850189</v>
      </c>
      <c r="BH43" s="71">
        <f t="shared" ca="1" si="203"/>
        <v>4.2869348043272426</v>
      </c>
      <c r="BI43" s="71">
        <f t="shared" ca="1" si="204"/>
        <v>3.7378209159632805</v>
      </c>
      <c r="BJ43" s="71">
        <f t="shared" ca="1" si="205"/>
        <v>0.42259346410765508</v>
      </c>
      <c r="BK43" s="71">
        <f t="shared" ca="1" si="206"/>
        <v>2.9028235296034217</v>
      </c>
      <c r="BL43" s="71">
        <f t="shared" ca="1" si="207"/>
        <v>1.096622222294626</v>
      </c>
      <c r="BM43" s="71">
        <f t="shared" ca="1" si="208"/>
        <v>3.431798202939131</v>
      </c>
      <c r="BN43" s="71">
        <f t="shared" ca="1" si="209"/>
        <v>5.4510614392777788</v>
      </c>
      <c r="BO43" s="71">
        <f t="shared" ca="1" si="210"/>
        <v>1.0971176472025663</v>
      </c>
      <c r="BP43" s="71">
        <f t="shared" ca="1" si="211"/>
        <v>4.580010457818732</v>
      </c>
      <c r="BQ43" s="71">
        <f t="shared" ca="1" si="212"/>
        <v>3.9349385623513049</v>
      </c>
      <c r="BR43" s="71">
        <f t="shared" ca="1" si="213"/>
        <v>5.1195678109419829</v>
      </c>
      <c r="BS43" s="71">
        <f t="shared" ca="1" si="214"/>
        <v>4.6844915044477284</v>
      </c>
      <c r="BT43" s="71">
        <f t="shared" ca="1" si="215"/>
        <v>0.98334248378896671</v>
      </c>
      <c r="BU43" s="71">
        <f t="shared" ca="1" si="216"/>
        <v>4.580010457818732</v>
      </c>
      <c r="BV43" s="71">
        <f t="shared" ca="1" si="217"/>
        <v>3.9349385623513049</v>
      </c>
      <c r="BW43" s="71">
        <f t="shared" ca="1" si="218"/>
        <v>7.099884150998661</v>
      </c>
      <c r="BX43" s="71">
        <f t="shared" ca="1" si="219"/>
        <v>3.7634836610836797</v>
      </c>
      <c r="BY43" s="71">
        <f t="shared" ca="1" si="220"/>
        <v>1.20276601322948</v>
      </c>
      <c r="BZ43" s="71">
        <f t="shared" ca="1" si="221"/>
        <v>4.5682297389943844</v>
      </c>
      <c r="CA43" s="71">
        <f t="shared" ca="1" si="222"/>
        <v>3.5648614384632369</v>
      </c>
      <c r="CB43" s="71">
        <f t="shared" ca="1" si="223"/>
        <v>9.3839738574080691</v>
      </c>
      <c r="CC43" s="71">
        <f t="shared" ca="1" si="224"/>
        <v>3.5648614384632369</v>
      </c>
      <c r="CD43" s="71">
        <f t="shared" ca="1" si="225"/>
        <v>4.0619947719051765</v>
      </c>
      <c r="CE43" s="71">
        <f t="shared" ca="1" si="226"/>
        <v>11.52558562237269</v>
      </c>
      <c r="CF43" s="71">
        <f t="shared" ca="1" si="227"/>
        <v>4.0619947719051765</v>
      </c>
      <c r="CG43" s="71">
        <f t="shared" ca="1" si="228"/>
        <v>2.8129493466714188</v>
      </c>
    </row>
    <row r="44" spans="1:85" x14ac:dyDescent="0.25">
      <c r="A44" t="str">
        <f t="shared" si="148"/>
        <v>M.A. Balbinot</v>
      </c>
      <c r="B44">
        <f t="shared" si="148"/>
        <v>32</v>
      </c>
      <c r="C44" s="49">
        <f t="shared" ca="1" si="148"/>
        <v>27</v>
      </c>
      <c r="D44" t="str">
        <f t="shared" si="148"/>
        <v>RAP</v>
      </c>
      <c r="E44" s="203">
        <f t="shared" si="148"/>
        <v>44307</v>
      </c>
      <c r="F44" s="150">
        <f t="shared" ca="1" si="149"/>
        <v>1</v>
      </c>
      <c r="G44" s="151">
        <f t="shared" si="150"/>
        <v>11</v>
      </c>
      <c r="H44" s="48">
        <f t="shared" si="151"/>
        <v>0</v>
      </c>
      <c r="I44" s="48">
        <f t="shared" si="152"/>
        <v>9.375</v>
      </c>
      <c r="J44" s="48">
        <f t="shared" si="153"/>
        <v>14</v>
      </c>
      <c r="K44" s="48">
        <f t="shared" si="154"/>
        <v>7</v>
      </c>
      <c r="L44" s="48">
        <f t="shared" si="155"/>
        <v>7.95</v>
      </c>
      <c r="M44" s="48">
        <f t="shared" si="156"/>
        <v>9.0625</v>
      </c>
      <c r="N44" s="48">
        <f t="shared" si="157"/>
        <v>16</v>
      </c>
      <c r="O44" s="151">
        <f t="shared" si="158"/>
        <v>3.5343749999999998</v>
      </c>
      <c r="P44" s="151">
        <f t="shared" ca="1" si="159"/>
        <v>21.522387112266237</v>
      </c>
      <c r="Q44" s="151">
        <f t="shared" si="160"/>
        <v>0.93312500000000009</v>
      </c>
      <c r="R44" s="151">
        <f t="shared" si="161"/>
        <v>0.85500000000000009</v>
      </c>
      <c r="S44" s="151">
        <f t="shared" ca="1" si="162"/>
        <v>18.388523580210968</v>
      </c>
      <c r="T44" s="71">
        <f t="shared" ca="1" si="163"/>
        <v>4.6726810855241743</v>
      </c>
      <c r="U44" s="71">
        <f t="shared" ca="1" si="164"/>
        <v>7.0679589420523588</v>
      </c>
      <c r="V44" s="71">
        <f t="shared" ca="1" si="165"/>
        <v>4.6726810855241743</v>
      </c>
      <c r="W44" s="71">
        <f t="shared" ca="1" si="166"/>
        <v>6.0699781673888591</v>
      </c>
      <c r="X44" s="71">
        <f t="shared" ca="1" si="167"/>
        <v>11.763523580210967</v>
      </c>
      <c r="Y44" s="71">
        <f t="shared" ca="1" si="168"/>
        <v>3.0349890836944295</v>
      </c>
      <c r="Z44" s="71">
        <f t="shared" ca="1" si="169"/>
        <v>3.9004686120902101</v>
      </c>
      <c r="AA44" s="71">
        <f t="shared" ca="1" si="170"/>
        <v>4.446611913319745</v>
      </c>
      <c r="AB44" s="71">
        <f t="shared" ca="1" si="171"/>
        <v>8.505027548492528</v>
      </c>
      <c r="AC44" s="71">
        <f t="shared" ca="1" si="172"/>
        <v>2.2233059566598725</v>
      </c>
      <c r="AD44" s="71">
        <f t="shared" ca="1" si="173"/>
        <v>6.3095815783812226</v>
      </c>
      <c r="AE44" s="237">
        <f t="shared" ca="1" si="174"/>
        <v>10.82244169379409</v>
      </c>
      <c r="AF44" s="71">
        <f t="shared" ca="1" si="175"/>
        <v>4.8700987622073395</v>
      </c>
      <c r="AG44" s="71">
        <f t="shared" ca="1" si="176"/>
        <v>2.7368834378952318</v>
      </c>
      <c r="AH44" s="237">
        <f t="shared" ca="1" si="177"/>
        <v>5.5204518651640484</v>
      </c>
      <c r="AI44" s="71">
        <f t="shared" ca="1" si="178"/>
        <v>8.8696967794790691</v>
      </c>
      <c r="AJ44" s="71">
        <f t="shared" ca="1" si="179"/>
        <v>8.3285746947893635</v>
      </c>
      <c r="AK44" s="71">
        <f t="shared" ca="1" si="180"/>
        <v>3.0708834378952319</v>
      </c>
      <c r="AL44" s="71">
        <f t="shared" ca="1" si="181"/>
        <v>1.7057947911007583</v>
      </c>
      <c r="AM44" s="71">
        <f t="shared" ca="1" si="182"/>
        <v>3.1761513666569612</v>
      </c>
      <c r="AN44" s="71">
        <f t="shared" ca="1" si="183"/>
        <v>6.9875330066453136</v>
      </c>
      <c r="AO44" s="71">
        <f t="shared" ca="1" si="184"/>
        <v>1.5880756833284806</v>
      </c>
      <c r="AP44" s="71">
        <f t="shared" ca="1" si="185"/>
        <v>15.470766259719154</v>
      </c>
      <c r="AQ44" s="71">
        <f t="shared" ca="1" si="186"/>
        <v>1.3440080654274256</v>
      </c>
      <c r="AR44" s="71">
        <f t="shared" ca="1" si="187"/>
        <v>3.2216499090018127</v>
      </c>
      <c r="AS44" s="71">
        <f t="shared" ca="1" si="188"/>
        <v>0.67200403271371278</v>
      </c>
      <c r="AT44" s="71">
        <f t="shared" ca="1" si="189"/>
        <v>2.2233059566598725</v>
      </c>
      <c r="AU44" s="71">
        <f t="shared" ca="1" si="190"/>
        <v>4.7054094320843864</v>
      </c>
      <c r="AV44" s="71">
        <f t="shared" ca="1" si="191"/>
        <v>1.1116529783299363</v>
      </c>
      <c r="AW44" s="71">
        <f t="shared" ca="1" si="192"/>
        <v>16.388523580210968</v>
      </c>
      <c r="AX44" s="71">
        <f t="shared" ca="1" si="193"/>
        <v>2.6156464657933745</v>
      </c>
      <c r="AY44" s="71">
        <f t="shared" ca="1" si="194"/>
        <v>5.9301514926962424</v>
      </c>
      <c r="AZ44" s="71">
        <f t="shared" ca="1" si="195"/>
        <v>1.3078232328966872</v>
      </c>
      <c r="BA44" s="71">
        <f t="shared" ca="1" si="196"/>
        <v>3.4231853618413912</v>
      </c>
      <c r="BB44" s="71">
        <f t="shared" ca="1" si="197"/>
        <v>4.0937062059134162</v>
      </c>
      <c r="BC44" s="71">
        <f t="shared" ca="1" si="198"/>
        <v>14.438289274165863</v>
      </c>
      <c r="BD44" s="71">
        <f t="shared" ca="1" si="199"/>
        <v>8.645647462807549</v>
      </c>
      <c r="BE44" s="71">
        <f t="shared" ca="1" si="200"/>
        <v>2.4915841828308425</v>
      </c>
      <c r="BF44" s="71">
        <f t="shared" ca="1" si="201"/>
        <v>5.7053089364023188</v>
      </c>
      <c r="BG44" s="71">
        <f t="shared" ca="1" si="202"/>
        <v>3.1055702251756951</v>
      </c>
      <c r="BH44" s="71">
        <f t="shared" ca="1" si="203"/>
        <v>6.2440274840603793</v>
      </c>
      <c r="BI44" s="71">
        <f t="shared" ca="1" si="204"/>
        <v>8.3965196091043843</v>
      </c>
      <c r="BJ44" s="71">
        <f t="shared" ca="1" si="205"/>
        <v>0.53760322617097023</v>
      </c>
      <c r="BK44" s="71">
        <f t="shared" ca="1" si="206"/>
        <v>2.1174342444379741</v>
      </c>
      <c r="BL44" s="71">
        <f t="shared" ca="1" si="207"/>
        <v>0.79991960345434576</v>
      </c>
      <c r="BM44" s="71">
        <f t="shared" ca="1" si="208"/>
        <v>4.9984996919643452</v>
      </c>
      <c r="BN44" s="71">
        <f t="shared" ca="1" si="209"/>
        <v>12.345341324151303</v>
      </c>
      <c r="BO44" s="71">
        <f t="shared" ca="1" si="210"/>
        <v>1.3957006833284804</v>
      </c>
      <c r="BP44" s="71">
        <f t="shared" ca="1" si="211"/>
        <v>3.3408406967799142</v>
      </c>
      <c r="BQ44" s="71">
        <f t="shared" ca="1" si="212"/>
        <v>2.8702997535714756</v>
      </c>
      <c r="BR44" s="71">
        <f t="shared" ca="1" si="213"/>
        <v>7.456778228995991</v>
      </c>
      <c r="BS44" s="71">
        <f t="shared" ca="1" si="214"/>
        <v>10.63428412687375</v>
      </c>
      <c r="BT44" s="71">
        <f t="shared" ca="1" si="215"/>
        <v>1.2509613532055268</v>
      </c>
      <c r="BU44" s="71">
        <f t="shared" ca="1" si="216"/>
        <v>3.3408406967799142</v>
      </c>
      <c r="BV44" s="71">
        <f t="shared" ca="1" si="217"/>
        <v>2.8702997535714756</v>
      </c>
      <c r="BW44" s="71">
        <f t="shared" ca="1" si="218"/>
        <v>10.341158379113121</v>
      </c>
      <c r="BX44" s="71">
        <f t="shared" ca="1" si="219"/>
        <v>8.5860786042888151</v>
      </c>
      <c r="BY44" s="71">
        <f t="shared" ca="1" si="220"/>
        <v>1.5301014898712229</v>
      </c>
      <c r="BZ44" s="71">
        <f t="shared" ca="1" si="221"/>
        <v>6.6537405735656536</v>
      </c>
      <c r="CA44" s="71">
        <f t="shared" ca="1" si="222"/>
        <v>5.3908582852899132</v>
      </c>
      <c r="CB44" s="71">
        <f t="shared" ca="1" si="223"/>
        <v>12.289765051317548</v>
      </c>
      <c r="CC44" s="71">
        <f t="shared" ca="1" si="224"/>
        <v>5.3908582852899132</v>
      </c>
      <c r="CD44" s="71">
        <f t="shared" ca="1" si="225"/>
        <v>6.5202001904714324</v>
      </c>
      <c r="CE44" s="71">
        <f t="shared" ca="1" si="226"/>
        <v>15.265938781308813</v>
      </c>
      <c r="CF44" s="71">
        <f t="shared" ca="1" si="227"/>
        <v>6.5202001904714324</v>
      </c>
      <c r="CG44" s="71">
        <f t="shared" ca="1" si="228"/>
        <v>4.0971308950527421</v>
      </c>
    </row>
    <row r="45" spans="1:85" x14ac:dyDescent="0.25">
      <c r="A45" t="str">
        <f t="shared" si="148"/>
        <v>P. Tuderek</v>
      </c>
      <c r="B45">
        <f t="shared" si="148"/>
        <v>28</v>
      </c>
      <c r="C45" s="49">
        <f t="shared" ca="1" si="148"/>
        <v>39</v>
      </c>
      <c r="D45" t="str">
        <f t="shared" si="148"/>
        <v>CAB</v>
      </c>
      <c r="E45" s="203">
        <f t="shared" si="148"/>
        <v>43626</v>
      </c>
      <c r="F45" s="150">
        <f t="shared" ca="1" si="149"/>
        <v>1</v>
      </c>
      <c r="G45" s="151">
        <f t="shared" si="150"/>
        <v>7</v>
      </c>
      <c r="H45" s="48">
        <f t="shared" si="151"/>
        <v>0</v>
      </c>
      <c r="I45" s="48">
        <f t="shared" si="152"/>
        <v>11.153846153846153</v>
      </c>
      <c r="J45" s="48">
        <f t="shared" si="153"/>
        <v>14.166666666666666</v>
      </c>
      <c r="K45" s="48">
        <f t="shared" si="154"/>
        <v>2</v>
      </c>
      <c r="L45" s="48">
        <f t="shared" si="155"/>
        <v>3</v>
      </c>
      <c r="M45" s="48">
        <f t="shared" si="156"/>
        <v>8</v>
      </c>
      <c r="N45" s="48">
        <f t="shared" si="157"/>
        <v>20.166666666666668</v>
      </c>
      <c r="O45" s="151">
        <f t="shared" si="158"/>
        <v>2.5192307692307692</v>
      </c>
      <c r="P45" s="151">
        <f t="shared" ca="1" si="159"/>
        <v>21.47188889124201</v>
      </c>
      <c r="Q45" s="151">
        <f t="shared" si="160"/>
        <v>1.0050000000000001</v>
      </c>
      <c r="R45" s="151">
        <f t="shared" si="161"/>
        <v>1.0511538461538461</v>
      </c>
      <c r="S45" s="151">
        <f t="shared" ca="1" si="162"/>
        <v>22.293464053352345</v>
      </c>
      <c r="T45" s="71">
        <f t="shared" ca="1" si="163"/>
        <v>4.9351556570381341</v>
      </c>
      <c r="U45" s="71">
        <f t="shared" ca="1" si="164"/>
        <v>7.4860800415958222</v>
      </c>
      <c r="V45" s="71">
        <f t="shared" ca="1" si="165"/>
        <v>4.9351556570381341</v>
      </c>
      <c r="W45" s="71">
        <f t="shared" ca="1" si="166"/>
        <v>6.8528120669144235</v>
      </c>
      <c r="X45" s="71">
        <f t="shared" ca="1" si="167"/>
        <v>13.280643540531829</v>
      </c>
      <c r="Y45" s="71">
        <f t="shared" ca="1" si="168"/>
        <v>3.4264060334572117</v>
      </c>
      <c r="Z45" s="71">
        <f t="shared" ca="1" si="169"/>
        <v>3.8778444446978573</v>
      </c>
      <c r="AA45" s="71">
        <f t="shared" ca="1" si="170"/>
        <v>5.0200832583210309</v>
      </c>
      <c r="AB45" s="71">
        <f t="shared" ca="1" si="171"/>
        <v>9.6019052798045124</v>
      </c>
      <c r="AC45" s="71">
        <f t="shared" ca="1" si="172"/>
        <v>2.5100416291605154</v>
      </c>
      <c r="AD45" s="71">
        <f t="shared" ca="1" si="173"/>
        <v>6.2729836605406515</v>
      </c>
      <c r="AE45" s="237">
        <f t="shared" ca="1" si="174"/>
        <v>12.218192057289283</v>
      </c>
      <c r="AF45" s="71">
        <f t="shared" ca="1" si="175"/>
        <v>5.4981864257801769</v>
      </c>
      <c r="AG45" s="71">
        <f t="shared" ca="1" si="176"/>
        <v>2.7210084969098411</v>
      </c>
      <c r="AH45" s="237">
        <f t="shared" ca="1" si="177"/>
        <v>2.4265568633711769</v>
      </c>
      <c r="AI45" s="71">
        <f t="shared" ca="1" si="178"/>
        <v>10.013605229561</v>
      </c>
      <c r="AJ45" s="71">
        <f t="shared" ca="1" si="179"/>
        <v>9.4026956266965342</v>
      </c>
      <c r="AK45" s="71">
        <f t="shared" ca="1" si="180"/>
        <v>3.7230084969098418</v>
      </c>
      <c r="AL45" s="71">
        <f t="shared" ca="1" si="181"/>
        <v>1.3380561089039362</v>
      </c>
      <c r="AM45" s="71">
        <f t="shared" ca="1" si="182"/>
        <v>3.585773755943594</v>
      </c>
      <c r="AN45" s="71">
        <f t="shared" ca="1" si="183"/>
        <v>7.8887022630759054</v>
      </c>
      <c r="AO45" s="71">
        <f t="shared" ca="1" si="184"/>
        <v>1.792886877971797</v>
      </c>
      <c r="AP45" s="71">
        <f t="shared" ca="1" si="185"/>
        <v>15.381030066364609</v>
      </c>
      <c r="AQ45" s="71">
        <f t="shared" ca="1" si="186"/>
        <v>0.66648366026913786</v>
      </c>
      <c r="AR45" s="71">
        <f t="shared" ca="1" si="187"/>
        <v>2.3671516342989025</v>
      </c>
      <c r="AS45" s="71">
        <f t="shared" ca="1" si="188"/>
        <v>0.33324183013456893</v>
      </c>
      <c r="AT45" s="71">
        <f t="shared" ca="1" si="189"/>
        <v>2.5100416291605154</v>
      </c>
      <c r="AU45" s="71">
        <f t="shared" ca="1" si="190"/>
        <v>5.3122574162127316</v>
      </c>
      <c r="AV45" s="71">
        <f t="shared" ca="1" si="191"/>
        <v>1.2550208145802577</v>
      </c>
      <c r="AW45" s="71">
        <f t="shared" ca="1" si="192"/>
        <v>16.293464053352341</v>
      </c>
      <c r="AX45" s="71">
        <f t="shared" ca="1" si="193"/>
        <v>1.2970797388314759</v>
      </c>
      <c r="AY45" s="71">
        <f t="shared" ca="1" si="194"/>
        <v>3.874865360063807</v>
      </c>
      <c r="AZ45" s="71">
        <f t="shared" ca="1" si="195"/>
        <v>0.64853986941573794</v>
      </c>
      <c r="BA45" s="71">
        <f t="shared" ca="1" si="196"/>
        <v>3.864667270294762</v>
      </c>
      <c r="BB45" s="71">
        <f t="shared" ca="1" si="197"/>
        <v>4.6216639521050764</v>
      </c>
      <c r="BC45" s="71">
        <f t="shared" ca="1" si="198"/>
        <v>14.354541831003413</v>
      </c>
      <c r="BD45" s="71">
        <f t="shared" ca="1" si="199"/>
        <v>3.9837228767635651</v>
      </c>
      <c r="BE45" s="71">
        <f t="shared" ca="1" si="200"/>
        <v>1.2355581701912477</v>
      </c>
      <c r="BF45" s="71">
        <f t="shared" ca="1" si="201"/>
        <v>6.4411121171579371</v>
      </c>
      <c r="BG45" s="71">
        <f t="shared" ca="1" si="202"/>
        <v>3.5060898947004029</v>
      </c>
      <c r="BH45" s="71">
        <f t="shared" ca="1" si="203"/>
        <v>6.2078098043272423</v>
      </c>
      <c r="BI45" s="71">
        <f t="shared" ca="1" si="204"/>
        <v>3.8078209159632803</v>
      </c>
      <c r="BJ45" s="71">
        <f t="shared" ca="1" si="205"/>
        <v>0.26659346410765511</v>
      </c>
      <c r="BK45" s="71">
        <f t="shared" ca="1" si="206"/>
        <v>2.3905158372957289</v>
      </c>
      <c r="BL45" s="71">
        <f t="shared" ca="1" si="207"/>
        <v>0.90308376075616437</v>
      </c>
      <c r="BM45" s="71">
        <f t="shared" ca="1" si="208"/>
        <v>4.9695065362724637</v>
      </c>
      <c r="BN45" s="71">
        <f t="shared" ca="1" si="209"/>
        <v>5.5930614392777782</v>
      </c>
      <c r="BO45" s="71">
        <f t="shared" ca="1" si="210"/>
        <v>0.69211764720256619</v>
      </c>
      <c r="BP45" s="71">
        <f t="shared" ca="1" si="211"/>
        <v>3.7717027655110389</v>
      </c>
      <c r="BQ45" s="71">
        <f t="shared" ca="1" si="212"/>
        <v>3.240477023889766</v>
      </c>
      <c r="BR45" s="71">
        <f t="shared" ca="1" si="213"/>
        <v>7.4135261442753153</v>
      </c>
      <c r="BS45" s="71">
        <f t="shared" ca="1" si="214"/>
        <v>4.8164915044477281</v>
      </c>
      <c r="BT45" s="71">
        <f t="shared" ca="1" si="215"/>
        <v>0.62034248378896673</v>
      </c>
      <c r="BU45" s="71">
        <f t="shared" ca="1" si="216"/>
        <v>3.7717027655110389</v>
      </c>
      <c r="BV45" s="71">
        <f t="shared" ca="1" si="217"/>
        <v>3.240477023889766</v>
      </c>
      <c r="BW45" s="71">
        <f t="shared" ca="1" si="218"/>
        <v>10.281175817665327</v>
      </c>
      <c r="BX45" s="71">
        <f t="shared" ca="1" si="219"/>
        <v>3.886483661083679</v>
      </c>
      <c r="BY45" s="71">
        <f t="shared" ca="1" si="220"/>
        <v>0.7587660132294799</v>
      </c>
      <c r="BZ45" s="71">
        <f t="shared" ca="1" si="221"/>
        <v>6.6151464056610507</v>
      </c>
      <c r="CA45" s="71">
        <f t="shared" ca="1" si="222"/>
        <v>3.1620614384632368</v>
      </c>
      <c r="CB45" s="71">
        <f t="shared" ca="1" si="223"/>
        <v>8.6877738574080716</v>
      </c>
      <c r="CC45" s="71">
        <f t="shared" ca="1" si="224"/>
        <v>3.1620614384632368</v>
      </c>
      <c r="CD45" s="71">
        <f t="shared" ca="1" si="225"/>
        <v>4.272994771905176</v>
      </c>
      <c r="CE45" s="71">
        <f t="shared" ca="1" si="226"/>
        <v>12.01858562237269</v>
      </c>
      <c r="CF45" s="71">
        <f t="shared" ca="1" si="227"/>
        <v>4.272994771905176</v>
      </c>
      <c r="CG45" s="71">
        <f t="shared" ca="1" si="228"/>
        <v>4.0733660133380853</v>
      </c>
    </row>
    <row r="46" spans="1:85" x14ac:dyDescent="0.25">
      <c r="A46" t="str">
        <f t="shared" si="148"/>
        <v>R. Forsyth</v>
      </c>
      <c r="B46">
        <f t="shared" si="148"/>
        <v>28</v>
      </c>
      <c r="C46" s="49">
        <f t="shared" ca="1" si="148"/>
        <v>94</v>
      </c>
      <c r="D46" t="str">
        <f t="shared" si="148"/>
        <v>POT</v>
      </c>
      <c r="E46" s="203">
        <f t="shared" si="148"/>
        <v>43626</v>
      </c>
      <c r="F46" s="150">
        <f t="shared" ca="1" si="149"/>
        <v>1</v>
      </c>
      <c r="G46" s="151">
        <f t="shared" si="150"/>
        <v>8</v>
      </c>
      <c r="H46" s="48">
        <f t="shared" si="151"/>
        <v>0</v>
      </c>
      <c r="I46" s="48">
        <f t="shared" si="152"/>
        <v>11.692307692307692</v>
      </c>
      <c r="J46" s="48">
        <f t="shared" si="153"/>
        <v>14.692307692307692</v>
      </c>
      <c r="K46" s="48">
        <f t="shared" si="154"/>
        <v>3</v>
      </c>
      <c r="L46" s="48">
        <f t="shared" si="155"/>
        <v>4</v>
      </c>
      <c r="M46" s="48">
        <f t="shared" si="156"/>
        <v>7.5</v>
      </c>
      <c r="N46" s="48">
        <f t="shared" si="157"/>
        <v>19</v>
      </c>
      <c r="O46" s="151">
        <f t="shared" si="158"/>
        <v>2.8365384615384617</v>
      </c>
      <c r="P46" s="151">
        <f t="shared" ca="1" si="159"/>
        <v>20.171105161669594</v>
      </c>
      <c r="Q46" s="151">
        <f t="shared" si="160"/>
        <v>0.94499999999999995</v>
      </c>
      <c r="R46" s="151">
        <f t="shared" si="161"/>
        <v>1.0376923076923077</v>
      </c>
      <c r="S46" s="151">
        <f t="shared" ca="1" si="162"/>
        <v>21.204119982655925</v>
      </c>
      <c r="T46" s="71">
        <f t="shared" ca="1" si="163"/>
        <v>5.1512736679355458</v>
      </c>
      <c r="U46" s="71">
        <f t="shared" ca="1" si="164"/>
        <v>7.8147496668395675</v>
      </c>
      <c r="V46" s="71">
        <f t="shared" ca="1" si="165"/>
        <v>5.1512736679355458</v>
      </c>
      <c r="W46" s="71">
        <f t="shared" ca="1" si="166"/>
        <v>7.1705566802812264</v>
      </c>
      <c r="X46" s="71">
        <f t="shared" ca="1" si="167"/>
        <v>13.896427674963617</v>
      </c>
      <c r="Y46" s="71">
        <f t="shared" ca="1" si="168"/>
        <v>3.5852783401406132</v>
      </c>
      <c r="Z46" s="71">
        <f t="shared" ca="1" si="169"/>
        <v>4.0213497866413404</v>
      </c>
      <c r="AA46" s="71">
        <f t="shared" ca="1" si="170"/>
        <v>5.2528496611362474</v>
      </c>
      <c r="AB46" s="71">
        <f t="shared" ca="1" si="171"/>
        <v>10.047117208998694</v>
      </c>
      <c r="AC46" s="71">
        <f t="shared" ca="1" si="172"/>
        <v>2.6264248305681237</v>
      </c>
      <c r="AD46" s="71">
        <f t="shared" ca="1" si="173"/>
        <v>6.5051246548609916</v>
      </c>
      <c r="AE46" s="237">
        <f t="shared" ca="1" si="174"/>
        <v>12.784713460966527</v>
      </c>
      <c r="AF46" s="71">
        <f t="shared" ca="1" si="175"/>
        <v>5.753121057434937</v>
      </c>
      <c r="AG46" s="71">
        <f t="shared" ca="1" si="176"/>
        <v>2.8217034217189236</v>
      </c>
      <c r="AH46" s="237">
        <f t="shared" ca="1" si="177"/>
        <v>3.0600225498016838</v>
      </c>
      <c r="AI46" s="71">
        <f t="shared" ca="1" si="178"/>
        <v>10.477906466922567</v>
      </c>
      <c r="AJ46" s="71">
        <f t="shared" ca="1" si="179"/>
        <v>9.8386707938742397</v>
      </c>
      <c r="AK46" s="71">
        <f t="shared" ca="1" si="180"/>
        <v>3.5410880371035396</v>
      </c>
      <c r="AL46" s="71">
        <f t="shared" ca="1" si="181"/>
        <v>1.4517096319279832</v>
      </c>
      <c r="AM46" s="71">
        <f t="shared" ca="1" si="182"/>
        <v>3.7520354722401765</v>
      </c>
      <c r="AN46" s="71">
        <f t="shared" ca="1" si="183"/>
        <v>8.2544780389283883</v>
      </c>
      <c r="AO46" s="71">
        <f t="shared" ca="1" si="184"/>
        <v>1.8760177361200883</v>
      </c>
      <c r="AP46" s="71">
        <f t="shared" ca="1" si="185"/>
        <v>15.950227725165652</v>
      </c>
      <c r="AQ46" s="71">
        <f t="shared" ca="1" si="186"/>
        <v>0.80653559774527028</v>
      </c>
      <c r="AR46" s="71">
        <f t="shared" ca="1" si="187"/>
        <v>2.4233071549181857</v>
      </c>
      <c r="AS46" s="71">
        <f t="shared" ca="1" si="188"/>
        <v>0.40326779887263514</v>
      </c>
      <c r="AT46" s="71">
        <f t="shared" ca="1" si="189"/>
        <v>2.6264248305681237</v>
      </c>
      <c r="AU46" s="71">
        <f t="shared" ca="1" si="190"/>
        <v>5.5585710699854474</v>
      </c>
      <c r="AV46" s="71">
        <f t="shared" ca="1" si="191"/>
        <v>1.3132124152840619</v>
      </c>
      <c r="AW46" s="71">
        <f t="shared" ca="1" si="192"/>
        <v>16.896427674963615</v>
      </c>
      <c r="AX46" s="71">
        <f t="shared" ca="1" si="193"/>
        <v>1.569642355611949</v>
      </c>
      <c r="AY46" s="71">
        <f t="shared" ca="1" si="194"/>
        <v>4.1534701104434149</v>
      </c>
      <c r="AZ46" s="71">
        <f t="shared" ca="1" si="195"/>
        <v>0.78482117780597449</v>
      </c>
      <c r="BA46" s="71">
        <f t="shared" ca="1" si="196"/>
        <v>4.0438604534144122</v>
      </c>
      <c r="BB46" s="71">
        <f t="shared" ca="1" si="197"/>
        <v>4.835956830887338</v>
      </c>
      <c r="BC46" s="71">
        <f t="shared" ca="1" si="198"/>
        <v>14.885752781642944</v>
      </c>
      <c r="BD46" s="71">
        <f t="shared" ca="1" si="199"/>
        <v>4.9414626645811168</v>
      </c>
      <c r="BE46" s="71">
        <f t="shared" ca="1" si="200"/>
        <v>1.4951929158200779</v>
      </c>
      <c r="BF46" s="71">
        <f t="shared" ca="1" si="201"/>
        <v>6.739767422357354</v>
      </c>
      <c r="BG46" s="71">
        <f t="shared" ca="1" si="202"/>
        <v>3.6686569061903951</v>
      </c>
      <c r="BH46" s="71">
        <f t="shared" ca="1" si="203"/>
        <v>6.4375389441611377</v>
      </c>
      <c r="BI46" s="71">
        <f t="shared" ca="1" si="204"/>
        <v>4.7494008648412791</v>
      </c>
      <c r="BJ46" s="71">
        <f t="shared" ca="1" si="205"/>
        <v>0.3226142390981081</v>
      </c>
      <c r="BK46" s="71">
        <f t="shared" ca="1" si="206"/>
        <v>2.5013569814934509</v>
      </c>
      <c r="BL46" s="71">
        <f t="shared" ca="1" si="207"/>
        <v>0.94495708189752603</v>
      </c>
      <c r="BM46" s="71">
        <f t="shared" ca="1" si="208"/>
        <v>5.1534104408639028</v>
      </c>
      <c r="BN46" s="71">
        <f t="shared" ca="1" si="209"/>
        <v>6.9784982976955199</v>
      </c>
      <c r="BO46" s="71">
        <f t="shared" ca="1" si="210"/>
        <v>0.83755619765854994</v>
      </c>
      <c r="BP46" s="71">
        <f t="shared" ca="1" si="211"/>
        <v>3.9465854596896666</v>
      </c>
      <c r="BQ46" s="71">
        <f t="shared" ca="1" si="212"/>
        <v>3.3907283526911223</v>
      </c>
      <c r="BR46" s="71">
        <f t="shared" ca="1" si="213"/>
        <v>7.6878745921084448</v>
      </c>
      <c r="BS46" s="71">
        <f t="shared" ca="1" si="214"/>
        <v>6.0101649407827642</v>
      </c>
      <c r="BT46" s="71">
        <f t="shared" ca="1" si="215"/>
        <v>0.75069851790136688</v>
      </c>
      <c r="BU46" s="71">
        <f t="shared" ca="1" si="216"/>
        <v>3.9465854596896666</v>
      </c>
      <c r="BV46" s="71">
        <f t="shared" ca="1" si="217"/>
        <v>3.3907283526911223</v>
      </c>
      <c r="BW46" s="71">
        <f t="shared" ca="1" si="218"/>
        <v>10.661645862902041</v>
      </c>
      <c r="BX46" s="71">
        <f t="shared" ca="1" si="219"/>
        <v>4.8506873844770526</v>
      </c>
      <c r="BY46" s="71">
        <f t="shared" ca="1" si="220"/>
        <v>0.91820975743307687</v>
      </c>
      <c r="BZ46" s="71">
        <f t="shared" ca="1" si="221"/>
        <v>6.8599496360352283</v>
      </c>
      <c r="CA46" s="71">
        <f t="shared" ca="1" si="222"/>
        <v>3.5328465109637368</v>
      </c>
      <c r="CB46" s="71">
        <f t="shared" ca="1" si="223"/>
        <v>9.0263391004705724</v>
      </c>
      <c r="CC46" s="71">
        <f t="shared" ca="1" si="224"/>
        <v>3.5328465109637368</v>
      </c>
      <c r="CD46" s="71">
        <f t="shared" ca="1" si="225"/>
        <v>4.5541667491946409</v>
      </c>
      <c r="CE46" s="71">
        <f t="shared" ca="1" si="226"/>
        <v>11.993440256255962</v>
      </c>
      <c r="CF46" s="71">
        <f t="shared" ca="1" si="227"/>
        <v>4.5541667491946409</v>
      </c>
      <c r="CG46" s="71">
        <f t="shared" ca="1" si="228"/>
        <v>4.2241069187409037</v>
      </c>
    </row>
    <row r="47" spans="1:85" x14ac:dyDescent="0.25">
      <c r="A47" t="str">
        <f t="shared" ref="A47:E56" si="229">A13</f>
        <v>Dusty Ware</v>
      </c>
      <c r="B47">
        <f t="shared" si="229"/>
        <v>29</v>
      </c>
      <c r="C47" s="49">
        <f t="shared" ca="1" si="229"/>
        <v>76</v>
      </c>
      <c r="D47" t="str">
        <f t="shared" si="229"/>
        <v>POT</v>
      </c>
      <c r="E47" s="203">
        <f t="shared" si="229"/>
        <v>44354</v>
      </c>
      <c r="F47" s="150">
        <f t="shared" ca="1" si="149"/>
        <v>1</v>
      </c>
      <c r="G47" s="151">
        <f t="shared" si="150"/>
        <v>9</v>
      </c>
      <c r="H47" s="48">
        <f t="shared" si="151"/>
        <v>0</v>
      </c>
      <c r="I47" s="48">
        <f t="shared" si="152"/>
        <v>11.307692307692308</v>
      </c>
      <c r="J47" s="48">
        <f t="shared" si="153"/>
        <v>15</v>
      </c>
      <c r="K47" s="48">
        <f t="shared" si="154"/>
        <v>4</v>
      </c>
      <c r="L47" s="48">
        <f t="shared" si="155"/>
        <v>3</v>
      </c>
      <c r="M47" s="48">
        <f t="shared" si="156"/>
        <v>9</v>
      </c>
      <c r="N47" s="48">
        <f t="shared" si="157"/>
        <v>18.25</v>
      </c>
      <c r="O47" s="151">
        <f t="shared" si="158"/>
        <v>2.5384615384615383</v>
      </c>
      <c r="P47" s="151">
        <f t="shared" ca="1" si="159"/>
        <v>22.399334594481211</v>
      </c>
      <c r="Q47" s="151">
        <f t="shared" si="160"/>
        <v>0.99749999999999994</v>
      </c>
      <c r="R47" s="151">
        <f t="shared" si="161"/>
        <v>0.99980769230769229</v>
      </c>
      <c r="S47" s="151">
        <f t="shared" ca="1" si="162"/>
        <v>20.522323345919101</v>
      </c>
      <c r="T47" s="71">
        <f t="shared" ca="1" si="163"/>
        <v>5.1046613579104516</v>
      </c>
      <c r="U47" s="71">
        <f t="shared" ca="1" si="164"/>
        <v>7.7393386703507883</v>
      </c>
      <c r="V47" s="71">
        <f t="shared" ca="1" si="165"/>
        <v>5.1046613579104516</v>
      </c>
      <c r="W47" s="71">
        <f t="shared" ca="1" si="166"/>
        <v>7.0072880772634871</v>
      </c>
      <c r="X47" s="71">
        <f t="shared" ca="1" si="167"/>
        <v>13.580015653611408</v>
      </c>
      <c r="Y47" s="71">
        <f t="shared" ca="1" si="168"/>
        <v>3.5036440386317436</v>
      </c>
      <c r="Z47" s="71">
        <f t="shared" ca="1" si="169"/>
        <v>4.1108129563287461</v>
      </c>
      <c r="AA47" s="71">
        <f t="shared" ca="1" si="170"/>
        <v>5.1332459170651124</v>
      </c>
      <c r="AB47" s="71">
        <f t="shared" ca="1" si="171"/>
        <v>9.8183513175610475</v>
      </c>
      <c r="AC47" s="71">
        <f t="shared" ca="1" si="172"/>
        <v>2.5666229585325562</v>
      </c>
      <c r="AD47" s="71">
        <f t="shared" ca="1" si="173"/>
        <v>6.6498444881788545</v>
      </c>
      <c r="AE47" s="237">
        <f t="shared" ca="1" si="174"/>
        <v>12.493614401322496</v>
      </c>
      <c r="AF47" s="71">
        <f t="shared" ca="1" si="175"/>
        <v>5.6221264805951225</v>
      </c>
      <c r="AG47" s="71">
        <f t="shared" ca="1" si="176"/>
        <v>2.8844779987684901</v>
      </c>
      <c r="AH47" s="237">
        <f t="shared" ca="1" si="177"/>
        <v>3.6881261274004302</v>
      </c>
      <c r="AI47" s="71">
        <f t="shared" ca="1" si="178"/>
        <v>10.239331802823001</v>
      </c>
      <c r="AJ47" s="71">
        <f t="shared" ca="1" si="179"/>
        <v>9.6146510827568772</v>
      </c>
      <c r="AK47" s="71">
        <f t="shared" ca="1" si="180"/>
        <v>3.4272279987684899</v>
      </c>
      <c r="AL47" s="71">
        <f t="shared" ca="1" si="181"/>
        <v>1.3855060467016236</v>
      </c>
      <c r="AM47" s="71">
        <f t="shared" ca="1" si="182"/>
        <v>3.6666042264750804</v>
      </c>
      <c r="AN47" s="71">
        <f t="shared" ca="1" si="183"/>
        <v>8.0665292982451753</v>
      </c>
      <c r="AO47" s="71">
        <f t="shared" ca="1" si="184"/>
        <v>1.8333021132375402</v>
      </c>
      <c r="AP47" s="71">
        <f t="shared" ca="1" si="185"/>
        <v>16.305073238547632</v>
      </c>
      <c r="AQ47" s="71">
        <f t="shared" ca="1" si="186"/>
        <v>0.68540203496948293</v>
      </c>
      <c r="AR47" s="71">
        <f t="shared" ca="1" si="187"/>
        <v>2.5827907403542962</v>
      </c>
      <c r="AS47" s="71">
        <f t="shared" ca="1" si="188"/>
        <v>0.34270101748474147</v>
      </c>
      <c r="AT47" s="71">
        <f t="shared" ca="1" si="189"/>
        <v>2.5666229585325562</v>
      </c>
      <c r="AU47" s="71">
        <f t="shared" ca="1" si="190"/>
        <v>5.4320062614445632</v>
      </c>
      <c r="AV47" s="71">
        <f t="shared" ca="1" si="191"/>
        <v>1.2833114792662781</v>
      </c>
      <c r="AW47" s="71">
        <f t="shared" ca="1" si="192"/>
        <v>17.272323345919101</v>
      </c>
      <c r="AX47" s="71">
        <f t="shared" ca="1" si="193"/>
        <v>1.3338978065175322</v>
      </c>
      <c r="AY47" s="71">
        <f t="shared" ca="1" si="194"/>
        <v>4.1650501636014239</v>
      </c>
      <c r="AZ47" s="71">
        <f t="shared" ca="1" si="195"/>
        <v>0.6669489032587661</v>
      </c>
      <c r="BA47" s="71">
        <f t="shared" ca="1" si="196"/>
        <v>3.9517845552009194</v>
      </c>
      <c r="BB47" s="71">
        <f t="shared" ca="1" si="197"/>
        <v>4.7258454474567699</v>
      </c>
      <c r="BC47" s="71">
        <f t="shared" ca="1" si="198"/>
        <v>15.216916867754728</v>
      </c>
      <c r="BD47" s="71">
        <f t="shared" ca="1" si="199"/>
        <v>5.2610954545220796</v>
      </c>
      <c r="BE47" s="71">
        <f t="shared" ca="1" si="200"/>
        <v>1.2706299263665031</v>
      </c>
      <c r="BF47" s="71">
        <f t="shared" ca="1" si="201"/>
        <v>6.5863075920015328</v>
      </c>
      <c r="BG47" s="71">
        <f t="shared" ca="1" si="202"/>
        <v>3.5851241325534118</v>
      </c>
      <c r="BH47" s="71">
        <f t="shared" ca="1" si="203"/>
        <v>6.5807551947951781</v>
      </c>
      <c r="BI47" s="71">
        <f t="shared" ca="1" si="204"/>
        <v>5.2810106043332938</v>
      </c>
      <c r="BJ47" s="71">
        <f t="shared" ca="1" si="205"/>
        <v>0.27416081398779318</v>
      </c>
      <c r="BK47" s="71">
        <f t="shared" ca="1" si="206"/>
        <v>2.4444028176500532</v>
      </c>
      <c r="BL47" s="71">
        <f t="shared" ca="1" si="207"/>
        <v>0.92344106444557583</v>
      </c>
      <c r="BM47" s="71">
        <f t="shared" ca="1" si="208"/>
        <v>5.2680586205053261</v>
      </c>
      <c r="BN47" s="71">
        <f t="shared" ca="1" si="209"/>
        <v>7.7802078228519616</v>
      </c>
      <c r="BO47" s="71">
        <f t="shared" ca="1" si="210"/>
        <v>0.71176365169907851</v>
      </c>
      <c r="BP47" s="71">
        <f t="shared" ca="1" si="211"/>
        <v>3.8567244456256398</v>
      </c>
      <c r="BQ47" s="71">
        <f t="shared" ca="1" si="212"/>
        <v>3.3135238194811834</v>
      </c>
      <c r="BR47" s="71">
        <f t="shared" ca="1" si="213"/>
        <v>7.858907122393191</v>
      </c>
      <c r="BS47" s="71">
        <f t="shared" ca="1" si="214"/>
        <v>6.7057342672783626</v>
      </c>
      <c r="BT47" s="71">
        <f t="shared" ca="1" si="215"/>
        <v>0.63795112485621108</v>
      </c>
      <c r="BU47" s="71">
        <f t="shared" ca="1" si="216"/>
        <v>3.8567244456256398</v>
      </c>
      <c r="BV47" s="71">
        <f t="shared" ca="1" si="217"/>
        <v>3.3135238194811834</v>
      </c>
      <c r="BW47" s="71">
        <f t="shared" ca="1" si="218"/>
        <v>10.898836031274953</v>
      </c>
      <c r="BX47" s="71">
        <f t="shared" ca="1" si="219"/>
        <v>5.4207293945975943</v>
      </c>
      <c r="BY47" s="71">
        <f t="shared" ca="1" si="220"/>
        <v>0.78030385519602674</v>
      </c>
      <c r="BZ47" s="71">
        <f t="shared" ca="1" si="221"/>
        <v>7.0125632784431557</v>
      </c>
      <c r="CA47" s="71">
        <f t="shared" ca="1" si="222"/>
        <v>3.652880463223851</v>
      </c>
      <c r="CB47" s="71">
        <f t="shared" ca="1" si="223"/>
        <v>9.4346360875049058</v>
      </c>
      <c r="CC47" s="71">
        <f t="shared" ca="1" si="224"/>
        <v>3.652880463223851</v>
      </c>
      <c r="CD47" s="71">
        <f t="shared" ca="1" si="225"/>
        <v>5.0656574445075995</v>
      </c>
      <c r="CE47" s="71">
        <f t="shared" ca="1" si="226"/>
        <v>13.217810660563247</v>
      </c>
      <c r="CF47" s="71">
        <f t="shared" ca="1" si="227"/>
        <v>5.0656574445075995</v>
      </c>
      <c r="CG47" s="71">
        <f t="shared" ca="1" si="228"/>
        <v>4.3180808364797754</v>
      </c>
    </row>
    <row r="48" spans="1:85" x14ac:dyDescent="0.25">
      <c r="A48" t="str">
        <f t="shared" si="229"/>
        <v>S. Kariuki</v>
      </c>
      <c r="B48">
        <f t="shared" si="229"/>
        <v>29</v>
      </c>
      <c r="C48" s="49">
        <f t="shared" ca="1" si="229"/>
        <v>40</v>
      </c>
      <c r="D48" t="str">
        <f t="shared" si="229"/>
        <v>CAB</v>
      </c>
      <c r="E48" s="203">
        <f t="shared" si="229"/>
        <v>44652</v>
      </c>
      <c r="F48" s="150">
        <f t="shared" ca="1" si="149"/>
        <v>0.38624561461075513</v>
      </c>
      <c r="G48" s="151">
        <f t="shared" si="150"/>
        <v>9</v>
      </c>
      <c r="H48" s="48">
        <f t="shared" si="151"/>
        <v>0</v>
      </c>
      <c r="I48" s="48">
        <f t="shared" si="152"/>
        <v>13</v>
      </c>
      <c r="J48" s="48">
        <f t="shared" si="153"/>
        <v>14</v>
      </c>
      <c r="K48" s="48">
        <f t="shared" si="154"/>
        <v>2</v>
      </c>
      <c r="L48" s="48">
        <f t="shared" si="155"/>
        <v>2</v>
      </c>
      <c r="M48" s="48">
        <f t="shared" si="156"/>
        <v>7</v>
      </c>
      <c r="N48" s="48">
        <f t="shared" si="157"/>
        <v>19</v>
      </c>
      <c r="O48" s="151">
        <f t="shared" si="158"/>
        <v>2.5</v>
      </c>
      <c r="P48" s="151">
        <f t="shared" ca="1" si="159"/>
        <v>18.135437402770982</v>
      </c>
      <c r="Q48" s="151">
        <f t="shared" si="160"/>
        <v>0.91999999999999993</v>
      </c>
      <c r="R48" s="151">
        <f t="shared" si="161"/>
        <v>1.0900000000000001</v>
      </c>
      <c r="S48" s="151">
        <f t="shared" ca="1" si="162"/>
        <v>20.747918211524773</v>
      </c>
      <c r="T48" s="71">
        <f t="shared" ca="1" si="163"/>
        <v>5.0359307025425641</v>
      </c>
      <c r="U48" s="71">
        <f t="shared" ca="1" si="164"/>
        <v>7.666212528044043</v>
      </c>
      <c r="V48" s="71">
        <f t="shared" ca="1" si="165"/>
        <v>5.0359307025425641</v>
      </c>
      <c r="W48" s="71">
        <f t="shared" ca="1" si="166"/>
        <v>7.5638215836334055</v>
      </c>
      <c r="X48" s="71">
        <f t="shared" ca="1" si="167"/>
        <v>14.658568960529855</v>
      </c>
      <c r="Y48" s="71">
        <f t="shared" ca="1" si="168"/>
        <v>3.7819107918167028</v>
      </c>
      <c r="Z48" s="71">
        <f t="shared" ca="1" si="169"/>
        <v>3.7267394126061055</v>
      </c>
      <c r="AA48" s="71">
        <f t="shared" ca="1" si="170"/>
        <v>5.5409390670802852</v>
      </c>
      <c r="AB48" s="71">
        <f t="shared" ca="1" si="171"/>
        <v>10.598145358463086</v>
      </c>
      <c r="AC48" s="71">
        <f t="shared" ca="1" si="172"/>
        <v>2.7704695335401426</v>
      </c>
      <c r="AD48" s="71">
        <f t="shared" ca="1" si="173"/>
        <v>6.0285490498039946</v>
      </c>
      <c r="AE48" s="237">
        <f t="shared" ca="1" si="174"/>
        <v>13.485883443687468</v>
      </c>
      <c r="AF48" s="71">
        <f t="shared" ca="1" si="175"/>
        <v>6.0686475496593602</v>
      </c>
      <c r="AG48" s="71">
        <f t="shared" ca="1" si="176"/>
        <v>2.6149810164084859</v>
      </c>
      <c r="AH48" s="237">
        <f t="shared" ca="1" si="177"/>
        <v>2.1512385487915542</v>
      </c>
      <c r="AI48" s="71">
        <f t="shared" ca="1" si="178"/>
        <v>11.052560996239512</v>
      </c>
      <c r="AJ48" s="71">
        <f t="shared" ca="1" si="179"/>
        <v>10.378266824055137</v>
      </c>
      <c r="AK48" s="71">
        <f t="shared" ca="1" si="180"/>
        <v>3.4499810164084859</v>
      </c>
      <c r="AL48" s="71">
        <f t="shared" ca="1" si="181"/>
        <v>1.1976678606325981</v>
      </c>
      <c r="AM48" s="71">
        <f t="shared" ca="1" si="182"/>
        <v>3.9578136193430611</v>
      </c>
      <c r="AN48" s="71">
        <f t="shared" ca="1" si="183"/>
        <v>8.7071899625547342</v>
      </c>
      <c r="AO48" s="71">
        <f t="shared" ca="1" si="184"/>
        <v>1.9789068096715305</v>
      </c>
      <c r="AP48" s="71">
        <f t="shared" ca="1" si="185"/>
        <v>14.781689098740182</v>
      </c>
      <c r="AQ48" s="71">
        <f t="shared" ca="1" si="186"/>
        <v>0.47561396486888113</v>
      </c>
      <c r="AR48" s="71">
        <f t="shared" ca="1" si="187"/>
        <v>1.9369607054352473</v>
      </c>
      <c r="AS48" s="71">
        <f t="shared" ca="1" si="188"/>
        <v>0.23780698243444057</v>
      </c>
      <c r="AT48" s="71">
        <f t="shared" ca="1" si="189"/>
        <v>2.7704695335401426</v>
      </c>
      <c r="AU48" s="71">
        <f t="shared" ca="1" si="190"/>
        <v>5.8634275842119425</v>
      </c>
      <c r="AV48" s="71">
        <f t="shared" ca="1" si="191"/>
        <v>1.3852347667700713</v>
      </c>
      <c r="AW48" s="71">
        <f t="shared" ca="1" si="192"/>
        <v>15.658568960529855</v>
      </c>
      <c r="AX48" s="71">
        <f t="shared" ca="1" si="193"/>
        <v>0.9256179470140532</v>
      </c>
      <c r="AY48" s="71">
        <f t="shared" ca="1" si="194"/>
        <v>3.0658714972519503</v>
      </c>
      <c r="AZ48" s="71">
        <f t="shared" ca="1" si="195"/>
        <v>0.4628089735070266</v>
      </c>
      <c r="BA48" s="71">
        <f t="shared" ca="1" si="196"/>
        <v>4.2656435675141875</v>
      </c>
      <c r="BB48" s="71">
        <f t="shared" ca="1" si="197"/>
        <v>5.1011819982643898</v>
      </c>
      <c r="BC48" s="71">
        <f t="shared" ca="1" si="198"/>
        <v>13.795199254226803</v>
      </c>
      <c r="BD48" s="71">
        <f t="shared" ca="1" si="199"/>
        <v>3.2524678059110408</v>
      </c>
      <c r="BE48" s="71">
        <f t="shared" ca="1" si="200"/>
        <v>0.88171511948769488</v>
      </c>
      <c r="BF48" s="71">
        <f t="shared" ca="1" si="201"/>
        <v>7.10940594585698</v>
      </c>
      <c r="BG48" s="71">
        <f t="shared" ca="1" si="202"/>
        <v>3.8698622055798819</v>
      </c>
      <c r="BH48" s="71">
        <f t="shared" ca="1" si="203"/>
        <v>5.9659147739618748</v>
      </c>
      <c r="BI48" s="71">
        <f t="shared" ca="1" si="204"/>
        <v>3.1975892715030927</v>
      </c>
      <c r="BJ48" s="71">
        <f t="shared" ca="1" si="205"/>
        <v>0.19024558594755242</v>
      </c>
      <c r="BK48" s="71">
        <f t="shared" ca="1" si="206"/>
        <v>2.6385424128953741</v>
      </c>
      <c r="BL48" s="71">
        <f t="shared" ca="1" si="207"/>
        <v>0.9967826893160302</v>
      </c>
      <c r="BM48" s="71">
        <f t="shared" ca="1" si="208"/>
        <v>4.7758635329616057</v>
      </c>
      <c r="BN48" s="71">
        <f t="shared" ca="1" si="209"/>
        <v>4.7049196832413926</v>
      </c>
      <c r="BO48" s="71">
        <f t="shared" ca="1" si="210"/>
        <v>0.49390680967153039</v>
      </c>
      <c r="BP48" s="71">
        <f t="shared" ca="1" si="211"/>
        <v>4.1630335847904787</v>
      </c>
      <c r="BQ48" s="71">
        <f t="shared" ca="1" si="212"/>
        <v>3.5766908263692847</v>
      </c>
      <c r="BR48" s="71">
        <f t="shared" ca="1" si="213"/>
        <v>7.1246488770410847</v>
      </c>
      <c r="BS48" s="71">
        <f t="shared" ca="1" si="214"/>
        <v>4.0536944082670789</v>
      </c>
      <c r="BT48" s="71">
        <f t="shared" ca="1" si="215"/>
        <v>0.44268684422411242</v>
      </c>
      <c r="BU48" s="71">
        <f t="shared" ca="1" si="216"/>
        <v>4.1630335847904787</v>
      </c>
      <c r="BV48" s="71">
        <f t="shared" ca="1" si="217"/>
        <v>3.5766908263692847</v>
      </c>
      <c r="BW48" s="71">
        <f t="shared" ca="1" si="218"/>
        <v>9.8805570140943395</v>
      </c>
      <c r="BX48" s="71">
        <f t="shared" ca="1" si="219"/>
        <v>3.2744192196742197</v>
      </c>
      <c r="BY48" s="71">
        <f t="shared" ca="1" si="220"/>
        <v>0.5414682061584184</v>
      </c>
      <c r="BZ48" s="71">
        <f t="shared" ca="1" si="221"/>
        <v>6.3573789979751218</v>
      </c>
      <c r="CA48" s="71">
        <f t="shared" ca="1" si="222"/>
        <v>2.5411144284360541</v>
      </c>
      <c r="CB48" s="71">
        <f t="shared" ca="1" si="223"/>
        <v>7.0345486495566174</v>
      </c>
      <c r="CC48" s="71">
        <f t="shared" ca="1" si="224"/>
        <v>2.5411144284360541</v>
      </c>
      <c r="CD48" s="71">
        <f t="shared" ca="1" si="225"/>
        <v>3.7388646026113035</v>
      </c>
      <c r="CE48" s="71">
        <f t="shared" ca="1" si="226"/>
        <v>10.008580906965372</v>
      </c>
      <c r="CF48" s="71">
        <f t="shared" ca="1" si="227"/>
        <v>3.7388646026113035</v>
      </c>
      <c r="CG48" s="71">
        <f t="shared" ca="1" si="228"/>
        <v>3.9146422401324639</v>
      </c>
    </row>
    <row r="49" spans="1:85" x14ac:dyDescent="0.25">
      <c r="A49" t="str">
        <f t="shared" si="229"/>
        <v>K. Polyukhov</v>
      </c>
      <c r="B49">
        <f t="shared" si="229"/>
        <v>30</v>
      </c>
      <c r="C49" s="49">
        <f t="shared" ca="1" si="229"/>
        <v>48</v>
      </c>
      <c r="D49" t="str">
        <f t="shared" si="229"/>
        <v>IMP</v>
      </c>
      <c r="E49" s="203">
        <f t="shared" si="229"/>
        <v>44531</v>
      </c>
      <c r="F49" s="150">
        <f t="shared" ca="1" si="149"/>
        <v>0.71056080396655619</v>
      </c>
      <c r="G49" s="151">
        <f t="shared" si="150"/>
        <v>8</v>
      </c>
      <c r="H49" s="48">
        <f t="shared" si="151"/>
        <v>0</v>
      </c>
      <c r="I49" s="48">
        <f t="shared" si="152"/>
        <v>14.454545454545455</v>
      </c>
      <c r="J49" s="48">
        <f t="shared" si="153"/>
        <v>13</v>
      </c>
      <c r="K49" s="48">
        <f t="shared" si="154"/>
        <v>1</v>
      </c>
      <c r="L49" s="48">
        <f t="shared" si="155"/>
        <v>9</v>
      </c>
      <c r="M49" s="48">
        <f t="shared" si="156"/>
        <v>9</v>
      </c>
      <c r="N49" s="48">
        <f t="shared" si="157"/>
        <v>16</v>
      </c>
      <c r="O49" s="151">
        <f t="shared" si="158"/>
        <v>4.4318181818181817</v>
      </c>
      <c r="P49" s="151">
        <f t="shared" ca="1" si="159"/>
        <v>20.371444538435682</v>
      </c>
      <c r="Q49" s="151">
        <f t="shared" si="160"/>
        <v>0.93</v>
      </c>
      <c r="R49" s="151">
        <f t="shared" si="161"/>
        <v>1.0581818181818181</v>
      </c>
      <c r="S49" s="151">
        <f t="shared" ca="1" si="162"/>
        <v>17.969828493650496</v>
      </c>
      <c r="T49" s="71">
        <f t="shared" ca="1" si="163"/>
        <v>5.6609708721759722</v>
      </c>
      <c r="U49" s="71">
        <f t="shared" ca="1" si="164"/>
        <v>8.6150347137114416</v>
      </c>
      <c r="V49" s="71">
        <f t="shared" ca="1" si="165"/>
        <v>5.6609708721759722</v>
      </c>
      <c r="W49" s="71">
        <f t="shared" ca="1" si="166"/>
        <v>8.4465207404426561</v>
      </c>
      <c r="X49" s="71">
        <f t="shared" ca="1" si="167"/>
        <v>16.369226241167937</v>
      </c>
      <c r="Y49" s="71">
        <f t="shared" ca="1" si="168"/>
        <v>4.2232603702213281</v>
      </c>
      <c r="Z49" s="71">
        <f t="shared" ca="1" si="169"/>
        <v>3.5496940272161503</v>
      </c>
      <c r="AA49" s="71">
        <f t="shared" ca="1" si="170"/>
        <v>6.1875675191614796</v>
      </c>
      <c r="AB49" s="71">
        <f t="shared" ca="1" si="171"/>
        <v>11.834950572364418</v>
      </c>
      <c r="AC49" s="71">
        <f t="shared" ca="1" si="172"/>
        <v>3.0937837595807398</v>
      </c>
      <c r="AD49" s="71">
        <f t="shared" ca="1" si="173"/>
        <v>5.7421521028496558</v>
      </c>
      <c r="AE49" s="237">
        <f t="shared" ca="1" si="174"/>
        <v>15.059688141874503</v>
      </c>
      <c r="AF49" s="71">
        <f t="shared" ca="1" si="175"/>
        <v>6.776859663843525</v>
      </c>
      <c r="AG49" s="71">
        <f t="shared" ca="1" si="176"/>
        <v>2.4907516913659546</v>
      </c>
      <c r="AH49" s="237">
        <f t="shared" ca="1" si="177"/>
        <v>1.7138323025340185</v>
      </c>
      <c r="AI49" s="71">
        <f t="shared" ca="1" si="178"/>
        <v>12.342396585840625</v>
      </c>
      <c r="AJ49" s="71">
        <f t="shared" ca="1" si="179"/>
        <v>11.589412178746899</v>
      </c>
      <c r="AK49" s="71">
        <f t="shared" ca="1" si="180"/>
        <v>2.9917516913659541</v>
      </c>
      <c r="AL49" s="71">
        <f t="shared" ca="1" si="181"/>
        <v>1.8277917029109108</v>
      </c>
      <c r="AM49" s="71">
        <f t="shared" ca="1" si="182"/>
        <v>4.4196910851153435</v>
      </c>
      <c r="AN49" s="71">
        <f t="shared" ca="1" si="183"/>
        <v>9.7233203872537537</v>
      </c>
      <c r="AO49" s="71">
        <f t="shared" ca="1" si="184"/>
        <v>2.2098455425576717</v>
      </c>
      <c r="AP49" s="71">
        <f t="shared" ca="1" si="185"/>
        <v>14.079458662571621</v>
      </c>
      <c r="AQ49" s="71">
        <f t="shared" ca="1" si="186"/>
        <v>1.4189085022609227</v>
      </c>
      <c r="AR49" s="71">
        <f t="shared" ca="1" si="187"/>
        <v>3.1980014704803867</v>
      </c>
      <c r="AS49" s="71">
        <f t="shared" ca="1" si="188"/>
        <v>0.70945425113046134</v>
      </c>
      <c r="AT49" s="71">
        <f t="shared" ca="1" si="189"/>
        <v>3.0937837595807398</v>
      </c>
      <c r="AU49" s="71">
        <f t="shared" ca="1" si="190"/>
        <v>6.5476904964671752</v>
      </c>
      <c r="AV49" s="71">
        <f t="shared" ca="1" si="191"/>
        <v>1.5468918797903699</v>
      </c>
      <c r="AW49" s="71">
        <f t="shared" ca="1" si="192"/>
        <v>14.914680786622482</v>
      </c>
      <c r="AX49" s="71">
        <f t="shared" ca="1" si="193"/>
        <v>2.7614142390154877</v>
      </c>
      <c r="AY49" s="71">
        <f t="shared" ca="1" si="194"/>
        <v>6.0139891134289876</v>
      </c>
      <c r="AZ49" s="71">
        <f t="shared" ca="1" si="195"/>
        <v>1.3807071195077438</v>
      </c>
      <c r="BA49" s="71">
        <f t="shared" ca="1" si="196"/>
        <v>4.7634448361798691</v>
      </c>
      <c r="BB49" s="71">
        <f t="shared" ca="1" si="197"/>
        <v>5.696490731926442</v>
      </c>
      <c r="BC49" s="71">
        <f t="shared" ca="1" si="198"/>
        <v>13.139833773014406</v>
      </c>
      <c r="BD49" s="71">
        <f t="shared" ca="1" si="199"/>
        <v>5.111151219307386</v>
      </c>
      <c r="BE49" s="71">
        <f t="shared" ca="1" si="200"/>
        <v>2.6304380695760181</v>
      </c>
      <c r="BF49" s="71">
        <f t="shared" ca="1" si="201"/>
        <v>7.9390747269664494</v>
      </c>
      <c r="BG49" s="71">
        <f t="shared" ca="1" si="202"/>
        <v>4.3214757276683358</v>
      </c>
      <c r="BH49" s="71">
        <f t="shared" ca="1" si="203"/>
        <v>5.6824933797031658</v>
      </c>
      <c r="BI49" s="71">
        <f t="shared" ca="1" si="204"/>
        <v>4.1554310075080485</v>
      </c>
      <c r="BJ49" s="71">
        <f t="shared" ca="1" si="205"/>
        <v>0.56756340090436896</v>
      </c>
      <c r="BK49" s="71">
        <f t="shared" ca="1" si="206"/>
        <v>2.9464607234102287</v>
      </c>
      <c r="BL49" s="71">
        <f t="shared" ca="1" si="207"/>
        <v>1.1131073843994197</v>
      </c>
      <c r="BM49" s="71">
        <f t="shared" ca="1" si="208"/>
        <v>4.5489776399198565</v>
      </c>
      <c r="BN49" s="71">
        <f t="shared" ca="1" si="209"/>
        <v>6.0362794915965097</v>
      </c>
      <c r="BO49" s="71">
        <f t="shared" ca="1" si="210"/>
        <v>1.4734819061940352</v>
      </c>
      <c r="BP49" s="71">
        <f t="shared" ca="1" si="211"/>
        <v>4.6488602524916933</v>
      </c>
      <c r="BQ49" s="71">
        <f t="shared" ca="1" si="212"/>
        <v>3.9940912028449764</v>
      </c>
      <c r="BR49" s="71">
        <f t="shared" ca="1" si="213"/>
        <v>6.7861797579132297</v>
      </c>
      <c r="BS49" s="71">
        <f t="shared" ca="1" si="214"/>
        <v>5.181466311577708</v>
      </c>
      <c r="BT49" s="71">
        <f t="shared" ca="1" si="215"/>
        <v>1.3206763751813202</v>
      </c>
      <c r="BU49" s="71">
        <f t="shared" ca="1" si="216"/>
        <v>4.6488602524916933</v>
      </c>
      <c r="BV49" s="71">
        <f t="shared" ca="1" si="217"/>
        <v>3.9940912028449764</v>
      </c>
      <c r="BW49" s="71">
        <f t="shared" ca="1" si="218"/>
        <v>9.4111635763587866</v>
      </c>
      <c r="BX49" s="71">
        <f t="shared" ca="1" si="219"/>
        <v>4.1526393040271206</v>
      </c>
      <c r="BY49" s="71">
        <f t="shared" ca="1" si="220"/>
        <v>1.6153727564201272</v>
      </c>
      <c r="BZ49" s="71">
        <f t="shared" ca="1" si="221"/>
        <v>6.0553603993687277</v>
      </c>
      <c r="CA49" s="71">
        <f t="shared" ca="1" si="222"/>
        <v>4.5345486898303129</v>
      </c>
      <c r="CB49" s="71">
        <f t="shared" ca="1" si="223"/>
        <v>12.289930565736913</v>
      </c>
      <c r="CC49" s="71">
        <f t="shared" ca="1" si="224"/>
        <v>4.5345486898303129</v>
      </c>
      <c r="CD49" s="71">
        <f t="shared" ca="1" si="225"/>
        <v>5.1071003210345012</v>
      </c>
      <c r="CE49" s="71">
        <f t="shared" ca="1" si="226"/>
        <v>14.942197996886177</v>
      </c>
      <c r="CF49" s="71">
        <f t="shared" ca="1" si="227"/>
        <v>5.1071003210345012</v>
      </c>
      <c r="CG49" s="71">
        <f t="shared" ca="1" si="228"/>
        <v>3.7286701966556204</v>
      </c>
    </row>
    <row r="50" spans="1:85" x14ac:dyDescent="0.25">
      <c r="A50" t="str">
        <f t="shared" si="229"/>
        <v>I. Vanags</v>
      </c>
      <c r="B50">
        <f t="shared" si="229"/>
        <v>28</v>
      </c>
      <c r="C50" s="49">
        <f t="shared" ca="1" si="229"/>
        <v>37</v>
      </c>
      <c r="D50" t="str">
        <f t="shared" si="229"/>
        <v>CAB</v>
      </c>
      <c r="E50" s="203">
        <f t="shared" si="229"/>
        <v>43626</v>
      </c>
      <c r="F50" s="150">
        <f t="shared" ca="1" si="149"/>
        <v>1</v>
      </c>
      <c r="G50" s="151">
        <f t="shared" si="150"/>
        <v>7</v>
      </c>
      <c r="H50" s="48">
        <f t="shared" si="151"/>
        <v>0</v>
      </c>
      <c r="I50" s="48">
        <f t="shared" si="152"/>
        <v>8.8571428571428577</v>
      </c>
      <c r="J50" s="48">
        <f t="shared" si="153"/>
        <v>15</v>
      </c>
      <c r="K50" s="48">
        <f t="shared" si="154"/>
        <v>3</v>
      </c>
      <c r="L50" s="48">
        <f t="shared" si="155"/>
        <v>4</v>
      </c>
      <c r="M50" s="48">
        <f t="shared" si="156"/>
        <v>8.2857142857142865</v>
      </c>
      <c r="N50" s="48">
        <f t="shared" si="157"/>
        <v>19.399999999999999</v>
      </c>
      <c r="O50" s="151">
        <f t="shared" si="158"/>
        <v>2.4821428571428572</v>
      </c>
      <c r="P50" s="151">
        <f t="shared" ca="1" si="159"/>
        <v>21.524507938861056</v>
      </c>
      <c r="Q50" s="151">
        <f t="shared" si="160"/>
        <v>0.99628571428571422</v>
      </c>
      <c r="R50" s="151">
        <f t="shared" si="161"/>
        <v>0.93628571428571428</v>
      </c>
      <c r="S50" s="151">
        <f t="shared" ca="1" si="162"/>
        <v>21.526797386685676</v>
      </c>
      <c r="T50" s="71">
        <f t="shared" ca="1" si="163"/>
        <v>4.3012655471480237</v>
      </c>
      <c r="U50" s="71">
        <f t="shared" ca="1" si="164"/>
        <v>6.5099811404969214</v>
      </c>
      <c r="V50" s="71">
        <f t="shared" ca="1" si="165"/>
        <v>4.3012655471480237</v>
      </c>
      <c r="W50" s="71">
        <f t="shared" ca="1" si="166"/>
        <v>5.6677131658155231</v>
      </c>
      <c r="X50" s="71">
        <f t="shared" ca="1" si="167"/>
        <v>10.983940243828533</v>
      </c>
      <c r="Y50" s="71">
        <f t="shared" ca="1" si="168"/>
        <v>2.8338565829077615</v>
      </c>
      <c r="Z50" s="71">
        <f t="shared" ca="1" si="169"/>
        <v>4.076177778031191</v>
      </c>
      <c r="AA50" s="71">
        <f t="shared" ca="1" si="170"/>
        <v>4.1519294121671857</v>
      </c>
      <c r="AB50" s="71">
        <f t="shared" ca="1" si="171"/>
        <v>7.9413887962880292</v>
      </c>
      <c r="AC50" s="71">
        <f t="shared" ca="1" si="172"/>
        <v>2.0759647060835928</v>
      </c>
      <c r="AD50" s="71">
        <f t="shared" ca="1" si="173"/>
        <v>6.5938169938739861</v>
      </c>
      <c r="AE50" s="237">
        <f t="shared" ca="1" si="174"/>
        <v>10.10522502432225</v>
      </c>
      <c r="AF50" s="71">
        <f t="shared" ca="1" si="175"/>
        <v>4.5473512609450122</v>
      </c>
      <c r="AG50" s="71">
        <f t="shared" ca="1" si="176"/>
        <v>2.8601751635765083</v>
      </c>
      <c r="AH50" s="237">
        <f t="shared" ca="1" si="177"/>
        <v>3.014556863371177</v>
      </c>
      <c r="AI50" s="71">
        <f t="shared" ca="1" si="178"/>
        <v>8.2818909438467134</v>
      </c>
      <c r="AJ50" s="71">
        <f t="shared" ca="1" si="179"/>
        <v>7.7766296926306007</v>
      </c>
      <c r="AK50" s="71">
        <f t="shared" ca="1" si="180"/>
        <v>3.5949751635765081</v>
      </c>
      <c r="AL50" s="71">
        <f t="shared" ca="1" si="181"/>
        <v>1.3273747902226174</v>
      </c>
      <c r="AM50" s="71">
        <f t="shared" ca="1" si="182"/>
        <v>2.965663865833704</v>
      </c>
      <c r="AN50" s="71">
        <f t="shared" ca="1" si="183"/>
        <v>6.5244605048341482</v>
      </c>
      <c r="AO50" s="71">
        <f t="shared" ca="1" si="184"/>
        <v>1.482831932916852</v>
      </c>
      <c r="AP50" s="71">
        <f t="shared" ca="1" si="185"/>
        <v>16.167696733031278</v>
      </c>
      <c r="AQ50" s="71">
        <f t="shared" ca="1" si="186"/>
        <v>0.79648366026913786</v>
      </c>
      <c r="AR50" s="71">
        <f t="shared" ca="1" si="187"/>
        <v>2.536580205727474</v>
      </c>
      <c r="AS50" s="71">
        <f t="shared" ca="1" si="188"/>
        <v>0.39824183013456893</v>
      </c>
      <c r="AT50" s="71">
        <f t="shared" ca="1" si="189"/>
        <v>2.0759647060835928</v>
      </c>
      <c r="AU50" s="71">
        <f t="shared" ca="1" si="190"/>
        <v>4.3935760975314135</v>
      </c>
      <c r="AV50" s="71">
        <f t="shared" ca="1" si="191"/>
        <v>1.0379823530417964</v>
      </c>
      <c r="AW50" s="71">
        <f t="shared" ca="1" si="192"/>
        <v>17.126797386685677</v>
      </c>
      <c r="AX50" s="71">
        <f t="shared" ca="1" si="193"/>
        <v>1.5500797388314758</v>
      </c>
      <c r="AY50" s="71">
        <f t="shared" ca="1" si="194"/>
        <v>4.2758653600638077</v>
      </c>
      <c r="AZ50" s="71">
        <f t="shared" ca="1" si="195"/>
        <v>0.77503986941573788</v>
      </c>
      <c r="BA50" s="71">
        <f t="shared" ca="1" si="196"/>
        <v>3.1963266109541029</v>
      </c>
      <c r="BB50" s="71">
        <f t="shared" ca="1" si="197"/>
        <v>3.8224112048523291</v>
      </c>
      <c r="BC50" s="71">
        <f t="shared" ca="1" si="198"/>
        <v>15.088708497670082</v>
      </c>
      <c r="BD50" s="71">
        <f t="shared" ca="1" si="199"/>
        <v>4.8727228767635653</v>
      </c>
      <c r="BE50" s="71">
        <f t="shared" ca="1" si="200"/>
        <v>1.4765581701912478</v>
      </c>
      <c r="BF50" s="71">
        <f t="shared" ca="1" si="201"/>
        <v>5.327211018256838</v>
      </c>
      <c r="BG50" s="71">
        <f t="shared" ca="1" si="202"/>
        <v>2.8997602243707328</v>
      </c>
      <c r="BH50" s="71">
        <f t="shared" ca="1" si="203"/>
        <v>6.5253098043272431</v>
      </c>
      <c r="BI50" s="71">
        <f t="shared" ca="1" si="204"/>
        <v>4.6818209159632804</v>
      </c>
      <c r="BJ50" s="71">
        <f t="shared" ca="1" si="205"/>
        <v>0.3185934641076551</v>
      </c>
      <c r="BK50" s="71">
        <f t="shared" ca="1" si="206"/>
        <v>1.9771092438891358</v>
      </c>
      <c r="BL50" s="71">
        <f t="shared" ca="1" si="207"/>
        <v>0.74690793658034027</v>
      </c>
      <c r="BM50" s="71">
        <f t="shared" ca="1" si="208"/>
        <v>5.2236732029391311</v>
      </c>
      <c r="BN50" s="71">
        <f t="shared" ca="1" si="209"/>
        <v>6.8790614392777787</v>
      </c>
      <c r="BO50" s="71">
        <f t="shared" ca="1" si="210"/>
        <v>0.8271176472025662</v>
      </c>
      <c r="BP50" s="71">
        <f t="shared" ca="1" si="211"/>
        <v>3.1194390292473031</v>
      </c>
      <c r="BQ50" s="71">
        <f t="shared" ca="1" si="212"/>
        <v>2.680081419494162</v>
      </c>
      <c r="BR50" s="71">
        <f t="shared" ca="1" si="213"/>
        <v>7.7926928109419835</v>
      </c>
      <c r="BS50" s="71">
        <f t="shared" ca="1" si="214"/>
        <v>5.9244915044477278</v>
      </c>
      <c r="BT50" s="71">
        <f t="shared" ca="1" si="215"/>
        <v>0.74134248378896672</v>
      </c>
      <c r="BU50" s="71">
        <f t="shared" ca="1" si="216"/>
        <v>3.1194390292473031</v>
      </c>
      <c r="BV50" s="71">
        <f t="shared" ca="1" si="217"/>
        <v>2.680081419494162</v>
      </c>
      <c r="BW50" s="71">
        <f t="shared" ca="1" si="218"/>
        <v>10.807009150998663</v>
      </c>
      <c r="BX50" s="71">
        <f t="shared" ca="1" si="219"/>
        <v>4.7814836610836791</v>
      </c>
      <c r="BY50" s="71">
        <f t="shared" ca="1" si="220"/>
        <v>0.90676601322947992</v>
      </c>
      <c r="BZ50" s="71">
        <f t="shared" ca="1" si="221"/>
        <v>6.9534797389943854</v>
      </c>
      <c r="CA50" s="71">
        <f t="shared" ca="1" si="222"/>
        <v>3.5923471527489514</v>
      </c>
      <c r="CB50" s="71">
        <f t="shared" ca="1" si="223"/>
        <v>9.3973452859794993</v>
      </c>
      <c r="CC50" s="71">
        <f t="shared" ca="1" si="224"/>
        <v>3.5923471527489514</v>
      </c>
      <c r="CD50" s="71">
        <f t="shared" ca="1" si="225"/>
        <v>4.7102804861908902</v>
      </c>
      <c r="CE50" s="71">
        <f t="shared" ca="1" si="226"/>
        <v>12.673299908086976</v>
      </c>
      <c r="CF50" s="71">
        <f t="shared" ca="1" si="227"/>
        <v>4.7102804861908902</v>
      </c>
      <c r="CG50" s="71">
        <f t="shared" ca="1" si="228"/>
        <v>4.2816993466714193</v>
      </c>
    </row>
    <row r="51" spans="1:85" x14ac:dyDescent="0.25">
      <c r="A51" t="str">
        <f t="shared" si="229"/>
        <v>I. Stone</v>
      </c>
      <c r="B51">
        <f t="shared" si="229"/>
        <v>27</v>
      </c>
      <c r="C51" s="49">
        <f t="shared" ca="1" si="229"/>
        <v>92</v>
      </c>
      <c r="D51" t="str">
        <f t="shared" si="229"/>
        <v>RAP</v>
      </c>
      <c r="E51" s="203">
        <f t="shared" si="229"/>
        <v>43633</v>
      </c>
      <c r="F51" s="150">
        <f t="shared" ca="1" si="149"/>
        <v>1</v>
      </c>
      <c r="G51" s="151">
        <f t="shared" si="150"/>
        <v>8</v>
      </c>
      <c r="H51" s="48">
        <f t="shared" si="151"/>
        <v>0</v>
      </c>
      <c r="I51" s="48">
        <f t="shared" si="152"/>
        <v>8.1666666666666661</v>
      </c>
      <c r="J51" s="48">
        <f t="shared" si="153"/>
        <v>13.818181818181818</v>
      </c>
      <c r="K51" s="48">
        <f t="shared" si="154"/>
        <v>2</v>
      </c>
      <c r="L51" s="48">
        <f t="shared" si="155"/>
        <v>6</v>
      </c>
      <c r="M51" s="48">
        <f t="shared" si="156"/>
        <v>10</v>
      </c>
      <c r="N51" s="48">
        <f t="shared" si="157"/>
        <v>19</v>
      </c>
      <c r="O51" s="151">
        <f t="shared" si="158"/>
        <v>2.895833333333333</v>
      </c>
      <c r="P51" s="151">
        <f t="shared" ca="1" si="159"/>
        <v>24.321105161669593</v>
      </c>
      <c r="Q51" s="151">
        <f t="shared" si="160"/>
        <v>1.0699999999999998</v>
      </c>
      <c r="R51" s="151">
        <f t="shared" si="161"/>
        <v>0.89666666666666672</v>
      </c>
      <c r="S51" s="151">
        <f t="shared" ca="1" si="162"/>
        <v>21.204119982655925</v>
      </c>
      <c r="T51" s="71">
        <f t="shared" ca="1" si="163"/>
        <v>4.1781967448586226</v>
      </c>
      <c r="U51" s="71">
        <f t="shared" ca="1" si="164"/>
        <v>6.3163522309421314</v>
      </c>
      <c r="V51" s="71">
        <f t="shared" ca="1" si="165"/>
        <v>4.1781967448586226</v>
      </c>
      <c r="W51" s="71">
        <f t="shared" ca="1" si="166"/>
        <v>5.3513259110504574</v>
      </c>
      <c r="X51" s="71">
        <f t="shared" ca="1" si="167"/>
        <v>10.370786649322591</v>
      </c>
      <c r="Y51" s="71">
        <f t="shared" ca="1" si="168"/>
        <v>2.6756629555252287</v>
      </c>
      <c r="Z51" s="71">
        <f t="shared" ca="1" si="169"/>
        <v>3.8133078285993824</v>
      </c>
      <c r="AA51" s="71">
        <f t="shared" ca="1" si="170"/>
        <v>3.9201573534439396</v>
      </c>
      <c r="AB51" s="71">
        <f t="shared" ca="1" si="171"/>
        <v>7.4980787474602328</v>
      </c>
      <c r="AC51" s="71">
        <f t="shared" ca="1" si="172"/>
        <v>1.9600786767219698</v>
      </c>
      <c r="AD51" s="71">
        <f t="shared" ca="1" si="173"/>
        <v>6.1685861933225308</v>
      </c>
      <c r="AE51" s="237">
        <f t="shared" ca="1" si="174"/>
        <v>9.5411237173767844</v>
      </c>
      <c r="AF51" s="71">
        <f t="shared" ca="1" si="175"/>
        <v>4.2935056728195526</v>
      </c>
      <c r="AG51" s="71">
        <f t="shared" ca="1" si="176"/>
        <v>2.6757244007399028</v>
      </c>
      <c r="AH51" s="237">
        <f t="shared" ca="1" si="177"/>
        <v>2.4720225498016837</v>
      </c>
      <c r="AI51" s="71">
        <f t="shared" ca="1" si="178"/>
        <v>7.819573133589234</v>
      </c>
      <c r="AJ51" s="71">
        <f t="shared" ca="1" si="179"/>
        <v>7.3425169477203944</v>
      </c>
      <c r="AK51" s="71">
        <f t="shared" ca="1" si="180"/>
        <v>3.5410880371035396</v>
      </c>
      <c r="AL51" s="71">
        <f t="shared" ca="1" si="181"/>
        <v>1.4687865550049062</v>
      </c>
      <c r="AM51" s="71">
        <f t="shared" ca="1" si="182"/>
        <v>2.8001123953170999</v>
      </c>
      <c r="AN51" s="71">
        <f t="shared" ca="1" si="183"/>
        <v>6.1602472696976189</v>
      </c>
      <c r="AO51" s="71">
        <f t="shared" ca="1" si="184"/>
        <v>1.4000561976585499</v>
      </c>
      <c r="AP51" s="71">
        <f t="shared" ca="1" si="185"/>
        <v>15.125052899990827</v>
      </c>
      <c r="AQ51" s="71">
        <f t="shared" ca="1" si="186"/>
        <v>1.0665355977452702</v>
      </c>
      <c r="AR51" s="71">
        <f t="shared" ca="1" si="187"/>
        <v>3.095807154918186</v>
      </c>
      <c r="AS51" s="71">
        <f t="shared" ca="1" si="188"/>
        <v>0.53326779887263509</v>
      </c>
      <c r="AT51" s="71">
        <f t="shared" ca="1" si="189"/>
        <v>1.9600786767219698</v>
      </c>
      <c r="AU51" s="71">
        <f t="shared" ca="1" si="190"/>
        <v>4.1483146597290368</v>
      </c>
      <c r="AV51" s="71">
        <f t="shared" ca="1" si="191"/>
        <v>0.98003933836098489</v>
      </c>
      <c r="AW51" s="71">
        <f t="shared" ca="1" si="192"/>
        <v>16.022301800837742</v>
      </c>
      <c r="AX51" s="71">
        <f t="shared" ca="1" si="193"/>
        <v>2.075642355611949</v>
      </c>
      <c r="AY51" s="71">
        <f t="shared" ca="1" si="194"/>
        <v>5.3604701104434147</v>
      </c>
      <c r="AZ51" s="71">
        <f t="shared" ca="1" si="195"/>
        <v>1.0378211778059745</v>
      </c>
      <c r="BA51" s="71">
        <f t="shared" ca="1" si="196"/>
        <v>3.0178989149528737</v>
      </c>
      <c r="BB51" s="71">
        <f t="shared" ca="1" si="197"/>
        <v>3.6090337539642614</v>
      </c>
      <c r="BC51" s="71">
        <f t="shared" ca="1" si="198"/>
        <v>14.115647886538051</v>
      </c>
      <c r="BD51" s="71">
        <f t="shared" ca="1" si="199"/>
        <v>4.9974626645811178</v>
      </c>
      <c r="BE51" s="71">
        <f t="shared" ca="1" si="200"/>
        <v>1.9771929158200778</v>
      </c>
      <c r="BF51" s="71">
        <f t="shared" ca="1" si="201"/>
        <v>5.0298315249214562</v>
      </c>
      <c r="BG51" s="71">
        <f t="shared" ca="1" si="202"/>
        <v>2.7378876754211641</v>
      </c>
      <c r="BH51" s="71">
        <f t="shared" ca="1" si="203"/>
        <v>6.1044969861191793</v>
      </c>
      <c r="BI51" s="71">
        <f t="shared" ca="1" si="204"/>
        <v>4.4784008648412783</v>
      </c>
      <c r="BJ51" s="71">
        <f t="shared" ca="1" si="205"/>
        <v>0.42661423909810808</v>
      </c>
      <c r="BK51" s="71">
        <f t="shared" ca="1" si="206"/>
        <v>1.8667415968780663</v>
      </c>
      <c r="BL51" s="71">
        <f t="shared" ca="1" si="207"/>
        <v>0.70521349215393625</v>
      </c>
      <c r="BM51" s="71">
        <f t="shared" ca="1" si="208"/>
        <v>4.8868020492555111</v>
      </c>
      <c r="BN51" s="71">
        <f t="shared" ca="1" si="209"/>
        <v>6.5504982976955191</v>
      </c>
      <c r="BO51" s="71">
        <f t="shared" ca="1" si="210"/>
        <v>1.10755619765855</v>
      </c>
      <c r="BP51" s="71">
        <f t="shared" ca="1" si="211"/>
        <v>2.9453034084076157</v>
      </c>
      <c r="BQ51" s="71">
        <f t="shared" ca="1" si="212"/>
        <v>2.530471942434712</v>
      </c>
      <c r="BR51" s="71">
        <f t="shared" ca="1" si="213"/>
        <v>7.2901473193811723</v>
      </c>
      <c r="BS51" s="71">
        <f t="shared" ca="1" si="214"/>
        <v>5.6341649407827648</v>
      </c>
      <c r="BT51" s="71">
        <f t="shared" ca="1" si="215"/>
        <v>0.99269851790136687</v>
      </c>
      <c r="BU51" s="71">
        <f t="shared" ca="1" si="216"/>
        <v>2.9453034084076157</v>
      </c>
      <c r="BV51" s="71">
        <f t="shared" ca="1" si="217"/>
        <v>2.530471942434712</v>
      </c>
      <c r="BW51" s="71">
        <f t="shared" ca="1" si="218"/>
        <v>10.110072436328615</v>
      </c>
      <c r="BX51" s="71">
        <f t="shared" ca="1" si="219"/>
        <v>4.5346873844770528</v>
      </c>
      <c r="BY51" s="71">
        <f t="shared" ca="1" si="220"/>
        <v>1.2142097574330768</v>
      </c>
      <c r="BZ51" s="71">
        <f t="shared" ca="1" si="221"/>
        <v>6.5050545311401233</v>
      </c>
      <c r="CA51" s="71">
        <f t="shared" ca="1" si="222"/>
        <v>4.206346510963737</v>
      </c>
      <c r="CB51" s="71">
        <f t="shared" ca="1" si="223"/>
        <v>11.569839100470571</v>
      </c>
      <c r="CC51" s="71">
        <f t="shared" ca="1" si="224"/>
        <v>4.206346510963737</v>
      </c>
      <c r="CD51" s="71">
        <f t="shared" ca="1" si="225"/>
        <v>5.267166749194641</v>
      </c>
      <c r="CE51" s="71">
        <f t="shared" ca="1" si="226"/>
        <v>15.231440256255961</v>
      </c>
      <c r="CF51" s="71">
        <f t="shared" ca="1" si="227"/>
        <v>5.267166749194641</v>
      </c>
      <c r="CG51" s="71">
        <f t="shared" ca="1" si="228"/>
        <v>4.0055754502094354</v>
      </c>
    </row>
    <row r="52" spans="1:85" x14ac:dyDescent="0.25">
      <c r="A52" t="str">
        <f t="shared" si="229"/>
        <v>G. Piscaer</v>
      </c>
      <c r="B52">
        <f t="shared" si="229"/>
        <v>28</v>
      </c>
      <c r="C52" s="49">
        <f t="shared" ca="1" si="229"/>
        <v>53</v>
      </c>
      <c r="D52" t="str">
        <f t="shared" si="229"/>
        <v>IMP</v>
      </c>
      <c r="E52" s="203">
        <f t="shared" si="229"/>
        <v>43630</v>
      </c>
      <c r="F52" s="150">
        <f t="shared" ca="1" si="149"/>
        <v>1</v>
      </c>
      <c r="G52" s="151">
        <f t="shared" si="150"/>
        <v>9</v>
      </c>
      <c r="H52" s="48">
        <f t="shared" si="151"/>
        <v>0</v>
      </c>
      <c r="I52" s="48">
        <f t="shared" si="152"/>
        <v>9.25</v>
      </c>
      <c r="J52" s="48">
        <f t="shared" si="153"/>
        <v>15</v>
      </c>
      <c r="K52" s="48">
        <f t="shared" si="154"/>
        <v>3</v>
      </c>
      <c r="L52" s="48">
        <f t="shared" si="155"/>
        <v>2</v>
      </c>
      <c r="M52" s="48">
        <f t="shared" si="156"/>
        <v>9.25</v>
      </c>
      <c r="N52" s="48">
        <f t="shared" si="157"/>
        <v>18.666666666666668</v>
      </c>
      <c r="O52" s="151">
        <f t="shared" si="158"/>
        <v>2.03125</v>
      </c>
      <c r="P52" s="151">
        <f t="shared" ca="1" si="159"/>
        <v>23.043501261147881</v>
      </c>
      <c r="Q52" s="151">
        <f t="shared" si="160"/>
        <v>1.0225000000000002</v>
      </c>
      <c r="R52" s="151">
        <f t="shared" si="161"/>
        <v>0.93</v>
      </c>
      <c r="S52" s="151">
        <f t="shared" ca="1" si="162"/>
        <v>20.938990012585769</v>
      </c>
      <c r="T52" s="71">
        <f t="shared" ca="1" si="163"/>
        <v>4.5367382809873744</v>
      </c>
      <c r="U52" s="71">
        <f t="shared" ca="1" si="164"/>
        <v>6.8648194395815576</v>
      </c>
      <c r="V52" s="71">
        <f t="shared" ca="1" si="165"/>
        <v>4.5367382809873744</v>
      </c>
      <c r="W52" s="71">
        <f t="shared" ca="1" si="166"/>
        <v>5.9455188464942559</v>
      </c>
      <c r="X52" s="71">
        <f t="shared" ca="1" si="167"/>
        <v>11.5223233459191</v>
      </c>
      <c r="Y52" s="71">
        <f t="shared" ca="1" si="168"/>
        <v>2.9727594232471279</v>
      </c>
      <c r="Z52" s="71">
        <f t="shared" ca="1" si="169"/>
        <v>4.1108129563287461</v>
      </c>
      <c r="AA52" s="71">
        <f t="shared" ca="1" si="170"/>
        <v>4.3554382247574202</v>
      </c>
      <c r="AB52" s="71">
        <f t="shared" ca="1" si="171"/>
        <v>8.3306397790995081</v>
      </c>
      <c r="AC52" s="71">
        <f t="shared" ca="1" si="172"/>
        <v>2.1777191123787101</v>
      </c>
      <c r="AD52" s="71">
        <f t="shared" ca="1" si="173"/>
        <v>6.6498444881788545</v>
      </c>
      <c r="AE52" s="237">
        <f t="shared" ca="1" si="174"/>
        <v>10.600537478245572</v>
      </c>
      <c r="AF52" s="71">
        <f t="shared" ca="1" si="175"/>
        <v>4.7702418652105072</v>
      </c>
      <c r="AG52" s="71">
        <f t="shared" ca="1" si="176"/>
        <v>2.8844779987684901</v>
      </c>
      <c r="AH52" s="237">
        <f t="shared" ca="1" si="177"/>
        <v>3.1001261274004306</v>
      </c>
      <c r="AI52" s="71">
        <f t="shared" ca="1" si="178"/>
        <v>8.6878318028230019</v>
      </c>
      <c r="AJ52" s="71">
        <f t="shared" ca="1" si="179"/>
        <v>8.1578049289107213</v>
      </c>
      <c r="AK52" s="71">
        <f t="shared" ca="1" si="180"/>
        <v>3.4968113321018235</v>
      </c>
      <c r="AL52" s="71">
        <f t="shared" ca="1" si="181"/>
        <v>1.2394291236247006</v>
      </c>
      <c r="AM52" s="71">
        <f t="shared" ca="1" si="182"/>
        <v>3.1110273033981573</v>
      </c>
      <c r="AN52" s="71">
        <f t="shared" ca="1" si="183"/>
        <v>6.8442600674759451</v>
      </c>
      <c r="AO52" s="71">
        <f t="shared" ca="1" si="184"/>
        <v>1.5555136516990786</v>
      </c>
      <c r="AP52" s="71">
        <f t="shared" ca="1" si="185"/>
        <v>16.305073238547632</v>
      </c>
      <c r="AQ52" s="71">
        <f t="shared" ca="1" si="186"/>
        <v>0.55540203496948293</v>
      </c>
      <c r="AR52" s="71">
        <f t="shared" ca="1" si="187"/>
        <v>2.5060407403542961</v>
      </c>
      <c r="AS52" s="71">
        <f t="shared" ca="1" si="188"/>
        <v>0.27770101748474146</v>
      </c>
      <c r="AT52" s="71">
        <f t="shared" ca="1" si="189"/>
        <v>2.1777191123787101</v>
      </c>
      <c r="AU52" s="71">
        <f t="shared" ca="1" si="190"/>
        <v>4.6089293383676404</v>
      </c>
      <c r="AV52" s="71">
        <f t="shared" ca="1" si="191"/>
        <v>1.088859556189355</v>
      </c>
      <c r="AW52" s="71">
        <f t="shared" ca="1" si="192"/>
        <v>17.272323345919101</v>
      </c>
      <c r="AX52" s="71">
        <f t="shared" ca="1" si="193"/>
        <v>1.0808978065175323</v>
      </c>
      <c r="AY52" s="71">
        <f t="shared" ca="1" si="194"/>
        <v>3.8765501636014239</v>
      </c>
      <c r="AZ52" s="71">
        <f t="shared" ca="1" si="195"/>
        <v>0.54044890325876616</v>
      </c>
      <c r="BA52" s="71">
        <f t="shared" ca="1" si="196"/>
        <v>3.3529960936624579</v>
      </c>
      <c r="BB52" s="71">
        <f t="shared" ca="1" si="197"/>
        <v>4.0097685243798464</v>
      </c>
      <c r="BC52" s="71">
        <f t="shared" ca="1" si="198"/>
        <v>15.216916867754728</v>
      </c>
      <c r="BD52" s="71">
        <f t="shared" ca="1" si="199"/>
        <v>4.3720954545220794</v>
      </c>
      <c r="BE52" s="71">
        <f t="shared" ca="1" si="200"/>
        <v>1.029629926366503</v>
      </c>
      <c r="BF52" s="71">
        <f t="shared" ca="1" si="201"/>
        <v>5.588326822770763</v>
      </c>
      <c r="BG52" s="71">
        <f t="shared" ca="1" si="202"/>
        <v>3.0418933633226426</v>
      </c>
      <c r="BH52" s="71">
        <f t="shared" ca="1" si="203"/>
        <v>6.5807551947951781</v>
      </c>
      <c r="BI52" s="71">
        <f t="shared" ca="1" si="204"/>
        <v>4.4070106043332933</v>
      </c>
      <c r="BJ52" s="71">
        <f t="shared" ca="1" si="205"/>
        <v>0.22216081398779317</v>
      </c>
      <c r="BK52" s="71">
        <f t="shared" ca="1" si="206"/>
        <v>2.0740182022654379</v>
      </c>
      <c r="BL52" s="71">
        <f t="shared" ca="1" si="207"/>
        <v>0.78351798752249879</v>
      </c>
      <c r="BM52" s="71">
        <f t="shared" ca="1" si="208"/>
        <v>5.2680586205053261</v>
      </c>
      <c r="BN52" s="71">
        <f t="shared" ca="1" si="209"/>
        <v>6.494207822851962</v>
      </c>
      <c r="BO52" s="71">
        <f t="shared" ca="1" si="210"/>
        <v>0.57676365169907851</v>
      </c>
      <c r="BP52" s="71">
        <f t="shared" ca="1" si="211"/>
        <v>3.272339830241024</v>
      </c>
      <c r="BQ52" s="71">
        <f t="shared" ca="1" si="212"/>
        <v>2.8114468964042603</v>
      </c>
      <c r="BR52" s="71">
        <f t="shared" ca="1" si="213"/>
        <v>7.858907122393191</v>
      </c>
      <c r="BS52" s="71">
        <f t="shared" ca="1" si="214"/>
        <v>5.5977342672783621</v>
      </c>
      <c r="BT52" s="71">
        <f t="shared" ca="1" si="215"/>
        <v>0.51695112485621109</v>
      </c>
      <c r="BU52" s="71">
        <f t="shared" ca="1" si="216"/>
        <v>3.272339830241024</v>
      </c>
      <c r="BV52" s="71">
        <f t="shared" ca="1" si="217"/>
        <v>2.8114468964042603</v>
      </c>
      <c r="BW52" s="71">
        <f t="shared" ca="1" si="218"/>
        <v>10.898836031274953</v>
      </c>
      <c r="BX52" s="71">
        <f t="shared" ca="1" si="219"/>
        <v>4.5257293945975938</v>
      </c>
      <c r="BY52" s="71">
        <f t="shared" ca="1" si="220"/>
        <v>0.63230385519602672</v>
      </c>
      <c r="BZ52" s="71">
        <f t="shared" ca="1" si="221"/>
        <v>7.0125632784431557</v>
      </c>
      <c r="CA52" s="71">
        <f t="shared" ca="1" si="222"/>
        <v>3.2906304632238506</v>
      </c>
      <c r="CB52" s="71">
        <f t="shared" ca="1" si="223"/>
        <v>9.0373860875049061</v>
      </c>
      <c r="CC52" s="71">
        <f t="shared" ca="1" si="224"/>
        <v>3.2906304632238506</v>
      </c>
      <c r="CD52" s="71">
        <f t="shared" ca="1" si="225"/>
        <v>4.7676574445075985</v>
      </c>
      <c r="CE52" s="71">
        <f t="shared" ca="1" si="226"/>
        <v>13.098810660563247</v>
      </c>
      <c r="CF52" s="71">
        <f t="shared" ca="1" si="227"/>
        <v>4.7676574445075985</v>
      </c>
      <c r="CG52" s="71">
        <f t="shared" ca="1" si="228"/>
        <v>4.3180808364797754</v>
      </c>
    </row>
    <row r="53" spans="1:85" x14ac:dyDescent="0.25">
      <c r="A53" t="str">
        <f t="shared" si="229"/>
        <v>M. Bondarewski</v>
      </c>
      <c r="B53">
        <f t="shared" si="229"/>
        <v>28</v>
      </c>
      <c r="C53" s="49">
        <f t="shared" ca="1" si="229"/>
        <v>53</v>
      </c>
      <c r="D53" t="str">
        <f t="shared" si="229"/>
        <v>RAP</v>
      </c>
      <c r="E53" s="203">
        <f t="shared" si="229"/>
        <v>43627</v>
      </c>
      <c r="F53" s="150">
        <f t="shared" ca="1" si="149"/>
        <v>1</v>
      </c>
      <c r="G53" s="151">
        <f t="shared" si="150"/>
        <v>9</v>
      </c>
      <c r="H53" s="48">
        <f t="shared" si="151"/>
        <v>0</v>
      </c>
      <c r="I53" s="48">
        <f t="shared" si="152"/>
        <v>8</v>
      </c>
      <c r="J53" s="48">
        <f t="shared" si="153"/>
        <v>14.846153846153847</v>
      </c>
      <c r="K53" s="48">
        <f t="shared" si="154"/>
        <v>5</v>
      </c>
      <c r="L53" s="48">
        <f t="shared" si="155"/>
        <v>4</v>
      </c>
      <c r="M53" s="48">
        <f t="shared" si="156"/>
        <v>9.125</v>
      </c>
      <c r="N53" s="48">
        <f t="shared" si="157"/>
        <v>20.166666666666668</v>
      </c>
      <c r="O53" s="151">
        <f t="shared" si="158"/>
        <v>2.375</v>
      </c>
      <c r="P53" s="151">
        <f t="shared" ca="1" si="159"/>
        <v>23.661001261147881</v>
      </c>
      <c r="Q53" s="151">
        <f t="shared" si="160"/>
        <v>1.06125</v>
      </c>
      <c r="R53" s="151">
        <f t="shared" si="161"/>
        <v>0.92500000000000004</v>
      </c>
      <c r="S53" s="151">
        <f t="shared" ca="1" si="162"/>
        <v>22.438990012585769</v>
      </c>
      <c r="T53" s="71">
        <f t="shared" ca="1" si="163"/>
        <v>4.1917382809873747</v>
      </c>
      <c r="U53" s="71">
        <f t="shared" ca="1" si="164"/>
        <v>6.3335694395815576</v>
      </c>
      <c r="V53" s="71">
        <f t="shared" ca="1" si="165"/>
        <v>4.1917382809873747</v>
      </c>
      <c r="W53" s="71">
        <f t="shared" ca="1" si="166"/>
        <v>5.3005188464942554</v>
      </c>
      <c r="X53" s="71">
        <f t="shared" ca="1" si="167"/>
        <v>10.2723233459191</v>
      </c>
      <c r="Y53" s="71">
        <f t="shared" ca="1" si="168"/>
        <v>2.6502594232471277</v>
      </c>
      <c r="Z53" s="71">
        <f t="shared" ca="1" si="169"/>
        <v>4.0741975717133618</v>
      </c>
      <c r="AA53" s="71">
        <f t="shared" ca="1" si="170"/>
        <v>3.8829382247574196</v>
      </c>
      <c r="AB53" s="71">
        <f t="shared" ca="1" si="171"/>
        <v>7.4268897790995085</v>
      </c>
      <c r="AC53" s="71">
        <f t="shared" ca="1" si="172"/>
        <v>1.9414691123787098</v>
      </c>
      <c r="AD53" s="71">
        <f t="shared" ca="1" si="173"/>
        <v>6.5906137189480853</v>
      </c>
      <c r="AE53" s="237">
        <f t="shared" ca="1" si="174"/>
        <v>9.4505374782455718</v>
      </c>
      <c r="AF53" s="71">
        <f t="shared" ca="1" si="175"/>
        <v>4.2527418652105071</v>
      </c>
      <c r="AG53" s="71">
        <f t="shared" ca="1" si="176"/>
        <v>2.8587856910761826</v>
      </c>
      <c r="AH53" s="237">
        <f t="shared" ca="1" si="177"/>
        <v>4.2761261274004303</v>
      </c>
      <c r="AI53" s="71">
        <f t="shared" ca="1" si="178"/>
        <v>7.7453318028230012</v>
      </c>
      <c r="AJ53" s="71">
        <f t="shared" ca="1" si="179"/>
        <v>7.2728049289107224</v>
      </c>
      <c r="AK53" s="71">
        <f t="shared" ca="1" si="180"/>
        <v>3.7473113321018237</v>
      </c>
      <c r="AL53" s="71">
        <f t="shared" ca="1" si="181"/>
        <v>1.3384291236247006</v>
      </c>
      <c r="AM53" s="71">
        <f t="shared" ca="1" si="182"/>
        <v>2.7735273033981569</v>
      </c>
      <c r="AN53" s="71">
        <f t="shared" ca="1" si="183"/>
        <v>6.1017600674759453</v>
      </c>
      <c r="AO53" s="71">
        <f t="shared" ca="1" si="184"/>
        <v>1.3867636516990784</v>
      </c>
      <c r="AP53" s="71">
        <f t="shared" ca="1" si="185"/>
        <v>16.159842469316864</v>
      </c>
      <c r="AQ53" s="71">
        <f t="shared" ca="1" si="186"/>
        <v>0.81540203496948294</v>
      </c>
      <c r="AR53" s="71">
        <f t="shared" ca="1" si="187"/>
        <v>2.7244157403542961</v>
      </c>
      <c r="AS53" s="71">
        <f t="shared" ca="1" si="188"/>
        <v>0.40770101748474147</v>
      </c>
      <c r="AT53" s="71">
        <f t="shared" ca="1" si="189"/>
        <v>1.9414691123787098</v>
      </c>
      <c r="AU53" s="71">
        <f t="shared" ca="1" si="190"/>
        <v>4.1089293383676404</v>
      </c>
      <c r="AV53" s="71">
        <f t="shared" ca="1" si="191"/>
        <v>0.97073455618935489</v>
      </c>
      <c r="AW53" s="71">
        <f t="shared" ca="1" si="192"/>
        <v>17.118477192072948</v>
      </c>
      <c r="AX53" s="71">
        <f t="shared" ca="1" si="193"/>
        <v>1.5868978065175323</v>
      </c>
      <c r="AY53" s="71">
        <f t="shared" ca="1" si="194"/>
        <v>4.5323001636014242</v>
      </c>
      <c r="AZ53" s="71">
        <f t="shared" ca="1" si="195"/>
        <v>0.79344890325876616</v>
      </c>
      <c r="BA53" s="71">
        <f t="shared" ca="1" si="196"/>
        <v>2.9892460936624579</v>
      </c>
      <c r="BB53" s="71">
        <f t="shared" ca="1" si="197"/>
        <v>3.5747685243798464</v>
      </c>
      <c r="BC53" s="71">
        <f t="shared" ca="1" si="198"/>
        <v>15.081378406216267</v>
      </c>
      <c r="BD53" s="71">
        <f t="shared" ca="1" si="199"/>
        <v>6.150095454522079</v>
      </c>
      <c r="BE53" s="71">
        <f t="shared" ca="1" si="200"/>
        <v>1.511629926366503</v>
      </c>
      <c r="BF53" s="71">
        <f t="shared" ca="1" si="201"/>
        <v>4.9820768227707628</v>
      </c>
      <c r="BG53" s="71">
        <f t="shared" ca="1" si="202"/>
        <v>2.7118933633226425</v>
      </c>
      <c r="BH53" s="71">
        <f t="shared" ca="1" si="203"/>
        <v>6.5221398101797936</v>
      </c>
      <c r="BI53" s="71">
        <f t="shared" ca="1" si="204"/>
        <v>6.1550106043332935</v>
      </c>
      <c r="BJ53" s="71">
        <f t="shared" ca="1" si="205"/>
        <v>0.32616081398779317</v>
      </c>
      <c r="BK53" s="71">
        <f t="shared" ca="1" si="206"/>
        <v>1.8490182022654378</v>
      </c>
      <c r="BL53" s="71">
        <f t="shared" ca="1" si="207"/>
        <v>0.69851798752249883</v>
      </c>
      <c r="BM53" s="71">
        <f t="shared" ca="1" si="208"/>
        <v>5.2211355435822489</v>
      </c>
      <c r="BN53" s="71">
        <f t="shared" ca="1" si="209"/>
        <v>9.0662078228519611</v>
      </c>
      <c r="BO53" s="71">
        <f t="shared" ca="1" si="210"/>
        <v>0.84676365169907852</v>
      </c>
      <c r="BP53" s="71">
        <f t="shared" ca="1" si="211"/>
        <v>2.9173398302410241</v>
      </c>
      <c r="BQ53" s="71">
        <f t="shared" ca="1" si="212"/>
        <v>2.5064468964042601</v>
      </c>
      <c r="BR53" s="71">
        <f t="shared" ca="1" si="213"/>
        <v>7.7889071223931916</v>
      </c>
      <c r="BS53" s="71">
        <f t="shared" ca="1" si="214"/>
        <v>7.8137342672783623</v>
      </c>
      <c r="BT53" s="71">
        <f t="shared" ca="1" si="215"/>
        <v>0.75895112485621108</v>
      </c>
      <c r="BU53" s="71">
        <f t="shared" ca="1" si="216"/>
        <v>2.9173398302410241</v>
      </c>
      <c r="BV53" s="71">
        <f t="shared" ca="1" si="217"/>
        <v>2.5064468964042601</v>
      </c>
      <c r="BW53" s="71">
        <f t="shared" ca="1" si="218"/>
        <v>10.801759108198031</v>
      </c>
      <c r="BX53" s="71">
        <f t="shared" ca="1" si="219"/>
        <v>6.3157293945975939</v>
      </c>
      <c r="BY53" s="71">
        <f t="shared" ca="1" si="220"/>
        <v>0.92830385519602676</v>
      </c>
      <c r="BZ53" s="71">
        <f t="shared" ca="1" si="221"/>
        <v>6.9501017399816174</v>
      </c>
      <c r="CA53" s="71">
        <f t="shared" ca="1" si="222"/>
        <v>4.0627554632238514</v>
      </c>
      <c r="CB53" s="71">
        <f t="shared" ca="1" si="223"/>
        <v>10.050511087504905</v>
      </c>
      <c r="CC53" s="71">
        <f t="shared" ca="1" si="224"/>
        <v>4.0627554632238514</v>
      </c>
      <c r="CD53" s="71">
        <f t="shared" ca="1" si="225"/>
        <v>5.4611574445075988</v>
      </c>
      <c r="CE53" s="71">
        <f t="shared" ca="1" si="226"/>
        <v>13.711810660563248</v>
      </c>
      <c r="CF53" s="71">
        <f t="shared" ca="1" si="227"/>
        <v>5.4611574445075988</v>
      </c>
      <c r="CG53" s="71">
        <f t="shared" ca="1" si="228"/>
        <v>4.279619298018237</v>
      </c>
    </row>
    <row r="54" spans="1:85" x14ac:dyDescent="0.25">
      <c r="A54">
        <f t="shared" si="229"/>
        <v>0</v>
      </c>
      <c r="B54">
        <f t="shared" si="229"/>
        <v>0</v>
      </c>
      <c r="C54" s="49">
        <f t="shared" si="229"/>
        <v>0</v>
      </c>
      <c r="D54">
        <f t="shared" si="229"/>
        <v>0</v>
      </c>
      <c r="E54" s="203">
        <f t="shared" si="229"/>
        <v>0</v>
      </c>
      <c r="F54" s="150">
        <f t="shared" si="149"/>
        <v>0</v>
      </c>
      <c r="G54" s="151">
        <f t="shared" si="150"/>
        <v>0</v>
      </c>
      <c r="H54" s="48">
        <f t="shared" si="151"/>
        <v>0</v>
      </c>
      <c r="I54" s="48">
        <f t="shared" si="152"/>
        <v>0</v>
      </c>
      <c r="J54" s="48">
        <f t="shared" si="153"/>
        <v>0</v>
      </c>
      <c r="K54" s="48">
        <f t="shared" si="154"/>
        <v>0</v>
      </c>
      <c r="L54" s="48">
        <f t="shared" si="155"/>
        <v>0</v>
      </c>
      <c r="M54" s="48">
        <f t="shared" si="156"/>
        <v>0</v>
      </c>
      <c r="N54" s="48">
        <f t="shared" si="157"/>
        <v>0</v>
      </c>
      <c r="O54" s="151">
        <f t="shared" si="158"/>
        <v>0.375</v>
      </c>
      <c r="P54" s="151" t="e">
        <f t="shared" si="159"/>
        <v>#NUM!</v>
      </c>
      <c r="Q54" s="151">
        <f t="shared" si="160"/>
        <v>0</v>
      </c>
      <c r="R54" s="151">
        <f t="shared" si="161"/>
        <v>0</v>
      </c>
      <c r="S54" s="151" t="e">
        <f t="shared" ca="1" si="162"/>
        <v>#NUM!</v>
      </c>
      <c r="T54" s="71" t="e">
        <f t="shared" si="163"/>
        <v>#NUM!</v>
      </c>
      <c r="U54" s="71" t="e">
        <f t="shared" si="164"/>
        <v>#NUM!</v>
      </c>
      <c r="V54" s="71" t="e">
        <f t="shared" si="165"/>
        <v>#NUM!</v>
      </c>
      <c r="W54" s="71" t="e">
        <f t="shared" si="166"/>
        <v>#NUM!</v>
      </c>
      <c r="X54" s="71" t="e">
        <f t="shared" si="167"/>
        <v>#NUM!</v>
      </c>
      <c r="Y54" s="71" t="e">
        <f t="shared" si="168"/>
        <v>#NUM!</v>
      </c>
      <c r="Z54" s="71" t="e">
        <f t="shared" si="169"/>
        <v>#NUM!</v>
      </c>
      <c r="AA54" s="71" t="e">
        <f t="shared" si="170"/>
        <v>#NUM!</v>
      </c>
      <c r="AB54" s="71" t="e">
        <f t="shared" si="171"/>
        <v>#NUM!</v>
      </c>
      <c r="AC54" s="71" t="e">
        <f t="shared" si="172"/>
        <v>#NUM!</v>
      </c>
      <c r="AD54" s="71" t="e">
        <f t="shared" si="173"/>
        <v>#NUM!</v>
      </c>
      <c r="AE54" s="237" t="e">
        <f t="shared" si="174"/>
        <v>#NUM!</v>
      </c>
      <c r="AF54" s="71" t="e">
        <f t="shared" si="175"/>
        <v>#NUM!</v>
      </c>
      <c r="AG54" s="71" t="e">
        <f t="shared" si="176"/>
        <v>#NUM!</v>
      </c>
      <c r="AH54" s="237" t="e">
        <f t="shared" si="177"/>
        <v>#NUM!</v>
      </c>
      <c r="AI54" s="71" t="e">
        <f t="shared" si="178"/>
        <v>#NUM!</v>
      </c>
      <c r="AJ54" s="71" t="e">
        <f t="shared" si="179"/>
        <v>#NUM!</v>
      </c>
      <c r="AK54" s="71" t="e">
        <f t="shared" si="180"/>
        <v>#NUM!</v>
      </c>
      <c r="AL54" s="71" t="e">
        <f t="shared" si="181"/>
        <v>#NUM!</v>
      </c>
      <c r="AM54" s="71" t="e">
        <f t="shared" si="182"/>
        <v>#NUM!</v>
      </c>
      <c r="AN54" s="71" t="e">
        <f t="shared" si="183"/>
        <v>#NUM!</v>
      </c>
      <c r="AO54" s="71" t="e">
        <f t="shared" si="184"/>
        <v>#NUM!</v>
      </c>
      <c r="AP54" s="71" t="e">
        <f t="shared" si="185"/>
        <v>#NUM!</v>
      </c>
      <c r="AQ54" s="71" t="e">
        <f t="shared" si="186"/>
        <v>#NUM!</v>
      </c>
      <c r="AR54" s="71" t="e">
        <f t="shared" si="187"/>
        <v>#NUM!</v>
      </c>
      <c r="AS54" s="71" t="e">
        <f t="shared" si="188"/>
        <v>#NUM!</v>
      </c>
      <c r="AT54" s="71" t="e">
        <f t="shared" si="189"/>
        <v>#NUM!</v>
      </c>
      <c r="AU54" s="71" t="e">
        <f t="shared" si="190"/>
        <v>#NUM!</v>
      </c>
      <c r="AV54" s="71" t="e">
        <f t="shared" si="191"/>
        <v>#NUM!</v>
      </c>
      <c r="AW54" s="71" t="e">
        <f t="shared" si="192"/>
        <v>#NUM!</v>
      </c>
      <c r="AX54" s="71" t="e">
        <f t="shared" si="193"/>
        <v>#NUM!</v>
      </c>
      <c r="AY54" s="71" t="e">
        <f t="shared" si="194"/>
        <v>#NUM!</v>
      </c>
      <c r="AZ54" s="71" t="e">
        <f t="shared" si="195"/>
        <v>#NUM!</v>
      </c>
      <c r="BA54" s="71" t="e">
        <f t="shared" si="196"/>
        <v>#NUM!</v>
      </c>
      <c r="BB54" s="71" t="e">
        <f t="shared" si="197"/>
        <v>#NUM!</v>
      </c>
      <c r="BC54" s="71" t="e">
        <f t="shared" si="198"/>
        <v>#NUM!</v>
      </c>
      <c r="BD54" s="71" t="e">
        <f t="shared" si="199"/>
        <v>#NUM!</v>
      </c>
      <c r="BE54" s="71" t="e">
        <f t="shared" si="200"/>
        <v>#NUM!</v>
      </c>
      <c r="BF54" s="71" t="e">
        <f t="shared" si="201"/>
        <v>#NUM!</v>
      </c>
      <c r="BG54" s="71" t="e">
        <f t="shared" si="202"/>
        <v>#NUM!</v>
      </c>
      <c r="BH54" s="71" t="e">
        <f t="shared" si="203"/>
        <v>#NUM!</v>
      </c>
      <c r="BI54" s="71" t="e">
        <f t="shared" si="204"/>
        <v>#NUM!</v>
      </c>
      <c r="BJ54" s="71" t="e">
        <f t="shared" si="205"/>
        <v>#NUM!</v>
      </c>
      <c r="BK54" s="71" t="e">
        <f t="shared" si="206"/>
        <v>#NUM!</v>
      </c>
      <c r="BL54" s="71" t="e">
        <f t="shared" si="207"/>
        <v>#NUM!</v>
      </c>
      <c r="BM54" s="71" t="e">
        <f t="shared" si="208"/>
        <v>#NUM!</v>
      </c>
      <c r="BN54" s="71" t="e">
        <f t="shared" si="209"/>
        <v>#NUM!</v>
      </c>
      <c r="BO54" s="71" t="e">
        <f t="shared" si="210"/>
        <v>#NUM!</v>
      </c>
      <c r="BP54" s="71" t="e">
        <f t="shared" si="211"/>
        <v>#NUM!</v>
      </c>
      <c r="BQ54" s="71" t="e">
        <f t="shared" si="212"/>
        <v>#NUM!</v>
      </c>
      <c r="BR54" s="71" t="e">
        <f t="shared" si="213"/>
        <v>#NUM!</v>
      </c>
      <c r="BS54" s="71" t="e">
        <f t="shared" si="214"/>
        <v>#NUM!</v>
      </c>
      <c r="BT54" s="71" t="e">
        <f t="shared" si="215"/>
        <v>#NUM!</v>
      </c>
      <c r="BU54" s="71" t="e">
        <f t="shared" si="216"/>
        <v>#NUM!</v>
      </c>
      <c r="BV54" s="71" t="e">
        <f t="shared" si="217"/>
        <v>#NUM!</v>
      </c>
      <c r="BW54" s="71" t="e">
        <f t="shared" si="218"/>
        <v>#NUM!</v>
      </c>
      <c r="BX54" s="71" t="e">
        <f t="shared" si="219"/>
        <v>#NUM!</v>
      </c>
      <c r="BY54" s="71" t="e">
        <f t="shared" si="220"/>
        <v>#NUM!</v>
      </c>
      <c r="BZ54" s="71" t="e">
        <f t="shared" si="221"/>
        <v>#NUM!</v>
      </c>
      <c r="CA54" s="71" t="e">
        <f t="shared" si="222"/>
        <v>#NUM!</v>
      </c>
      <c r="CB54" s="71" t="e">
        <f t="shared" si="223"/>
        <v>#NUM!</v>
      </c>
      <c r="CC54" s="71" t="e">
        <f t="shared" si="224"/>
        <v>#NUM!</v>
      </c>
      <c r="CD54" s="71" t="e">
        <f t="shared" si="225"/>
        <v>#NUM!</v>
      </c>
      <c r="CE54" s="71" t="e">
        <f t="shared" si="226"/>
        <v>#NUM!</v>
      </c>
      <c r="CF54" s="71" t="e">
        <f t="shared" si="227"/>
        <v>#NUM!</v>
      </c>
      <c r="CG54" s="71" t="e">
        <f t="shared" si="228"/>
        <v>#NUM!</v>
      </c>
    </row>
    <row r="55" spans="1:85" x14ac:dyDescent="0.25">
      <c r="A55">
        <f t="shared" si="229"/>
        <v>0</v>
      </c>
      <c r="B55">
        <f t="shared" si="229"/>
        <v>0</v>
      </c>
      <c r="C55" s="49">
        <f t="shared" si="229"/>
        <v>0</v>
      </c>
      <c r="D55">
        <f t="shared" si="229"/>
        <v>0</v>
      </c>
      <c r="E55" s="203">
        <f t="shared" si="229"/>
        <v>0</v>
      </c>
      <c r="F55" s="150">
        <f t="shared" si="149"/>
        <v>0</v>
      </c>
      <c r="G55" s="151">
        <f t="shared" si="150"/>
        <v>0</v>
      </c>
      <c r="H55" s="48">
        <f t="shared" si="151"/>
        <v>0</v>
      </c>
      <c r="I55" s="48">
        <f t="shared" si="152"/>
        <v>0</v>
      </c>
      <c r="J55" s="48">
        <f t="shared" si="153"/>
        <v>0</v>
      </c>
      <c r="K55" s="48">
        <f t="shared" si="154"/>
        <v>0</v>
      </c>
      <c r="L55" s="48">
        <f t="shared" si="155"/>
        <v>0</v>
      </c>
      <c r="M55" s="48">
        <f t="shared" si="156"/>
        <v>0</v>
      </c>
      <c r="N55" s="48">
        <f t="shared" si="157"/>
        <v>0</v>
      </c>
      <c r="O55" s="151">
        <f t="shared" si="158"/>
        <v>0.375</v>
      </c>
      <c r="P55" s="151" t="e">
        <f t="shared" si="159"/>
        <v>#NUM!</v>
      </c>
      <c r="Q55" s="151">
        <f t="shared" si="160"/>
        <v>0</v>
      </c>
      <c r="R55" s="151">
        <f t="shared" si="161"/>
        <v>0</v>
      </c>
      <c r="S55" s="151" t="e">
        <f t="shared" ca="1" si="162"/>
        <v>#NUM!</v>
      </c>
      <c r="T55" s="71" t="e">
        <f t="shared" si="163"/>
        <v>#NUM!</v>
      </c>
      <c r="U55" s="71" t="e">
        <f t="shared" si="164"/>
        <v>#NUM!</v>
      </c>
      <c r="V55" s="71" t="e">
        <f t="shared" si="165"/>
        <v>#NUM!</v>
      </c>
      <c r="W55" s="71" t="e">
        <f t="shared" si="166"/>
        <v>#NUM!</v>
      </c>
      <c r="X55" s="71" t="e">
        <f t="shared" si="167"/>
        <v>#NUM!</v>
      </c>
      <c r="Y55" s="71" t="e">
        <f t="shared" si="168"/>
        <v>#NUM!</v>
      </c>
      <c r="Z55" s="71" t="e">
        <f t="shared" si="169"/>
        <v>#NUM!</v>
      </c>
      <c r="AA55" s="71" t="e">
        <f t="shared" si="170"/>
        <v>#NUM!</v>
      </c>
      <c r="AB55" s="71" t="e">
        <f t="shared" si="171"/>
        <v>#NUM!</v>
      </c>
      <c r="AC55" s="71" t="e">
        <f t="shared" si="172"/>
        <v>#NUM!</v>
      </c>
      <c r="AD55" s="71" t="e">
        <f t="shared" si="173"/>
        <v>#NUM!</v>
      </c>
      <c r="AE55" s="237" t="e">
        <f t="shared" si="174"/>
        <v>#NUM!</v>
      </c>
      <c r="AF55" s="71" t="e">
        <f t="shared" si="175"/>
        <v>#NUM!</v>
      </c>
      <c r="AG55" s="71" t="e">
        <f t="shared" si="176"/>
        <v>#NUM!</v>
      </c>
      <c r="AH55" s="237" t="e">
        <f t="shared" si="177"/>
        <v>#NUM!</v>
      </c>
      <c r="AI55" s="71" t="e">
        <f t="shared" si="178"/>
        <v>#NUM!</v>
      </c>
      <c r="AJ55" s="71" t="e">
        <f t="shared" si="179"/>
        <v>#NUM!</v>
      </c>
      <c r="AK55" s="71" t="e">
        <f t="shared" si="180"/>
        <v>#NUM!</v>
      </c>
      <c r="AL55" s="71" t="e">
        <f t="shared" si="181"/>
        <v>#NUM!</v>
      </c>
      <c r="AM55" s="71" t="e">
        <f t="shared" si="182"/>
        <v>#NUM!</v>
      </c>
      <c r="AN55" s="71" t="e">
        <f t="shared" si="183"/>
        <v>#NUM!</v>
      </c>
      <c r="AO55" s="71" t="e">
        <f t="shared" si="184"/>
        <v>#NUM!</v>
      </c>
      <c r="AP55" s="71" t="e">
        <f t="shared" si="185"/>
        <v>#NUM!</v>
      </c>
      <c r="AQ55" s="71" t="e">
        <f t="shared" si="186"/>
        <v>#NUM!</v>
      </c>
      <c r="AR55" s="71" t="e">
        <f t="shared" si="187"/>
        <v>#NUM!</v>
      </c>
      <c r="AS55" s="71" t="e">
        <f t="shared" si="188"/>
        <v>#NUM!</v>
      </c>
      <c r="AT55" s="71" t="e">
        <f t="shared" si="189"/>
        <v>#NUM!</v>
      </c>
      <c r="AU55" s="71" t="e">
        <f t="shared" si="190"/>
        <v>#NUM!</v>
      </c>
      <c r="AV55" s="71" t="e">
        <f t="shared" si="191"/>
        <v>#NUM!</v>
      </c>
      <c r="AW55" s="71" t="e">
        <f t="shared" si="192"/>
        <v>#NUM!</v>
      </c>
      <c r="AX55" s="71" t="e">
        <f t="shared" si="193"/>
        <v>#NUM!</v>
      </c>
      <c r="AY55" s="71" t="e">
        <f t="shared" si="194"/>
        <v>#NUM!</v>
      </c>
      <c r="AZ55" s="71" t="e">
        <f t="shared" si="195"/>
        <v>#NUM!</v>
      </c>
      <c r="BA55" s="71" t="e">
        <f t="shared" si="196"/>
        <v>#NUM!</v>
      </c>
      <c r="BB55" s="71" t="e">
        <f t="shared" si="197"/>
        <v>#NUM!</v>
      </c>
      <c r="BC55" s="71" t="e">
        <f t="shared" si="198"/>
        <v>#NUM!</v>
      </c>
      <c r="BD55" s="71" t="e">
        <f t="shared" si="199"/>
        <v>#NUM!</v>
      </c>
      <c r="BE55" s="71" t="e">
        <f t="shared" si="200"/>
        <v>#NUM!</v>
      </c>
      <c r="BF55" s="71" t="e">
        <f t="shared" si="201"/>
        <v>#NUM!</v>
      </c>
      <c r="BG55" s="71" t="e">
        <f t="shared" si="202"/>
        <v>#NUM!</v>
      </c>
      <c r="BH55" s="71" t="e">
        <f t="shared" si="203"/>
        <v>#NUM!</v>
      </c>
      <c r="BI55" s="71" t="e">
        <f t="shared" si="204"/>
        <v>#NUM!</v>
      </c>
      <c r="BJ55" s="71" t="e">
        <f t="shared" si="205"/>
        <v>#NUM!</v>
      </c>
      <c r="BK55" s="71" t="e">
        <f t="shared" si="206"/>
        <v>#NUM!</v>
      </c>
      <c r="BL55" s="71" t="e">
        <f t="shared" si="207"/>
        <v>#NUM!</v>
      </c>
      <c r="BM55" s="71" t="e">
        <f t="shared" si="208"/>
        <v>#NUM!</v>
      </c>
      <c r="BN55" s="71" t="e">
        <f t="shared" si="209"/>
        <v>#NUM!</v>
      </c>
      <c r="BO55" s="71" t="e">
        <f t="shared" si="210"/>
        <v>#NUM!</v>
      </c>
      <c r="BP55" s="71" t="e">
        <f t="shared" si="211"/>
        <v>#NUM!</v>
      </c>
      <c r="BQ55" s="71" t="e">
        <f t="shared" si="212"/>
        <v>#NUM!</v>
      </c>
      <c r="BR55" s="71" t="e">
        <f t="shared" si="213"/>
        <v>#NUM!</v>
      </c>
      <c r="BS55" s="71" t="e">
        <f t="shared" si="214"/>
        <v>#NUM!</v>
      </c>
      <c r="BT55" s="71" t="e">
        <f t="shared" si="215"/>
        <v>#NUM!</v>
      </c>
      <c r="BU55" s="71" t="e">
        <f t="shared" si="216"/>
        <v>#NUM!</v>
      </c>
      <c r="BV55" s="71" t="e">
        <f t="shared" si="217"/>
        <v>#NUM!</v>
      </c>
      <c r="BW55" s="71" t="e">
        <f t="shared" si="218"/>
        <v>#NUM!</v>
      </c>
      <c r="BX55" s="71" t="e">
        <f t="shared" si="219"/>
        <v>#NUM!</v>
      </c>
      <c r="BY55" s="71" t="e">
        <f t="shared" si="220"/>
        <v>#NUM!</v>
      </c>
      <c r="BZ55" s="71" t="e">
        <f t="shared" si="221"/>
        <v>#NUM!</v>
      </c>
      <c r="CA55" s="71" t="e">
        <f t="shared" si="222"/>
        <v>#NUM!</v>
      </c>
      <c r="CB55" s="71" t="e">
        <f t="shared" si="223"/>
        <v>#NUM!</v>
      </c>
      <c r="CC55" s="71" t="e">
        <f t="shared" si="224"/>
        <v>#NUM!</v>
      </c>
      <c r="CD55" s="71" t="e">
        <f t="shared" si="225"/>
        <v>#NUM!</v>
      </c>
      <c r="CE55" s="71" t="e">
        <f t="shared" si="226"/>
        <v>#NUM!</v>
      </c>
      <c r="CF55" s="71" t="e">
        <f t="shared" si="227"/>
        <v>#NUM!</v>
      </c>
      <c r="CG55" s="71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49">
        <f t="shared" si="229"/>
        <v>0</v>
      </c>
      <c r="D56">
        <f t="shared" si="229"/>
        <v>0</v>
      </c>
      <c r="E56" s="203">
        <f t="shared" si="229"/>
        <v>0</v>
      </c>
      <c r="F56" s="150">
        <f t="shared" si="149"/>
        <v>0</v>
      </c>
      <c r="G56" s="151">
        <f t="shared" si="150"/>
        <v>0</v>
      </c>
      <c r="H56" s="48">
        <f t="shared" si="151"/>
        <v>0</v>
      </c>
      <c r="I56" s="48">
        <f t="shared" si="152"/>
        <v>0</v>
      </c>
      <c r="J56" s="48">
        <f t="shared" si="153"/>
        <v>0</v>
      </c>
      <c r="K56" s="48">
        <f t="shared" si="154"/>
        <v>0</v>
      </c>
      <c r="L56" s="48">
        <f t="shared" si="155"/>
        <v>0</v>
      </c>
      <c r="M56" s="48">
        <f t="shared" si="156"/>
        <v>0</v>
      </c>
      <c r="N56" s="48">
        <f t="shared" si="157"/>
        <v>0</v>
      </c>
      <c r="O56" s="151">
        <f t="shared" si="158"/>
        <v>0.375</v>
      </c>
      <c r="P56" s="151" t="e">
        <f t="shared" si="159"/>
        <v>#NUM!</v>
      </c>
      <c r="Q56" s="151">
        <f t="shared" si="160"/>
        <v>0</v>
      </c>
      <c r="R56" s="151">
        <f t="shared" si="161"/>
        <v>0</v>
      </c>
      <c r="S56" s="151" t="e">
        <f t="shared" ca="1" si="162"/>
        <v>#NUM!</v>
      </c>
      <c r="T56" s="71" t="e">
        <f t="shared" si="163"/>
        <v>#NUM!</v>
      </c>
      <c r="U56" s="71" t="e">
        <f t="shared" si="164"/>
        <v>#NUM!</v>
      </c>
      <c r="V56" s="71" t="e">
        <f t="shared" si="165"/>
        <v>#NUM!</v>
      </c>
      <c r="W56" s="71" t="e">
        <f t="shared" si="166"/>
        <v>#NUM!</v>
      </c>
      <c r="X56" s="71" t="e">
        <f t="shared" si="167"/>
        <v>#NUM!</v>
      </c>
      <c r="Y56" s="71" t="e">
        <f t="shared" si="168"/>
        <v>#NUM!</v>
      </c>
      <c r="Z56" s="71" t="e">
        <f t="shared" si="169"/>
        <v>#NUM!</v>
      </c>
      <c r="AA56" s="71" t="e">
        <f t="shared" si="170"/>
        <v>#NUM!</v>
      </c>
      <c r="AB56" s="71" t="e">
        <f t="shared" si="171"/>
        <v>#NUM!</v>
      </c>
      <c r="AC56" s="71" t="e">
        <f t="shared" si="172"/>
        <v>#NUM!</v>
      </c>
      <c r="AD56" s="71" t="e">
        <f t="shared" si="173"/>
        <v>#NUM!</v>
      </c>
      <c r="AE56" s="237" t="e">
        <f t="shared" si="174"/>
        <v>#NUM!</v>
      </c>
      <c r="AF56" s="71" t="e">
        <f t="shared" si="175"/>
        <v>#NUM!</v>
      </c>
      <c r="AG56" s="71" t="e">
        <f t="shared" si="176"/>
        <v>#NUM!</v>
      </c>
      <c r="AH56" s="237" t="e">
        <f t="shared" si="177"/>
        <v>#NUM!</v>
      </c>
      <c r="AI56" s="71" t="e">
        <f t="shared" si="178"/>
        <v>#NUM!</v>
      </c>
      <c r="AJ56" s="71" t="e">
        <f t="shared" si="179"/>
        <v>#NUM!</v>
      </c>
      <c r="AK56" s="71" t="e">
        <f t="shared" si="180"/>
        <v>#NUM!</v>
      </c>
      <c r="AL56" s="71" t="e">
        <f t="shared" si="181"/>
        <v>#NUM!</v>
      </c>
      <c r="AM56" s="71" t="e">
        <f t="shared" si="182"/>
        <v>#NUM!</v>
      </c>
      <c r="AN56" s="71" t="e">
        <f t="shared" si="183"/>
        <v>#NUM!</v>
      </c>
      <c r="AO56" s="71" t="e">
        <f t="shared" si="184"/>
        <v>#NUM!</v>
      </c>
      <c r="AP56" s="71" t="e">
        <f t="shared" si="185"/>
        <v>#NUM!</v>
      </c>
      <c r="AQ56" s="71" t="e">
        <f t="shared" si="186"/>
        <v>#NUM!</v>
      </c>
      <c r="AR56" s="71" t="e">
        <f t="shared" si="187"/>
        <v>#NUM!</v>
      </c>
      <c r="AS56" s="71" t="e">
        <f t="shared" si="188"/>
        <v>#NUM!</v>
      </c>
      <c r="AT56" s="71" t="e">
        <f t="shared" si="189"/>
        <v>#NUM!</v>
      </c>
      <c r="AU56" s="71" t="e">
        <f t="shared" si="190"/>
        <v>#NUM!</v>
      </c>
      <c r="AV56" s="71" t="e">
        <f t="shared" si="191"/>
        <v>#NUM!</v>
      </c>
      <c r="AW56" s="71" t="e">
        <f t="shared" si="192"/>
        <v>#NUM!</v>
      </c>
      <c r="AX56" s="71" t="e">
        <f t="shared" si="193"/>
        <v>#NUM!</v>
      </c>
      <c r="AY56" s="71" t="e">
        <f t="shared" si="194"/>
        <v>#NUM!</v>
      </c>
      <c r="AZ56" s="71" t="e">
        <f t="shared" si="195"/>
        <v>#NUM!</v>
      </c>
      <c r="BA56" s="71" t="e">
        <f t="shared" si="196"/>
        <v>#NUM!</v>
      </c>
      <c r="BB56" s="71" t="e">
        <f t="shared" si="197"/>
        <v>#NUM!</v>
      </c>
      <c r="BC56" s="71" t="e">
        <f t="shared" si="198"/>
        <v>#NUM!</v>
      </c>
      <c r="BD56" s="71" t="e">
        <f t="shared" si="199"/>
        <v>#NUM!</v>
      </c>
      <c r="BE56" s="71" t="e">
        <f t="shared" si="200"/>
        <v>#NUM!</v>
      </c>
      <c r="BF56" s="71" t="e">
        <f t="shared" si="201"/>
        <v>#NUM!</v>
      </c>
      <c r="BG56" s="71" t="e">
        <f t="shared" si="202"/>
        <v>#NUM!</v>
      </c>
      <c r="BH56" s="71" t="e">
        <f t="shared" si="203"/>
        <v>#NUM!</v>
      </c>
      <c r="BI56" s="71" t="e">
        <f t="shared" si="204"/>
        <v>#NUM!</v>
      </c>
      <c r="BJ56" s="71" t="e">
        <f t="shared" si="205"/>
        <v>#NUM!</v>
      </c>
      <c r="BK56" s="71" t="e">
        <f t="shared" si="206"/>
        <v>#NUM!</v>
      </c>
      <c r="BL56" s="71" t="e">
        <f t="shared" si="207"/>
        <v>#NUM!</v>
      </c>
      <c r="BM56" s="71" t="e">
        <f t="shared" si="208"/>
        <v>#NUM!</v>
      </c>
      <c r="BN56" s="71" t="e">
        <f t="shared" si="209"/>
        <v>#NUM!</v>
      </c>
      <c r="BO56" s="71" t="e">
        <f t="shared" si="210"/>
        <v>#NUM!</v>
      </c>
      <c r="BP56" s="71" t="e">
        <f t="shared" si="211"/>
        <v>#NUM!</v>
      </c>
      <c r="BQ56" s="71" t="e">
        <f t="shared" si="212"/>
        <v>#NUM!</v>
      </c>
      <c r="BR56" s="71" t="e">
        <f t="shared" si="213"/>
        <v>#NUM!</v>
      </c>
      <c r="BS56" s="71" t="e">
        <f t="shared" si="214"/>
        <v>#NUM!</v>
      </c>
      <c r="BT56" s="71" t="e">
        <f t="shared" si="215"/>
        <v>#NUM!</v>
      </c>
      <c r="BU56" s="71" t="e">
        <f t="shared" si="216"/>
        <v>#NUM!</v>
      </c>
      <c r="BV56" s="71" t="e">
        <f t="shared" si="217"/>
        <v>#NUM!</v>
      </c>
      <c r="BW56" s="71" t="e">
        <f t="shared" si="218"/>
        <v>#NUM!</v>
      </c>
      <c r="BX56" s="71" t="e">
        <f t="shared" si="219"/>
        <v>#NUM!</v>
      </c>
      <c r="BY56" s="71" t="e">
        <f t="shared" si="220"/>
        <v>#NUM!</v>
      </c>
      <c r="BZ56" s="71" t="e">
        <f t="shared" si="221"/>
        <v>#NUM!</v>
      </c>
      <c r="CA56" s="71" t="e">
        <f t="shared" si="222"/>
        <v>#NUM!</v>
      </c>
      <c r="CB56" s="71" t="e">
        <f t="shared" si="223"/>
        <v>#NUM!</v>
      </c>
      <c r="CC56" s="71" t="e">
        <f t="shared" si="224"/>
        <v>#NUM!</v>
      </c>
      <c r="CD56" s="71" t="e">
        <f t="shared" si="225"/>
        <v>#NUM!</v>
      </c>
      <c r="CE56" s="71" t="e">
        <f t="shared" si="226"/>
        <v>#NUM!</v>
      </c>
      <c r="CF56" s="71" t="e">
        <f t="shared" si="227"/>
        <v>#NUM!</v>
      </c>
      <c r="CG56" s="71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49">
        <f t="shared" si="230"/>
        <v>0</v>
      </c>
      <c r="D57">
        <f t="shared" si="230"/>
        <v>0</v>
      </c>
      <c r="E57" s="203">
        <f t="shared" si="230"/>
        <v>0</v>
      </c>
      <c r="F57" s="150">
        <f t="shared" si="149"/>
        <v>0</v>
      </c>
      <c r="G57" s="151">
        <f t="shared" si="150"/>
        <v>0</v>
      </c>
      <c r="H57" s="48">
        <f t="shared" si="151"/>
        <v>0</v>
      </c>
      <c r="I57" s="48">
        <f t="shared" si="152"/>
        <v>0</v>
      </c>
      <c r="J57" s="48">
        <f t="shared" si="153"/>
        <v>0</v>
      </c>
      <c r="K57" s="48">
        <f t="shared" si="154"/>
        <v>0</v>
      </c>
      <c r="L57" s="48">
        <f t="shared" si="155"/>
        <v>0</v>
      </c>
      <c r="M57" s="48">
        <f t="shared" si="156"/>
        <v>0</v>
      </c>
      <c r="N57" s="48">
        <f t="shared" si="157"/>
        <v>0</v>
      </c>
      <c r="O57" s="151">
        <f t="shared" si="158"/>
        <v>0.375</v>
      </c>
      <c r="P57" s="151" t="e">
        <f t="shared" si="159"/>
        <v>#NUM!</v>
      </c>
      <c r="Q57" s="151">
        <f t="shared" si="160"/>
        <v>0</v>
      </c>
      <c r="R57" s="151">
        <f t="shared" si="161"/>
        <v>0</v>
      </c>
      <c r="S57" s="151" t="e">
        <f t="shared" ca="1" si="162"/>
        <v>#NUM!</v>
      </c>
      <c r="T57" s="71" t="e">
        <f t="shared" si="163"/>
        <v>#NUM!</v>
      </c>
      <c r="U57" s="71" t="e">
        <f t="shared" si="164"/>
        <v>#NUM!</v>
      </c>
      <c r="V57" s="71" t="e">
        <f t="shared" si="165"/>
        <v>#NUM!</v>
      </c>
      <c r="W57" s="71" t="e">
        <f t="shared" si="166"/>
        <v>#NUM!</v>
      </c>
      <c r="X57" s="71" t="e">
        <f t="shared" si="167"/>
        <v>#NUM!</v>
      </c>
      <c r="Y57" s="71" t="e">
        <f t="shared" si="168"/>
        <v>#NUM!</v>
      </c>
      <c r="Z57" s="71" t="e">
        <f t="shared" si="169"/>
        <v>#NUM!</v>
      </c>
      <c r="AA57" s="71" t="e">
        <f t="shared" si="170"/>
        <v>#NUM!</v>
      </c>
      <c r="AB57" s="71" t="e">
        <f t="shared" si="171"/>
        <v>#NUM!</v>
      </c>
      <c r="AC57" s="71" t="e">
        <f t="shared" si="172"/>
        <v>#NUM!</v>
      </c>
      <c r="AD57" s="71" t="e">
        <f t="shared" si="173"/>
        <v>#NUM!</v>
      </c>
      <c r="AE57" s="237" t="e">
        <f t="shared" si="174"/>
        <v>#NUM!</v>
      </c>
      <c r="AF57" s="71" t="e">
        <f t="shared" si="175"/>
        <v>#NUM!</v>
      </c>
      <c r="AG57" s="71" t="e">
        <f t="shared" si="176"/>
        <v>#NUM!</v>
      </c>
      <c r="AH57" s="237" t="e">
        <f t="shared" si="177"/>
        <v>#NUM!</v>
      </c>
      <c r="AI57" s="71" t="e">
        <f t="shared" si="178"/>
        <v>#NUM!</v>
      </c>
      <c r="AJ57" s="71" t="e">
        <f t="shared" si="179"/>
        <v>#NUM!</v>
      </c>
      <c r="AK57" s="71" t="e">
        <f t="shared" si="180"/>
        <v>#NUM!</v>
      </c>
      <c r="AL57" s="71" t="e">
        <f t="shared" si="181"/>
        <v>#NUM!</v>
      </c>
      <c r="AM57" s="71" t="e">
        <f t="shared" si="182"/>
        <v>#NUM!</v>
      </c>
      <c r="AN57" s="71" t="e">
        <f t="shared" si="183"/>
        <v>#NUM!</v>
      </c>
      <c r="AO57" s="71" t="e">
        <f t="shared" si="184"/>
        <v>#NUM!</v>
      </c>
      <c r="AP57" s="71" t="e">
        <f t="shared" si="185"/>
        <v>#NUM!</v>
      </c>
      <c r="AQ57" s="71" t="e">
        <f t="shared" si="186"/>
        <v>#NUM!</v>
      </c>
      <c r="AR57" s="71" t="e">
        <f t="shared" si="187"/>
        <v>#NUM!</v>
      </c>
      <c r="AS57" s="71" t="e">
        <f t="shared" si="188"/>
        <v>#NUM!</v>
      </c>
      <c r="AT57" s="71" t="e">
        <f t="shared" si="189"/>
        <v>#NUM!</v>
      </c>
      <c r="AU57" s="71" t="e">
        <f t="shared" si="190"/>
        <v>#NUM!</v>
      </c>
      <c r="AV57" s="71" t="e">
        <f t="shared" si="191"/>
        <v>#NUM!</v>
      </c>
      <c r="AW57" s="71" t="e">
        <f t="shared" si="192"/>
        <v>#NUM!</v>
      </c>
      <c r="AX57" s="71" t="e">
        <f t="shared" si="193"/>
        <v>#NUM!</v>
      </c>
      <c r="AY57" s="71" t="e">
        <f t="shared" si="194"/>
        <v>#NUM!</v>
      </c>
      <c r="AZ57" s="71" t="e">
        <f t="shared" si="195"/>
        <v>#NUM!</v>
      </c>
      <c r="BA57" s="71" t="e">
        <f t="shared" si="196"/>
        <v>#NUM!</v>
      </c>
      <c r="BB57" s="71" t="e">
        <f t="shared" si="197"/>
        <v>#NUM!</v>
      </c>
      <c r="BC57" s="71" t="e">
        <f t="shared" si="198"/>
        <v>#NUM!</v>
      </c>
      <c r="BD57" s="71" t="e">
        <f t="shared" si="199"/>
        <v>#NUM!</v>
      </c>
      <c r="BE57" s="71" t="e">
        <f t="shared" si="200"/>
        <v>#NUM!</v>
      </c>
      <c r="BF57" s="71" t="e">
        <f t="shared" si="201"/>
        <v>#NUM!</v>
      </c>
      <c r="BG57" s="71" t="e">
        <f t="shared" si="202"/>
        <v>#NUM!</v>
      </c>
      <c r="BH57" s="71" t="e">
        <f t="shared" si="203"/>
        <v>#NUM!</v>
      </c>
      <c r="BI57" s="71" t="e">
        <f t="shared" si="204"/>
        <v>#NUM!</v>
      </c>
      <c r="BJ57" s="71" t="e">
        <f t="shared" si="205"/>
        <v>#NUM!</v>
      </c>
      <c r="BK57" s="71" t="e">
        <f t="shared" si="206"/>
        <v>#NUM!</v>
      </c>
      <c r="BL57" s="71" t="e">
        <f t="shared" si="207"/>
        <v>#NUM!</v>
      </c>
      <c r="BM57" s="71" t="e">
        <f t="shared" si="208"/>
        <v>#NUM!</v>
      </c>
      <c r="BN57" s="71" t="e">
        <f t="shared" si="209"/>
        <v>#NUM!</v>
      </c>
      <c r="BO57" s="71" t="e">
        <f t="shared" si="210"/>
        <v>#NUM!</v>
      </c>
      <c r="BP57" s="71" t="e">
        <f t="shared" si="211"/>
        <v>#NUM!</v>
      </c>
      <c r="BQ57" s="71" t="e">
        <f t="shared" si="212"/>
        <v>#NUM!</v>
      </c>
      <c r="BR57" s="71" t="e">
        <f t="shared" si="213"/>
        <v>#NUM!</v>
      </c>
      <c r="BS57" s="71" t="e">
        <f t="shared" si="214"/>
        <v>#NUM!</v>
      </c>
      <c r="BT57" s="71" t="e">
        <f t="shared" si="215"/>
        <v>#NUM!</v>
      </c>
      <c r="BU57" s="71" t="e">
        <f t="shared" si="216"/>
        <v>#NUM!</v>
      </c>
      <c r="BV57" s="71" t="e">
        <f t="shared" si="217"/>
        <v>#NUM!</v>
      </c>
      <c r="BW57" s="71" t="e">
        <f t="shared" si="218"/>
        <v>#NUM!</v>
      </c>
      <c r="BX57" s="71" t="e">
        <f t="shared" si="219"/>
        <v>#NUM!</v>
      </c>
      <c r="BY57" s="71" t="e">
        <f t="shared" si="220"/>
        <v>#NUM!</v>
      </c>
      <c r="BZ57" s="71" t="e">
        <f t="shared" si="221"/>
        <v>#NUM!</v>
      </c>
      <c r="CA57" s="71" t="e">
        <f t="shared" si="222"/>
        <v>#NUM!</v>
      </c>
      <c r="CB57" s="71" t="e">
        <f t="shared" si="223"/>
        <v>#NUM!</v>
      </c>
      <c r="CC57" s="71" t="e">
        <f t="shared" si="224"/>
        <v>#NUM!</v>
      </c>
      <c r="CD57" s="71" t="e">
        <f t="shared" si="225"/>
        <v>#NUM!</v>
      </c>
      <c r="CE57" s="71" t="e">
        <f t="shared" si="226"/>
        <v>#NUM!</v>
      </c>
      <c r="CF57" s="71" t="e">
        <f t="shared" si="227"/>
        <v>#NUM!</v>
      </c>
      <c r="CG57" s="71" t="e">
        <f t="shared" si="228"/>
        <v>#NUM!</v>
      </c>
    </row>
    <row r="58" spans="1:85" x14ac:dyDescent="0.25">
      <c r="C58" s="49"/>
      <c r="E58" s="203"/>
      <c r="F58" s="150"/>
      <c r="G58" s="151"/>
      <c r="H58" s="48"/>
      <c r="I58" s="48"/>
      <c r="J58" s="48"/>
      <c r="K58" s="48"/>
      <c r="L58" s="48"/>
      <c r="M58" s="48"/>
      <c r="N58" s="48"/>
      <c r="O58" s="151"/>
      <c r="P58" s="151"/>
      <c r="Q58" s="151"/>
      <c r="R58" s="151"/>
      <c r="S58" s="15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7"/>
      <c r="AF58" s="71"/>
      <c r="AG58" s="71"/>
      <c r="AH58" s="237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</row>
    <row r="59" spans="1:85" x14ac:dyDescent="0.25">
      <c r="C59" s="49"/>
      <c r="E59" s="203"/>
      <c r="F59" s="150"/>
      <c r="G59" s="151"/>
      <c r="H59" s="48"/>
      <c r="I59" s="48"/>
      <c r="J59" s="48"/>
      <c r="K59" s="48"/>
      <c r="L59" s="48"/>
      <c r="M59" s="48"/>
      <c r="N59" s="48"/>
      <c r="O59" s="151"/>
      <c r="P59" s="151"/>
      <c r="Q59" s="151"/>
      <c r="R59" s="151"/>
      <c r="S59" s="15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7"/>
      <c r="AF59" s="71"/>
      <c r="AG59" s="71"/>
      <c r="AH59" s="237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</row>
    <row r="60" spans="1:85" x14ac:dyDescent="0.25">
      <c r="C60" s="49"/>
      <c r="E60" s="203"/>
      <c r="F60" s="150"/>
      <c r="G60" s="151"/>
      <c r="H60" s="48"/>
      <c r="I60" s="48"/>
      <c r="J60" s="48"/>
      <c r="K60" s="48"/>
      <c r="L60" s="48"/>
      <c r="M60" s="48"/>
      <c r="N60" s="48"/>
      <c r="O60" s="151"/>
      <c r="P60" s="151"/>
      <c r="Q60" s="151"/>
      <c r="R60" s="151"/>
      <c r="S60" s="15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7"/>
      <c r="AF60" s="71"/>
      <c r="AG60" s="71"/>
      <c r="AH60" s="237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</row>
  </sheetData>
  <mergeCells count="2">
    <mergeCell ref="A1:E1"/>
    <mergeCell ref="A35:E35"/>
  </mergeCells>
  <conditionalFormatting sqref="X37:X60 AE37:AE60 AP37:AP60 AW37:AW60 BC37:BC60 BH37:BH60">
    <cfRule type="cellIs" dxfId="35" priority="1" operator="greaterThan">
      <formula>12</formula>
    </cfRule>
  </conditionalFormatting>
  <conditionalFormatting sqref="G37:G60">
    <cfRule type="cellIs" dxfId="34" priority="2" operator="greaterThan">
      <formula>7</formula>
    </cfRule>
  </conditionalFormatting>
  <conditionalFormatting sqref="T37:W60 Y37:AD60 AF37:AF60 AH37:AJ60 AL37:AO60 AQ37:AV60 AX37:BA60 BD37:BG60 BI37:CG60">
    <cfRule type="cellIs" dxfId="33" priority="3" operator="greaterThan">
      <formula>12.5</formula>
    </cfRule>
  </conditionalFormatting>
  <conditionalFormatting sqref="Q37:R60">
    <cfRule type="cellIs" dxfId="32" priority="4" operator="greaterThan">
      <formula>0.6</formula>
    </cfRule>
  </conditionalFormatting>
  <conditionalFormatting sqref="O37:O60">
    <cfRule type="cellIs" dxfId="31" priority="5" operator="greaterThan">
      <formula>3.2</formula>
    </cfRule>
  </conditionalFormatting>
  <conditionalFormatting sqref="S37:S60">
    <cfRule type="cellIs" dxfId="30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9" priority="9" operator="greaterThan">
      <formula>12</formula>
    </cfRule>
  </conditionalFormatting>
  <conditionalFormatting sqref="J3:J26">
    <cfRule type="cellIs" dxfId="28" priority="10" operator="greaterThan">
      <formula>7</formula>
    </cfRule>
  </conditionalFormatting>
  <conditionalFormatting sqref="X3:AA26 AC3:AH26 AJ3:AJ26 AL3:AN26 AP3:AS26 AU3:AZ26 BB3:BE26 BH3:BK26 BM3:CK26">
    <cfRule type="cellIs" dxfId="27" priority="11" operator="greaterThan">
      <formula>12.5</formula>
    </cfRule>
  </conditionalFormatting>
  <conditionalFormatting sqref="T3:U26">
    <cfRule type="cellIs" dxfId="26" priority="12" operator="greaterThan">
      <formula>0.6</formula>
    </cfRule>
  </conditionalFormatting>
  <conditionalFormatting sqref="R3:R26">
    <cfRule type="cellIs" dxfId="25" priority="13" operator="greaterThan">
      <formula>3.2</formula>
    </cfRule>
  </conditionalFormatting>
  <conditionalFormatting sqref="V3:W26">
    <cfRule type="cellIs" dxfId="24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67" bestFit="1" customWidth="1"/>
    <col min="2" max="2" width="10.28515625" style="267" bestFit="1" customWidth="1"/>
    <col min="3" max="3" width="7" style="267" bestFit="1" customWidth="1"/>
    <col min="4" max="4" width="10" style="267" bestFit="1" customWidth="1"/>
    <col min="5" max="5" width="2.85546875" style="267" bestFit="1" customWidth="1"/>
    <col min="6" max="6" width="3.140625" style="267" bestFit="1" customWidth="1"/>
    <col min="7" max="7" width="3.42578125" style="267" bestFit="1" customWidth="1"/>
    <col min="8" max="8" width="4" style="267" bestFit="1" customWidth="1"/>
    <col min="9" max="9" width="4.140625" style="267" bestFit="1" customWidth="1"/>
    <col min="10" max="10" width="4.85546875" style="267" bestFit="1" customWidth="1"/>
    <col min="12" max="12" width="12.7109375" style="267" customWidth="1"/>
    <col min="13" max="13" width="15.140625" style="267" bestFit="1" customWidth="1"/>
    <col min="14" max="14" width="4.140625" style="267" bestFit="1" customWidth="1"/>
    <col min="15" max="15" width="5.28515625" style="267" bestFit="1" customWidth="1"/>
    <col min="17" max="17" width="15.140625" style="267" bestFit="1" customWidth="1"/>
    <col min="18" max="18" width="12.140625" style="267" bestFit="1" customWidth="1"/>
    <col min="19" max="19" width="13.28515625" style="267" bestFit="1" customWidth="1"/>
    <col min="20" max="20" width="14.7109375" style="267" bestFit="1" customWidth="1"/>
    <col min="21" max="21" width="12.5703125" style="267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67" bestFit="1" customWidth="1"/>
  </cols>
  <sheetData>
    <row r="1" spans="1:28" s="3" customFormat="1" x14ac:dyDescent="0.25">
      <c r="A1" s="2" t="s">
        <v>165</v>
      </c>
      <c r="B1" s="2" t="s">
        <v>469</v>
      </c>
      <c r="C1" s="2" t="s">
        <v>474</v>
      </c>
      <c r="D1" s="2" t="s">
        <v>470</v>
      </c>
      <c r="E1" s="2" t="s">
        <v>114</v>
      </c>
      <c r="F1" s="2" t="s">
        <v>16</v>
      </c>
      <c r="G1" s="2" t="s">
        <v>24</v>
      </c>
      <c r="H1" s="2" t="s">
        <v>471</v>
      </c>
      <c r="I1" s="2" t="s">
        <v>30</v>
      </c>
      <c r="J1" s="2" t="s">
        <v>21</v>
      </c>
      <c r="L1" s="2" t="s">
        <v>165</v>
      </c>
      <c r="M1" s="2" t="s">
        <v>84</v>
      </c>
      <c r="N1" s="2" t="s">
        <v>472</v>
      </c>
      <c r="O1" s="2" t="s">
        <v>473</v>
      </c>
      <c r="Q1" s="302" t="s">
        <v>474</v>
      </c>
      <c r="R1" s="288" t="s">
        <v>475</v>
      </c>
      <c r="S1" s="290" t="s">
        <v>484</v>
      </c>
      <c r="T1" s="267"/>
      <c r="U1" s="267"/>
      <c r="V1" s="288" t="s">
        <v>476</v>
      </c>
      <c r="W1" s="289" t="s">
        <v>477</v>
      </c>
      <c r="X1" s="289" t="s">
        <v>478</v>
      </c>
      <c r="Y1" s="289" t="s">
        <v>479</v>
      </c>
      <c r="Z1" s="290" t="s">
        <v>480</v>
      </c>
      <c r="AA1"/>
      <c r="AB1" s="2" t="s">
        <v>191</v>
      </c>
    </row>
    <row r="2" spans="1:28" x14ac:dyDescent="0.25">
      <c r="A2" s="287">
        <v>43969</v>
      </c>
      <c r="B2" s="267">
        <v>17480983</v>
      </c>
      <c r="C2" s="267">
        <v>13</v>
      </c>
      <c r="D2" s="267">
        <v>7</v>
      </c>
      <c r="E2" s="267">
        <v>2</v>
      </c>
      <c r="F2" s="267">
        <v>0</v>
      </c>
      <c r="G2" s="267">
        <v>1</v>
      </c>
      <c r="H2" s="267">
        <v>0</v>
      </c>
      <c r="I2" s="267">
        <v>0</v>
      </c>
      <c r="J2" s="267">
        <v>1</v>
      </c>
      <c r="L2" s="287">
        <v>43969</v>
      </c>
      <c r="M2" s="267" t="s">
        <v>143</v>
      </c>
      <c r="N2" s="267">
        <v>1</v>
      </c>
      <c r="O2" s="267">
        <v>0</v>
      </c>
      <c r="Q2" s="291">
        <v>12</v>
      </c>
      <c r="R2" s="292">
        <v>10</v>
      </c>
      <c r="S2" s="294">
        <v>0.3</v>
      </c>
      <c r="V2" s="299">
        <v>22</v>
      </c>
      <c r="W2" s="300">
        <v>16</v>
      </c>
      <c r="X2" s="300">
        <v>52</v>
      </c>
      <c r="Y2" s="300">
        <v>32</v>
      </c>
      <c r="Z2" s="301">
        <v>6</v>
      </c>
      <c r="AB2" s="267">
        <f>SUM(V2:Z2)</f>
        <v>128</v>
      </c>
    </row>
    <row r="3" spans="1:28" x14ac:dyDescent="0.25">
      <c r="A3" s="287">
        <v>43969</v>
      </c>
      <c r="B3" s="267">
        <v>17554252</v>
      </c>
      <c r="C3" s="267">
        <v>13</v>
      </c>
      <c r="D3" s="267">
        <v>7</v>
      </c>
      <c r="E3" s="267">
        <v>3</v>
      </c>
      <c r="F3" s="267">
        <v>1</v>
      </c>
      <c r="G3" s="267">
        <v>2</v>
      </c>
      <c r="H3" s="267">
        <v>0</v>
      </c>
      <c r="I3" s="267">
        <v>0</v>
      </c>
      <c r="J3" s="267">
        <v>0</v>
      </c>
      <c r="L3" s="287">
        <v>43969</v>
      </c>
      <c r="M3" s="267" t="s">
        <v>141</v>
      </c>
      <c r="N3" s="267">
        <v>1</v>
      </c>
      <c r="O3" s="267">
        <v>0</v>
      </c>
      <c r="Q3" s="295">
        <v>13</v>
      </c>
      <c r="R3" s="296">
        <v>87</v>
      </c>
      <c r="S3" s="298">
        <v>0.2413793103448276</v>
      </c>
      <c r="V3" s="303">
        <f>V2/$AB$2</f>
        <v>0.171875</v>
      </c>
      <c r="W3" s="303">
        <f t="shared" ref="W3:Z3" si="0">W2/$AB$2</f>
        <v>0.125</v>
      </c>
      <c r="X3" s="303">
        <f t="shared" si="0"/>
        <v>0.40625</v>
      </c>
      <c r="Y3" s="303">
        <f t="shared" si="0"/>
        <v>0.25</v>
      </c>
      <c r="Z3" s="303">
        <f t="shared" si="0"/>
        <v>4.6875E-2</v>
      </c>
    </row>
    <row r="4" spans="1:28" x14ac:dyDescent="0.25">
      <c r="A4" s="287">
        <v>43970</v>
      </c>
      <c r="B4" s="267">
        <v>17612232</v>
      </c>
      <c r="C4" s="267">
        <v>13</v>
      </c>
      <c r="D4" s="267">
        <v>5</v>
      </c>
      <c r="E4" s="267">
        <v>1</v>
      </c>
      <c r="F4" s="267">
        <v>0</v>
      </c>
      <c r="G4" s="267">
        <v>0</v>
      </c>
      <c r="H4" s="267">
        <v>1</v>
      </c>
      <c r="I4" s="267">
        <v>0</v>
      </c>
      <c r="J4" s="267">
        <v>0</v>
      </c>
      <c r="L4" s="287">
        <v>43969</v>
      </c>
      <c r="M4" s="267" t="s">
        <v>135</v>
      </c>
      <c r="N4" s="267">
        <v>0</v>
      </c>
      <c r="O4" s="267">
        <v>2</v>
      </c>
      <c r="Q4" s="295">
        <v>14</v>
      </c>
      <c r="R4" s="296">
        <v>55</v>
      </c>
      <c r="S4" s="298">
        <v>0.29090909090909089</v>
      </c>
    </row>
    <row r="5" spans="1:28" x14ac:dyDescent="0.25">
      <c r="A5" s="287">
        <v>43970</v>
      </c>
      <c r="B5" s="267">
        <v>17669494</v>
      </c>
      <c r="C5" s="267">
        <v>13</v>
      </c>
      <c r="D5" s="267">
        <v>9</v>
      </c>
      <c r="E5" s="267">
        <v>3</v>
      </c>
      <c r="F5" s="267">
        <v>0</v>
      </c>
      <c r="G5" s="267">
        <v>0</v>
      </c>
      <c r="H5" s="267">
        <v>3</v>
      </c>
      <c r="I5" s="267">
        <v>0</v>
      </c>
      <c r="J5" s="267">
        <v>0</v>
      </c>
      <c r="L5" s="287">
        <v>43969</v>
      </c>
      <c r="M5" s="267" t="s">
        <v>160</v>
      </c>
      <c r="N5" s="267">
        <v>0</v>
      </c>
      <c r="O5" s="267">
        <v>1</v>
      </c>
      <c r="Q5" s="295">
        <v>15</v>
      </c>
      <c r="R5" s="296">
        <v>131</v>
      </c>
      <c r="S5" s="298">
        <v>0.29007633587786258</v>
      </c>
    </row>
    <row r="6" spans="1:28" x14ac:dyDescent="0.25">
      <c r="A6" s="287">
        <v>43971</v>
      </c>
      <c r="B6" s="267">
        <v>17728262</v>
      </c>
      <c r="C6" s="267">
        <v>12</v>
      </c>
      <c r="D6" s="267">
        <v>5</v>
      </c>
      <c r="E6" s="267">
        <v>0</v>
      </c>
      <c r="F6" s="267">
        <v>0</v>
      </c>
      <c r="G6" s="267">
        <v>0</v>
      </c>
      <c r="H6" s="267">
        <v>0</v>
      </c>
      <c r="I6" s="267">
        <v>0</v>
      </c>
      <c r="J6" s="267">
        <v>0</v>
      </c>
      <c r="L6" s="287">
        <v>43970</v>
      </c>
      <c r="M6" s="267" t="s">
        <v>151</v>
      </c>
      <c r="N6" s="267">
        <v>1</v>
      </c>
      <c r="O6" s="267">
        <v>1</v>
      </c>
      <c r="Q6" s="295">
        <v>16</v>
      </c>
      <c r="R6" s="296">
        <v>88</v>
      </c>
      <c r="S6" s="298">
        <v>0.29545454545454547</v>
      </c>
    </row>
    <row r="7" spans="1:28" x14ac:dyDescent="0.25">
      <c r="A7" s="287">
        <v>43972</v>
      </c>
      <c r="B7" s="267">
        <v>17843216</v>
      </c>
      <c r="C7" s="267">
        <v>12</v>
      </c>
      <c r="D7" s="267">
        <v>5</v>
      </c>
      <c r="E7" s="267">
        <v>3</v>
      </c>
      <c r="F7" s="267">
        <v>1</v>
      </c>
      <c r="G7" s="267">
        <v>1</v>
      </c>
      <c r="H7" s="267">
        <v>0</v>
      </c>
      <c r="I7" s="267">
        <v>1</v>
      </c>
      <c r="J7" s="267">
        <v>0</v>
      </c>
      <c r="L7" s="287">
        <v>43970</v>
      </c>
      <c r="M7" s="267" t="s">
        <v>153</v>
      </c>
      <c r="N7" s="267">
        <v>1</v>
      </c>
      <c r="O7" s="267">
        <v>1</v>
      </c>
      <c r="Q7" s="295">
        <v>17</v>
      </c>
      <c r="R7" s="296">
        <v>14</v>
      </c>
      <c r="S7" s="298">
        <v>0.14285714285714285</v>
      </c>
    </row>
    <row r="8" spans="1:28" x14ac:dyDescent="0.25">
      <c r="A8" s="287">
        <v>43976</v>
      </c>
      <c r="B8" s="267">
        <v>17945337</v>
      </c>
      <c r="C8" s="267">
        <v>13</v>
      </c>
      <c r="D8" s="267">
        <v>3</v>
      </c>
      <c r="E8" s="267">
        <v>1</v>
      </c>
      <c r="F8" s="267">
        <v>0</v>
      </c>
      <c r="G8" s="267">
        <v>0</v>
      </c>
      <c r="H8" s="267">
        <v>1</v>
      </c>
      <c r="I8" s="267">
        <v>0</v>
      </c>
      <c r="J8" s="267">
        <v>0</v>
      </c>
      <c r="L8" s="287">
        <v>43972</v>
      </c>
      <c r="M8" s="267" t="s">
        <v>137</v>
      </c>
      <c r="N8" s="267">
        <v>1</v>
      </c>
      <c r="O8" s="267">
        <v>0</v>
      </c>
      <c r="Q8" s="295">
        <v>19</v>
      </c>
      <c r="R8" s="296">
        <v>84</v>
      </c>
      <c r="S8" s="298">
        <v>0.26190476190476192</v>
      </c>
    </row>
    <row r="9" spans="1:28" x14ac:dyDescent="0.25">
      <c r="A9" s="287">
        <v>43977</v>
      </c>
      <c r="B9" s="267">
        <v>18067489</v>
      </c>
      <c r="C9" s="267">
        <v>13</v>
      </c>
      <c r="D9" s="267">
        <v>4</v>
      </c>
      <c r="E9" s="267">
        <v>1</v>
      </c>
      <c r="F9" s="267">
        <v>0</v>
      </c>
      <c r="G9" s="267">
        <v>0</v>
      </c>
      <c r="H9" s="267">
        <v>0</v>
      </c>
      <c r="I9" s="267">
        <v>1</v>
      </c>
      <c r="J9" s="267">
        <v>0</v>
      </c>
      <c r="L9" s="287">
        <v>43972</v>
      </c>
      <c r="M9" s="267" t="s">
        <v>143</v>
      </c>
      <c r="N9" s="267">
        <v>0</v>
      </c>
      <c r="O9" s="267">
        <v>1</v>
      </c>
      <c r="Q9" s="304" t="s">
        <v>191</v>
      </c>
      <c r="R9" s="305">
        <v>469</v>
      </c>
      <c r="S9" s="307">
        <v>0.27292110874200426</v>
      </c>
    </row>
    <row r="10" spans="1:28" x14ac:dyDescent="0.25">
      <c r="A10" s="287">
        <v>43978</v>
      </c>
      <c r="B10" s="267">
        <v>18083815</v>
      </c>
      <c r="C10" s="267">
        <v>13</v>
      </c>
      <c r="D10" s="267">
        <v>9</v>
      </c>
      <c r="E10" s="267">
        <v>0</v>
      </c>
      <c r="F10" s="267">
        <v>0</v>
      </c>
      <c r="G10" s="267">
        <v>0</v>
      </c>
      <c r="H10" s="267">
        <v>0</v>
      </c>
      <c r="I10" s="267">
        <v>0</v>
      </c>
      <c r="J10" s="267">
        <v>0</v>
      </c>
      <c r="L10" s="287">
        <v>43972</v>
      </c>
      <c r="M10" s="267" t="s">
        <v>159</v>
      </c>
      <c r="N10" s="267">
        <v>0</v>
      </c>
      <c r="O10" s="267">
        <v>1</v>
      </c>
    </row>
    <row r="11" spans="1:28" x14ac:dyDescent="0.25">
      <c r="A11" s="287">
        <v>43978</v>
      </c>
      <c r="B11" s="267">
        <v>18102369</v>
      </c>
      <c r="C11" s="267">
        <v>13</v>
      </c>
      <c r="D11" s="267">
        <v>7</v>
      </c>
      <c r="E11" s="267">
        <v>1</v>
      </c>
      <c r="F11" s="267">
        <v>0</v>
      </c>
      <c r="G11" s="267">
        <v>0</v>
      </c>
      <c r="H11" s="267">
        <v>1</v>
      </c>
      <c r="I11" s="267">
        <v>0</v>
      </c>
      <c r="J11" s="267">
        <v>0</v>
      </c>
      <c r="L11" s="287">
        <v>43976</v>
      </c>
      <c r="M11" s="267" t="s">
        <v>151</v>
      </c>
      <c r="N11" s="267">
        <v>0</v>
      </c>
      <c r="O11" s="267">
        <v>1</v>
      </c>
    </row>
    <row r="12" spans="1:28" x14ac:dyDescent="0.25">
      <c r="A12" s="287">
        <v>43978</v>
      </c>
      <c r="B12" s="267">
        <v>18116746</v>
      </c>
      <c r="C12" s="267">
        <v>14</v>
      </c>
      <c r="D12" s="267">
        <v>10</v>
      </c>
      <c r="E12" s="267">
        <v>2</v>
      </c>
      <c r="F12" s="267">
        <v>0</v>
      </c>
      <c r="G12" s="267">
        <v>1</v>
      </c>
      <c r="H12" s="267">
        <v>0</v>
      </c>
      <c r="I12" s="267">
        <v>1</v>
      </c>
      <c r="J12" s="267">
        <v>0</v>
      </c>
      <c r="L12" s="287">
        <v>43977</v>
      </c>
      <c r="M12" s="267" t="s">
        <v>147</v>
      </c>
      <c r="N12" s="267">
        <v>0</v>
      </c>
      <c r="O12" s="267">
        <v>1</v>
      </c>
    </row>
    <row r="13" spans="1:28" x14ac:dyDescent="0.25">
      <c r="A13" s="287">
        <v>43979</v>
      </c>
      <c r="B13" s="267">
        <v>18200256</v>
      </c>
      <c r="C13" s="267">
        <v>14</v>
      </c>
      <c r="D13" s="267">
        <v>9</v>
      </c>
      <c r="E13" s="267">
        <v>2</v>
      </c>
      <c r="F13" s="267">
        <v>0</v>
      </c>
      <c r="G13" s="267">
        <v>0</v>
      </c>
      <c r="H13" s="267">
        <v>2</v>
      </c>
      <c r="I13" s="267">
        <v>0</v>
      </c>
      <c r="J13" s="267">
        <v>0</v>
      </c>
      <c r="L13" s="287">
        <v>43978</v>
      </c>
      <c r="M13" s="267" t="s">
        <v>143</v>
      </c>
      <c r="N13" s="267">
        <v>1</v>
      </c>
      <c r="O13" s="267">
        <v>0</v>
      </c>
    </row>
    <row r="14" spans="1:28" x14ac:dyDescent="0.25">
      <c r="A14" s="287">
        <v>43979</v>
      </c>
      <c r="B14" s="267">
        <v>18216545</v>
      </c>
      <c r="C14" s="267">
        <v>13</v>
      </c>
      <c r="D14" s="267">
        <v>9</v>
      </c>
      <c r="E14" s="267">
        <v>2</v>
      </c>
      <c r="F14" s="267">
        <v>0</v>
      </c>
      <c r="G14" s="267">
        <v>1</v>
      </c>
      <c r="H14" s="267">
        <v>1</v>
      </c>
      <c r="I14" s="267">
        <v>0</v>
      </c>
      <c r="J14" s="267">
        <v>0</v>
      </c>
      <c r="L14" s="287">
        <v>43978</v>
      </c>
      <c r="M14" s="267" t="s">
        <v>153</v>
      </c>
      <c r="N14" s="267">
        <v>1</v>
      </c>
      <c r="O14" s="267">
        <v>0</v>
      </c>
    </row>
    <row r="15" spans="1:28" x14ac:dyDescent="0.25">
      <c r="A15" s="287">
        <v>43979</v>
      </c>
      <c r="B15" s="267">
        <v>18286656</v>
      </c>
      <c r="C15" s="267">
        <v>13</v>
      </c>
      <c r="D15" s="267">
        <v>7</v>
      </c>
      <c r="E15" s="267">
        <v>2</v>
      </c>
      <c r="F15" s="267">
        <v>1</v>
      </c>
      <c r="G15" s="267">
        <v>0</v>
      </c>
      <c r="H15" s="267">
        <v>1</v>
      </c>
      <c r="I15" s="267">
        <v>0</v>
      </c>
      <c r="J15" s="267">
        <v>0</v>
      </c>
      <c r="L15" s="287">
        <v>43978</v>
      </c>
      <c r="M15" s="267" t="s">
        <v>159</v>
      </c>
      <c r="N15" s="267">
        <v>1</v>
      </c>
      <c r="O15" s="267">
        <v>0</v>
      </c>
      <c r="Q15" s="302" t="s">
        <v>84</v>
      </c>
      <c r="R15" s="288" t="s">
        <v>481</v>
      </c>
      <c r="S15" s="289" t="s">
        <v>482</v>
      </c>
      <c r="T15" s="290" t="s">
        <v>483</v>
      </c>
      <c r="V15" s="266" t="str">
        <f>PLANTILLA!D4</f>
        <v>D. Gehmacher</v>
      </c>
      <c r="W15" s="88">
        <f ca="1">PLANTILLA!AH4</f>
        <v>2.1192424867857871</v>
      </c>
    </row>
    <row r="16" spans="1:28" x14ac:dyDescent="0.25">
      <c r="A16" s="287">
        <v>43982</v>
      </c>
      <c r="B16" s="267">
        <v>18448080</v>
      </c>
      <c r="C16" s="267">
        <v>13</v>
      </c>
      <c r="D16" s="267">
        <v>8</v>
      </c>
      <c r="E16" s="267">
        <v>1</v>
      </c>
      <c r="F16" s="267">
        <v>0</v>
      </c>
      <c r="G16" s="267">
        <v>0</v>
      </c>
      <c r="H16" s="267">
        <v>0</v>
      </c>
      <c r="I16" s="267">
        <v>1</v>
      </c>
      <c r="J16" s="267">
        <v>0</v>
      </c>
      <c r="L16" s="287">
        <v>43979</v>
      </c>
      <c r="M16" s="267" t="s">
        <v>151</v>
      </c>
      <c r="N16" s="267">
        <v>1</v>
      </c>
      <c r="O16" s="267">
        <v>1</v>
      </c>
      <c r="Q16" s="291" t="s">
        <v>141</v>
      </c>
      <c r="R16" s="292">
        <v>4</v>
      </c>
      <c r="S16" s="293">
        <v>1</v>
      </c>
      <c r="T16" s="294">
        <v>0.8</v>
      </c>
      <c r="U16" s="151" t="e">
        <f>VLOOKUP(Q16,$V$15:$W$36,2,FALSE)</f>
        <v>#N/A</v>
      </c>
      <c r="V16" s="266" t="str">
        <f>PLANTILLA!D5</f>
        <v>L. Guangwei</v>
      </c>
      <c r="W16" s="88">
        <f ca="1">PLANTILLA!AH5</f>
        <v>17.393073607727001</v>
      </c>
    </row>
    <row r="17" spans="1:23" x14ac:dyDescent="0.25">
      <c r="A17" s="287">
        <v>43990</v>
      </c>
      <c r="B17" s="267">
        <v>662376951</v>
      </c>
      <c r="C17" s="267">
        <v>13</v>
      </c>
      <c r="D17" s="267">
        <v>8</v>
      </c>
      <c r="E17" s="267">
        <v>3</v>
      </c>
      <c r="F17" s="267">
        <v>0</v>
      </c>
      <c r="G17" s="267">
        <v>0</v>
      </c>
      <c r="H17" s="267">
        <v>2</v>
      </c>
      <c r="I17" s="267">
        <v>1</v>
      </c>
      <c r="J17" s="267">
        <v>0</v>
      </c>
      <c r="L17" s="287">
        <v>43979</v>
      </c>
      <c r="M17" s="267" t="s">
        <v>143</v>
      </c>
      <c r="N17" s="267">
        <v>0</v>
      </c>
      <c r="O17" s="267">
        <v>1</v>
      </c>
      <c r="Q17" s="295" t="s">
        <v>159</v>
      </c>
      <c r="R17" s="296">
        <v>3</v>
      </c>
      <c r="S17" s="297">
        <v>1</v>
      </c>
      <c r="T17" s="298">
        <v>0.75</v>
      </c>
      <c r="U17" s="151" t="e">
        <f t="shared" ref="U17:U32" si="1">VLOOKUP(Q17,$V$15:$W$36,2,FALSE)</f>
        <v>#N/A</v>
      </c>
      <c r="V17" s="266" t="e">
        <f>PLANTILLA!#REF!</f>
        <v>#REF!</v>
      </c>
      <c r="W17" s="88" t="e">
        <f>PLANTILLA!#REF!</f>
        <v>#REF!</v>
      </c>
    </row>
    <row r="18" spans="1:23" x14ac:dyDescent="0.25">
      <c r="A18" s="287">
        <v>43997</v>
      </c>
      <c r="B18" s="267">
        <v>662376954</v>
      </c>
      <c r="C18" s="267">
        <v>13</v>
      </c>
      <c r="D18" s="267">
        <v>4</v>
      </c>
      <c r="E18" s="267">
        <v>1</v>
      </c>
      <c r="F18" s="267">
        <v>0</v>
      </c>
      <c r="G18" s="267">
        <v>0</v>
      </c>
      <c r="H18" s="267">
        <v>0</v>
      </c>
      <c r="I18" s="267">
        <v>1</v>
      </c>
      <c r="J18" s="267">
        <v>0</v>
      </c>
      <c r="L18" s="287">
        <v>43979</v>
      </c>
      <c r="M18" s="267" t="s">
        <v>140</v>
      </c>
      <c r="N18" s="267">
        <v>0</v>
      </c>
      <c r="O18" s="267">
        <v>1</v>
      </c>
      <c r="Q18" s="295" t="s">
        <v>153</v>
      </c>
      <c r="R18" s="296">
        <v>9</v>
      </c>
      <c r="S18" s="297">
        <v>5</v>
      </c>
      <c r="T18" s="298">
        <v>0.6428571428571429</v>
      </c>
      <c r="U18" s="151">
        <f t="shared" ca="1" si="1"/>
        <v>20.037313173464838</v>
      </c>
      <c r="V18" s="266" t="str">
        <f>PLANTILLA!D6</f>
        <v>V. Gardner</v>
      </c>
      <c r="W18" s="88">
        <f ca="1">PLANTILLA!AH6</f>
        <v>18.418671032362493</v>
      </c>
    </row>
    <row r="19" spans="1:23" x14ac:dyDescent="0.25">
      <c r="A19" s="287">
        <v>44000</v>
      </c>
      <c r="B19" s="267">
        <v>662839612</v>
      </c>
      <c r="C19" s="267">
        <v>14</v>
      </c>
      <c r="D19" s="267">
        <v>3</v>
      </c>
      <c r="E19" s="267">
        <v>1</v>
      </c>
      <c r="F19" s="267">
        <v>0</v>
      </c>
      <c r="G19" s="267">
        <v>0</v>
      </c>
      <c r="H19" s="267">
        <v>0</v>
      </c>
      <c r="I19" s="267">
        <v>1</v>
      </c>
      <c r="J19" s="267">
        <v>0</v>
      </c>
      <c r="L19" s="287">
        <v>43979</v>
      </c>
      <c r="M19" s="267" t="s">
        <v>145</v>
      </c>
      <c r="N19" s="267">
        <v>1</v>
      </c>
      <c r="O19" s="267">
        <v>1</v>
      </c>
      <c r="Q19" s="295" t="s">
        <v>147</v>
      </c>
      <c r="R19" s="296">
        <v>7</v>
      </c>
      <c r="S19" s="297">
        <v>4</v>
      </c>
      <c r="T19" s="298">
        <v>0.63636363636363635</v>
      </c>
      <c r="U19" s="151">
        <f t="shared" ca="1" si="1"/>
        <v>22.656516345879968</v>
      </c>
      <c r="V19" s="266" t="e">
        <f>PLANTILLA!#REF!</f>
        <v>#REF!</v>
      </c>
      <c r="W19" s="88" t="e">
        <f>PLANTILLA!#REF!</f>
        <v>#REF!</v>
      </c>
    </row>
    <row r="20" spans="1:23" x14ac:dyDescent="0.25">
      <c r="A20" s="287">
        <v>44004</v>
      </c>
      <c r="B20" s="267">
        <v>662376959</v>
      </c>
      <c r="C20" s="267">
        <v>14</v>
      </c>
      <c r="D20" s="267">
        <v>10</v>
      </c>
      <c r="E20" s="267">
        <v>3</v>
      </c>
      <c r="F20" s="267">
        <v>0</v>
      </c>
      <c r="G20" s="267">
        <v>0</v>
      </c>
      <c r="H20" s="267">
        <v>1</v>
      </c>
      <c r="I20" s="267">
        <v>1</v>
      </c>
      <c r="J20" s="267">
        <v>1</v>
      </c>
      <c r="L20" s="287">
        <v>43982</v>
      </c>
      <c r="M20" s="267" t="s">
        <v>147</v>
      </c>
      <c r="N20" s="267">
        <v>1</v>
      </c>
      <c r="O20" s="267">
        <v>0</v>
      </c>
      <c r="Q20" s="295" t="s">
        <v>137</v>
      </c>
      <c r="R20" s="296">
        <v>3</v>
      </c>
      <c r="S20" s="297">
        <v>2</v>
      </c>
      <c r="T20" s="298">
        <v>0.6</v>
      </c>
      <c r="U20" s="151">
        <f t="shared" ca="1" si="1"/>
        <v>16.302161362602501</v>
      </c>
      <c r="V20" s="266" t="str">
        <f>PLANTILLA!D7</f>
        <v>S. Swärdborn</v>
      </c>
      <c r="W20" s="88">
        <f ca="1">PLANTILLA!AH7</f>
        <v>17.526528282339559</v>
      </c>
    </row>
    <row r="21" spans="1:23" x14ac:dyDescent="0.25">
      <c r="A21" s="287">
        <v>44005</v>
      </c>
      <c r="B21" s="267">
        <v>18799271</v>
      </c>
      <c r="C21" s="267">
        <v>15</v>
      </c>
      <c r="D21" s="267">
        <v>6</v>
      </c>
      <c r="E21" s="267">
        <v>1</v>
      </c>
      <c r="F21" s="267">
        <v>0</v>
      </c>
      <c r="G21" s="267">
        <v>0</v>
      </c>
      <c r="H21" s="267">
        <v>0</v>
      </c>
      <c r="I21" s="267">
        <v>0</v>
      </c>
      <c r="J21" s="267">
        <v>1</v>
      </c>
      <c r="L21" s="287">
        <v>43990</v>
      </c>
      <c r="M21" s="267" t="s">
        <v>158</v>
      </c>
      <c r="N21" s="267">
        <v>0</v>
      </c>
      <c r="O21" s="267">
        <v>1</v>
      </c>
      <c r="Q21" s="295" t="s">
        <v>143</v>
      </c>
      <c r="R21" s="296">
        <v>3</v>
      </c>
      <c r="S21" s="297">
        <v>2</v>
      </c>
      <c r="T21" s="298">
        <v>0.6</v>
      </c>
      <c r="U21" s="151">
        <f t="shared" ca="1" si="1"/>
        <v>18.455105161669593</v>
      </c>
      <c r="V21" s="266" t="str">
        <f>PLANTILLA!D8</f>
        <v>A. Grimaud</v>
      </c>
      <c r="W21" s="88">
        <f ca="1">PLANTILLA!AH8</f>
        <v>16.302161362602501</v>
      </c>
    </row>
    <row r="22" spans="1:23" x14ac:dyDescent="0.25">
      <c r="A22" s="287">
        <v>44007</v>
      </c>
      <c r="B22" s="267">
        <v>18799286</v>
      </c>
      <c r="C22" s="267">
        <v>14</v>
      </c>
      <c r="D22" s="267">
        <v>7</v>
      </c>
      <c r="E22" s="267">
        <v>3</v>
      </c>
      <c r="F22" s="267">
        <v>0</v>
      </c>
      <c r="G22" s="267">
        <v>0</v>
      </c>
      <c r="H22" s="267">
        <v>0</v>
      </c>
      <c r="I22" s="267">
        <v>3</v>
      </c>
      <c r="J22" s="267">
        <v>0</v>
      </c>
      <c r="L22" s="287">
        <v>43990</v>
      </c>
      <c r="M22" s="267" t="s">
        <v>153</v>
      </c>
      <c r="N22" s="267">
        <v>0</v>
      </c>
      <c r="O22" s="267">
        <v>1</v>
      </c>
      <c r="Q22" s="295" t="s">
        <v>158</v>
      </c>
      <c r="R22" s="296">
        <v>9</v>
      </c>
      <c r="S22" s="297">
        <v>7</v>
      </c>
      <c r="T22" s="298">
        <v>0.5625</v>
      </c>
      <c r="U22" s="151" t="e">
        <f t="shared" si="1"/>
        <v>#N/A</v>
      </c>
      <c r="V22" s="266" t="str">
        <f>PLANTILLA!D9</f>
        <v>E. Deus</v>
      </c>
      <c r="W22" s="88">
        <f ca="1">PLANTILLA!AH9</f>
        <v>18.455105161669593</v>
      </c>
    </row>
    <row r="23" spans="1:23" x14ac:dyDescent="0.25">
      <c r="A23" s="287">
        <v>44010</v>
      </c>
      <c r="B23" s="267">
        <v>18799288</v>
      </c>
      <c r="C23" s="267">
        <v>15</v>
      </c>
      <c r="D23" s="267">
        <v>6</v>
      </c>
      <c r="E23" s="267">
        <v>2</v>
      </c>
      <c r="F23" s="267">
        <v>1</v>
      </c>
      <c r="G23" s="267">
        <v>0</v>
      </c>
      <c r="H23" s="267">
        <v>1</v>
      </c>
      <c r="I23" s="267">
        <v>0</v>
      </c>
      <c r="J23" s="267">
        <v>0</v>
      </c>
      <c r="L23" s="287">
        <v>43990</v>
      </c>
      <c r="M23" s="267" t="s">
        <v>147</v>
      </c>
      <c r="N23" s="267">
        <v>0</v>
      </c>
      <c r="O23" s="267">
        <v>1</v>
      </c>
      <c r="Q23" s="295" t="s">
        <v>145</v>
      </c>
      <c r="R23" s="296">
        <v>5</v>
      </c>
      <c r="S23" s="297">
        <v>4</v>
      </c>
      <c r="T23" s="298">
        <v>0.55555555555555558</v>
      </c>
      <c r="U23" s="151">
        <f t="shared" ca="1" si="1"/>
        <v>21.695390875955312</v>
      </c>
      <c r="V23" s="266" t="str">
        <f>PLANTILLA!D15</f>
        <v>M.A. Balbinot</v>
      </c>
      <c r="W23" s="88">
        <f ca="1">PLANTILLA!AH15</f>
        <v>20.028948922769104</v>
      </c>
    </row>
    <row r="24" spans="1:23" x14ac:dyDescent="0.25">
      <c r="A24" s="287">
        <v>44011</v>
      </c>
      <c r="B24" s="267">
        <v>662376963</v>
      </c>
      <c r="C24" s="267">
        <v>15</v>
      </c>
      <c r="D24" s="267">
        <v>4</v>
      </c>
      <c r="E24" s="267">
        <v>0</v>
      </c>
      <c r="F24" s="267">
        <v>0</v>
      </c>
      <c r="G24" s="267">
        <v>0</v>
      </c>
      <c r="H24" s="267">
        <v>0</v>
      </c>
      <c r="I24" s="267">
        <v>0</v>
      </c>
      <c r="J24" s="267">
        <v>0</v>
      </c>
      <c r="L24" s="287">
        <v>43997</v>
      </c>
      <c r="M24" s="267" t="s">
        <v>145</v>
      </c>
      <c r="N24" s="267">
        <v>1</v>
      </c>
      <c r="O24" s="267">
        <v>0</v>
      </c>
      <c r="Q24" s="295" t="s">
        <v>151</v>
      </c>
      <c r="R24" s="296">
        <v>12</v>
      </c>
      <c r="S24" s="297">
        <v>10</v>
      </c>
      <c r="T24" s="298">
        <v>0.54545454545454541</v>
      </c>
      <c r="U24" s="151">
        <f t="shared" ca="1" si="1"/>
        <v>20.111149786477327</v>
      </c>
      <c r="V24" s="266" t="str">
        <f>PLANTILLA!D14</f>
        <v>P. Tuderek</v>
      </c>
      <c r="W24" s="88">
        <f ca="1">PLANTILLA!AH14</f>
        <v>20.037313173464838</v>
      </c>
    </row>
    <row r="25" spans="1:23" x14ac:dyDescent="0.25">
      <c r="A25" s="287">
        <v>44012</v>
      </c>
      <c r="B25" s="267">
        <v>18799301</v>
      </c>
      <c r="C25" s="267">
        <v>15</v>
      </c>
      <c r="D25" s="267">
        <v>7</v>
      </c>
      <c r="E25" s="267">
        <v>3</v>
      </c>
      <c r="F25" s="267">
        <v>0</v>
      </c>
      <c r="G25" s="267">
        <v>0</v>
      </c>
      <c r="H25" s="267">
        <v>3</v>
      </c>
      <c r="I25" s="267">
        <v>0</v>
      </c>
      <c r="J25" s="267">
        <v>0</v>
      </c>
      <c r="L25" s="287">
        <v>44000</v>
      </c>
      <c r="M25" s="267" t="s">
        <v>151</v>
      </c>
      <c r="N25" s="267">
        <v>0</v>
      </c>
      <c r="O25" s="267">
        <v>1</v>
      </c>
      <c r="Q25" s="295" t="s">
        <v>149</v>
      </c>
      <c r="R25" s="296">
        <v>4</v>
      </c>
      <c r="S25" s="297">
        <v>4</v>
      </c>
      <c r="T25" s="298">
        <v>0.5</v>
      </c>
      <c r="U25" s="151">
        <f t="shared" ca="1" si="1"/>
        <v>17.521173087131075</v>
      </c>
      <c r="V25" s="266" t="str">
        <f>PLANTILLA!D12</f>
        <v>R. Forsyth</v>
      </c>
      <c r="W25" s="88">
        <f ca="1">PLANTILLA!AH12</f>
        <v>18.814362931823879</v>
      </c>
    </row>
    <row r="26" spans="1:23" x14ac:dyDescent="0.25">
      <c r="A26" s="287">
        <v>44014</v>
      </c>
      <c r="B26" s="267">
        <v>663085087</v>
      </c>
      <c r="C26" s="267">
        <v>15</v>
      </c>
      <c r="D26" s="267">
        <v>10</v>
      </c>
      <c r="E26" s="267">
        <v>4</v>
      </c>
      <c r="F26" s="267">
        <v>1</v>
      </c>
      <c r="G26" s="267">
        <v>2</v>
      </c>
      <c r="H26" s="267">
        <v>1</v>
      </c>
      <c r="I26" s="267">
        <v>0</v>
      </c>
      <c r="J26" s="267">
        <v>0</v>
      </c>
      <c r="L26" s="287">
        <v>44004</v>
      </c>
      <c r="M26" s="267" t="s">
        <v>155</v>
      </c>
      <c r="N26" s="267">
        <v>1</v>
      </c>
      <c r="O26" s="267">
        <v>0</v>
      </c>
      <c r="Q26" s="295" t="s">
        <v>133</v>
      </c>
      <c r="R26" s="296">
        <v>3</v>
      </c>
      <c r="S26" s="297">
        <v>3</v>
      </c>
      <c r="T26" s="298">
        <v>0.5</v>
      </c>
      <c r="U26" s="151" t="e">
        <f t="shared" si="1"/>
        <v>#N/A</v>
      </c>
      <c r="V26" s="266" t="str">
        <f>PLANTILLA!D13</f>
        <v>Dusty Ware</v>
      </c>
      <c r="W26" s="88">
        <f ca="1">PLANTILLA!AH13</f>
        <v>22.534166666666664</v>
      </c>
    </row>
    <row r="27" spans="1:23" x14ac:dyDescent="0.25">
      <c r="A27" s="287">
        <v>44014</v>
      </c>
      <c r="B27" s="267">
        <v>18799305</v>
      </c>
      <c r="C27" s="267">
        <v>14</v>
      </c>
      <c r="D27" s="267">
        <v>8</v>
      </c>
      <c r="E27" s="267">
        <v>2</v>
      </c>
      <c r="F27" s="267">
        <v>0</v>
      </c>
      <c r="G27" s="267">
        <v>0</v>
      </c>
      <c r="H27" s="267">
        <v>0</v>
      </c>
      <c r="I27" s="267">
        <v>1</v>
      </c>
      <c r="J27" s="267">
        <v>1</v>
      </c>
      <c r="L27" s="287">
        <v>44004</v>
      </c>
      <c r="M27" s="267" t="s">
        <v>159</v>
      </c>
      <c r="N27" s="267">
        <v>1</v>
      </c>
      <c r="O27" s="267">
        <v>0</v>
      </c>
      <c r="Q27" s="295" t="s">
        <v>155</v>
      </c>
      <c r="R27" s="296">
        <v>2</v>
      </c>
      <c r="S27" s="297">
        <v>2</v>
      </c>
      <c r="T27" s="298">
        <v>0.5</v>
      </c>
      <c r="U27" s="151">
        <f t="shared" ca="1" si="1"/>
        <v>18.814362931823879</v>
      </c>
      <c r="V27" s="266" t="str">
        <f>PLANTILLA!D11</f>
        <v>S. Kariuki</v>
      </c>
      <c r="W27" s="88">
        <f ca="1">PLANTILLA!AH11</f>
        <v>15.441195981795973</v>
      </c>
    </row>
    <row r="28" spans="1:23" x14ac:dyDescent="0.25">
      <c r="A28" s="287">
        <v>44017</v>
      </c>
      <c r="B28" s="267">
        <v>18799314</v>
      </c>
      <c r="C28" s="267">
        <v>15</v>
      </c>
      <c r="D28" s="267">
        <v>5</v>
      </c>
      <c r="E28" s="267">
        <v>1</v>
      </c>
      <c r="F28" s="267">
        <v>0</v>
      </c>
      <c r="G28" s="267">
        <v>0</v>
      </c>
      <c r="H28" s="267">
        <v>1</v>
      </c>
      <c r="I28" s="267">
        <v>0</v>
      </c>
      <c r="J28" s="267">
        <v>0</v>
      </c>
      <c r="L28" s="287">
        <v>44004</v>
      </c>
      <c r="M28" s="267" t="s">
        <v>145</v>
      </c>
      <c r="N28" s="267">
        <v>0</v>
      </c>
      <c r="O28" s="267">
        <v>1</v>
      </c>
      <c r="Q28" s="295" t="s">
        <v>135</v>
      </c>
      <c r="R28" s="296">
        <v>2</v>
      </c>
      <c r="S28" s="297">
        <v>3</v>
      </c>
      <c r="T28" s="298">
        <v>0.4</v>
      </c>
      <c r="U28" s="151">
        <f t="shared" ca="1" si="1"/>
        <v>17.526528282339559</v>
      </c>
      <c r="V28" s="266" t="str">
        <f>PLANTILLA!D10</f>
        <v>K. Polyukhov</v>
      </c>
      <c r="W28" s="88">
        <f ca="1">PLANTILLA!AH10</f>
        <v>18.999841153609832</v>
      </c>
    </row>
    <row r="29" spans="1:23" x14ac:dyDescent="0.25">
      <c r="A29" s="287">
        <v>44018</v>
      </c>
      <c r="B29" s="267">
        <v>662376969</v>
      </c>
      <c r="C29" s="267">
        <v>15</v>
      </c>
      <c r="D29" s="267">
        <v>8</v>
      </c>
      <c r="E29" s="267">
        <v>1</v>
      </c>
      <c r="F29" s="267">
        <v>0</v>
      </c>
      <c r="G29" s="267">
        <v>0</v>
      </c>
      <c r="H29" s="267">
        <v>0</v>
      </c>
      <c r="I29" s="267">
        <v>1</v>
      </c>
      <c r="J29" s="267">
        <v>0</v>
      </c>
      <c r="L29" s="287">
        <v>44005</v>
      </c>
      <c r="M29" s="267" t="s">
        <v>131</v>
      </c>
      <c r="N29" s="267">
        <v>0</v>
      </c>
      <c r="O29" s="267">
        <v>1</v>
      </c>
      <c r="Q29" s="295" t="s">
        <v>140</v>
      </c>
      <c r="R29" s="296">
        <v>3</v>
      </c>
      <c r="S29" s="297">
        <v>7</v>
      </c>
      <c r="T29" s="298">
        <v>0.3</v>
      </c>
      <c r="U29" s="151">
        <f t="shared" ca="1" si="1"/>
        <v>18.418671032362493</v>
      </c>
      <c r="V29" s="266" t="str">
        <f>PLANTILLA!D16</f>
        <v>I. Vanags</v>
      </c>
      <c r="W29" s="88">
        <f ca="1">PLANTILLA!AH16</f>
        <v>21.695390875955312</v>
      </c>
    </row>
    <row r="30" spans="1:23" x14ac:dyDescent="0.25">
      <c r="A30" s="287">
        <v>44019</v>
      </c>
      <c r="B30" s="267">
        <v>18799322</v>
      </c>
      <c r="C30" s="267">
        <v>15</v>
      </c>
      <c r="D30" s="267">
        <v>10</v>
      </c>
      <c r="E30" s="267">
        <v>3</v>
      </c>
      <c r="F30" s="267">
        <v>1</v>
      </c>
      <c r="G30" s="267">
        <v>0</v>
      </c>
      <c r="H30" s="267">
        <v>1</v>
      </c>
      <c r="I30" s="267">
        <v>1</v>
      </c>
      <c r="J30" s="267">
        <v>0</v>
      </c>
      <c r="L30" s="287">
        <v>44007</v>
      </c>
      <c r="M30" s="267" t="s">
        <v>151</v>
      </c>
      <c r="N30" s="267">
        <v>2</v>
      </c>
      <c r="O30" s="267">
        <v>0</v>
      </c>
      <c r="Q30" s="295" t="s">
        <v>131</v>
      </c>
      <c r="R30" s="296">
        <v>0</v>
      </c>
      <c r="S30" s="297">
        <v>1</v>
      </c>
      <c r="T30" s="298">
        <v>0</v>
      </c>
      <c r="U30" s="151" t="e">
        <f t="shared" si="1"/>
        <v>#N/A</v>
      </c>
      <c r="V30" s="266" t="str">
        <f>PLANTILLA!D17</f>
        <v>I. Stone</v>
      </c>
      <c r="W30" s="88">
        <f ca="1">PLANTILLA!AH17</f>
        <v>22.656516345879968</v>
      </c>
    </row>
    <row r="31" spans="1:23" x14ac:dyDescent="0.25">
      <c r="A31" s="287">
        <v>44021</v>
      </c>
      <c r="B31" s="267">
        <v>663163558</v>
      </c>
      <c r="C31" s="267">
        <v>14</v>
      </c>
      <c r="D31" s="267">
        <v>8</v>
      </c>
      <c r="E31" s="267">
        <v>3</v>
      </c>
      <c r="F31" s="267">
        <v>1</v>
      </c>
      <c r="G31" s="267">
        <v>1</v>
      </c>
      <c r="H31" s="267">
        <v>1</v>
      </c>
      <c r="I31" s="267">
        <v>0</v>
      </c>
      <c r="J31" s="267">
        <v>0</v>
      </c>
      <c r="L31" s="287">
        <v>44007</v>
      </c>
      <c r="M31" s="267" t="s">
        <v>153</v>
      </c>
      <c r="N31" s="267">
        <v>1</v>
      </c>
      <c r="O31" s="267">
        <v>0</v>
      </c>
      <c r="Q31" s="295" t="s">
        <v>534</v>
      </c>
      <c r="R31" s="296">
        <v>0</v>
      </c>
      <c r="S31" s="297">
        <v>2</v>
      </c>
      <c r="T31" s="298">
        <v>0</v>
      </c>
      <c r="U31" s="151" t="e">
        <f t="shared" si="1"/>
        <v>#N/A</v>
      </c>
      <c r="V31" s="266" t="str">
        <f>PLANTILLA!D18</f>
        <v>G. Piscaer</v>
      </c>
      <c r="W31" s="88">
        <f ca="1">PLANTILLA!AH18</f>
        <v>17.521173087131075</v>
      </c>
    </row>
    <row r="32" spans="1:23" x14ac:dyDescent="0.25">
      <c r="A32" s="287">
        <v>44021</v>
      </c>
      <c r="B32" s="267">
        <v>18799331</v>
      </c>
      <c r="C32" s="267">
        <v>15</v>
      </c>
      <c r="D32" s="267">
        <v>10</v>
      </c>
      <c r="E32" s="267">
        <v>3</v>
      </c>
      <c r="F32" s="267">
        <v>1</v>
      </c>
      <c r="G32" s="267">
        <v>0</v>
      </c>
      <c r="H32" s="267">
        <v>1</v>
      </c>
      <c r="I32" s="267">
        <v>0</v>
      </c>
      <c r="J32" s="267">
        <v>1</v>
      </c>
      <c r="L32" s="287">
        <v>44010</v>
      </c>
      <c r="M32" s="267" t="s">
        <v>137</v>
      </c>
      <c r="N32" s="267">
        <v>1</v>
      </c>
      <c r="O32" s="267">
        <v>0</v>
      </c>
      <c r="Q32" s="295" t="s">
        <v>160</v>
      </c>
      <c r="R32" s="296">
        <v>0</v>
      </c>
      <c r="S32" s="297">
        <v>1</v>
      </c>
      <c r="T32" s="298">
        <v>0</v>
      </c>
      <c r="U32" s="151" t="e">
        <f t="shared" si="1"/>
        <v>#N/A</v>
      </c>
      <c r="V32" s="266" t="str">
        <f>PLANTILLA!D19</f>
        <v>M. Bondarewski</v>
      </c>
      <c r="W32" s="88">
        <f ca="1">PLANTILLA!AH19</f>
        <v>20.111149786477327</v>
      </c>
    </row>
    <row r="33" spans="1:23" x14ac:dyDescent="0.25">
      <c r="A33" s="287">
        <v>44024</v>
      </c>
      <c r="B33" s="267">
        <v>18799339</v>
      </c>
      <c r="C33" s="267">
        <v>15</v>
      </c>
      <c r="D33" s="267">
        <v>10</v>
      </c>
      <c r="E33" s="267">
        <v>2</v>
      </c>
      <c r="F33" s="267">
        <v>1</v>
      </c>
      <c r="G33" s="267">
        <v>0</v>
      </c>
      <c r="H33" s="267">
        <v>0</v>
      </c>
      <c r="I33" s="267">
        <v>1</v>
      </c>
      <c r="J33" s="267">
        <v>0</v>
      </c>
      <c r="L33" s="287">
        <v>44010</v>
      </c>
      <c r="M33" s="267" t="s">
        <v>151</v>
      </c>
      <c r="N33" s="267">
        <v>1</v>
      </c>
      <c r="O33" s="267">
        <v>0</v>
      </c>
      <c r="Q33" s="304" t="s">
        <v>191</v>
      </c>
      <c r="R33" s="305">
        <v>69</v>
      </c>
      <c r="S33" s="306">
        <v>59</v>
      </c>
      <c r="T33" s="307">
        <v>0.5390625</v>
      </c>
      <c r="V33" s="266">
        <f>PLANTILLA!D20</f>
        <v>0</v>
      </c>
      <c r="W33" s="88">
        <f>PLANTILLA!AH20</f>
        <v>0</v>
      </c>
    </row>
    <row r="34" spans="1:23" x14ac:dyDescent="0.25">
      <c r="A34" s="287">
        <v>44025</v>
      </c>
      <c r="B34" s="267">
        <v>662376971</v>
      </c>
      <c r="C34" s="267">
        <v>15</v>
      </c>
      <c r="D34" s="267">
        <v>7</v>
      </c>
      <c r="E34" s="267">
        <v>4</v>
      </c>
      <c r="F34" s="267">
        <v>0</v>
      </c>
      <c r="G34" s="267">
        <v>0</v>
      </c>
      <c r="H34" s="267">
        <v>2</v>
      </c>
      <c r="I34" s="267">
        <v>2</v>
      </c>
      <c r="J34" s="267">
        <v>0</v>
      </c>
      <c r="L34" s="287">
        <v>44012</v>
      </c>
      <c r="M34" s="267" t="s">
        <v>151</v>
      </c>
      <c r="N34" s="267">
        <v>1</v>
      </c>
      <c r="O34" s="267">
        <v>0</v>
      </c>
      <c r="V34" s="266">
        <f>PLANTILLA!D21</f>
        <v>0</v>
      </c>
      <c r="W34" s="88">
        <f>PLANTILLA!AH21</f>
        <v>0</v>
      </c>
    </row>
    <row r="35" spans="1:23" x14ac:dyDescent="0.25">
      <c r="A35" s="287">
        <v>44026</v>
      </c>
      <c r="B35" s="267">
        <v>18799345</v>
      </c>
      <c r="C35" s="267">
        <v>15</v>
      </c>
      <c r="D35" s="267">
        <v>10</v>
      </c>
      <c r="E35" s="267">
        <v>2</v>
      </c>
      <c r="F35" s="267">
        <v>1</v>
      </c>
      <c r="G35" s="267">
        <v>0</v>
      </c>
      <c r="H35" s="267">
        <v>0</v>
      </c>
      <c r="I35" s="267">
        <v>1</v>
      </c>
      <c r="J35" s="267">
        <v>0</v>
      </c>
      <c r="L35" s="287">
        <v>44012</v>
      </c>
      <c r="M35" s="267" t="s">
        <v>158</v>
      </c>
      <c r="N35" s="267">
        <v>1</v>
      </c>
      <c r="O35" s="267">
        <v>0</v>
      </c>
      <c r="V35" s="266">
        <f>PLANTILLA!D22</f>
        <v>0</v>
      </c>
      <c r="W35" s="88">
        <f>PLANTILLA!AH22</f>
        <v>0</v>
      </c>
    </row>
    <row r="36" spans="1:23" x14ac:dyDescent="0.25">
      <c r="A36" s="287">
        <v>44028</v>
      </c>
      <c r="B36" s="267">
        <v>663238565</v>
      </c>
      <c r="C36" s="267">
        <v>15</v>
      </c>
      <c r="D36" s="267">
        <v>9</v>
      </c>
      <c r="E36" s="267">
        <v>3</v>
      </c>
      <c r="F36" s="267">
        <v>0</v>
      </c>
      <c r="G36" s="267">
        <v>1</v>
      </c>
      <c r="H36" s="267">
        <v>1</v>
      </c>
      <c r="I36" s="267">
        <v>1</v>
      </c>
      <c r="J36" s="267">
        <v>0</v>
      </c>
      <c r="L36" s="287">
        <v>44012</v>
      </c>
      <c r="M36" s="267" t="s">
        <v>145</v>
      </c>
      <c r="N36" s="267">
        <v>0</v>
      </c>
      <c r="O36" s="267">
        <v>1</v>
      </c>
      <c r="V36" s="266">
        <f>PLANTILLA!D23</f>
        <v>0</v>
      </c>
      <c r="W36" s="88">
        <f>PLANTILLA!AH23</f>
        <v>0</v>
      </c>
    </row>
    <row r="37" spans="1:23" x14ac:dyDescent="0.25">
      <c r="A37" s="287">
        <v>44028</v>
      </c>
      <c r="B37" s="267">
        <v>18799355</v>
      </c>
      <c r="C37" s="267">
        <v>16</v>
      </c>
      <c r="D37" s="267">
        <v>10</v>
      </c>
      <c r="E37" s="267">
        <v>2</v>
      </c>
      <c r="F37" s="267">
        <v>0</v>
      </c>
      <c r="G37" s="267">
        <v>0</v>
      </c>
      <c r="H37" s="267">
        <v>2</v>
      </c>
      <c r="I37" s="267">
        <v>0</v>
      </c>
      <c r="J37" s="267">
        <v>0</v>
      </c>
      <c r="L37" s="287">
        <v>44014</v>
      </c>
      <c r="M37" s="267" t="s">
        <v>143</v>
      </c>
      <c r="N37" s="267">
        <v>1</v>
      </c>
      <c r="O37" s="267">
        <v>0</v>
      </c>
    </row>
    <row r="38" spans="1:23" x14ac:dyDescent="0.25">
      <c r="A38" s="287">
        <v>44031</v>
      </c>
      <c r="B38" s="267">
        <v>18799359</v>
      </c>
      <c r="C38" s="267">
        <v>15</v>
      </c>
      <c r="D38" s="267">
        <v>7</v>
      </c>
      <c r="E38" s="267">
        <v>2</v>
      </c>
      <c r="F38" s="267">
        <v>2</v>
      </c>
      <c r="G38" s="267">
        <v>0</v>
      </c>
      <c r="H38" s="267">
        <v>0</v>
      </c>
      <c r="I38" s="267">
        <v>0</v>
      </c>
      <c r="J38" s="267">
        <v>0</v>
      </c>
      <c r="L38" s="287">
        <v>44014</v>
      </c>
      <c r="M38" s="267" t="s">
        <v>140</v>
      </c>
      <c r="N38" s="267">
        <v>0</v>
      </c>
      <c r="O38" s="267">
        <v>1</v>
      </c>
    </row>
    <row r="39" spans="1:23" x14ac:dyDescent="0.25">
      <c r="A39" s="287">
        <v>44033</v>
      </c>
      <c r="B39" s="267">
        <v>18799373</v>
      </c>
      <c r="C39" s="267">
        <v>15</v>
      </c>
      <c r="D39" s="267">
        <v>10</v>
      </c>
      <c r="E39" s="267">
        <v>4</v>
      </c>
      <c r="F39" s="267">
        <v>2</v>
      </c>
      <c r="G39" s="267">
        <v>1</v>
      </c>
      <c r="H39" s="267">
        <v>0</v>
      </c>
      <c r="I39" s="267">
        <v>1</v>
      </c>
      <c r="J39" s="267">
        <v>0</v>
      </c>
      <c r="L39" s="287">
        <v>44014</v>
      </c>
      <c r="M39" s="267" t="s">
        <v>158</v>
      </c>
      <c r="N39" s="267">
        <v>0</v>
      </c>
      <c r="O39" s="267">
        <v>1</v>
      </c>
    </row>
    <row r="40" spans="1:23" x14ac:dyDescent="0.25">
      <c r="A40" s="287">
        <v>44035</v>
      </c>
      <c r="B40" s="267">
        <v>663312307</v>
      </c>
      <c r="C40" s="267">
        <v>15</v>
      </c>
      <c r="D40" s="267">
        <v>7</v>
      </c>
      <c r="E40" s="267">
        <v>2</v>
      </c>
      <c r="F40" s="267">
        <v>0</v>
      </c>
      <c r="G40" s="267">
        <v>0</v>
      </c>
      <c r="H40" s="267">
        <v>1</v>
      </c>
      <c r="I40" s="267">
        <v>1</v>
      </c>
      <c r="J40" s="267">
        <v>0</v>
      </c>
      <c r="L40" s="287">
        <v>44014</v>
      </c>
      <c r="M40" s="267" t="s">
        <v>159</v>
      </c>
      <c r="N40" s="267">
        <v>1</v>
      </c>
      <c r="O40" s="267">
        <v>0</v>
      </c>
    </row>
    <row r="41" spans="1:23" x14ac:dyDescent="0.25">
      <c r="A41" s="287">
        <v>44035</v>
      </c>
      <c r="B41" s="267">
        <v>18799375</v>
      </c>
      <c r="C41" s="267">
        <v>16</v>
      </c>
      <c r="D41" s="267">
        <v>6</v>
      </c>
      <c r="E41" s="267">
        <v>1</v>
      </c>
      <c r="F41" s="267">
        <v>0</v>
      </c>
      <c r="G41" s="267">
        <v>0</v>
      </c>
      <c r="H41" s="267">
        <v>0</v>
      </c>
      <c r="I41" s="267">
        <v>0</v>
      </c>
      <c r="J41" s="267">
        <v>1</v>
      </c>
      <c r="L41" s="287">
        <v>44014</v>
      </c>
      <c r="M41" s="267" t="s">
        <v>135</v>
      </c>
      <c r="N41" s="267">
        <v>1</v>
      </c>
      <c r="O41" s="267">
        <v>0</v>
      </c>
    </row>
    <row r="42" spans="1:23" x14ac:dyDescent="0.25">
      <c r="A42" s="287">
        <v>44038</v>
      </c>
      <c r="B42" s="267">
        <v>18799390</v>
      </c>
      <c r="C42" s="267">
        <v>16</v>
      </c>
      <c r="D42" s="267">
        <v>7</v>
      </c>
      <c r="E42" s="267">
        <v>2</v>
      </c>
      <c r="F42" s="267">
        <v>1</v>
      </c>
      <c r="G42" s="267">
        <v>0</v>
      </c>
      <c r="H42" s="267">
        <v>1</v>
      </c>
      <c r="I42" s="267">
        <v>0</v>
      </c>
      <c r="J42" s="267">
        <v>0</v>
      </c>
      <c r="L42" s="287">
        <v>44014</v>
      </c>
      <c r="M42" s="267" t="s">
        <v>145</v>
      </c>
      <c r="N42" s="267">
        <v>0</v>
      </c>
      <c r="O42" s="267">
        <v>1</v>
      </c>
    </row>
    <row r="43" spans="1:23" x14ac:dyDescent="0.25">
      <c r="A43" s="287">
        <v>44040</v>
      </c>
      <c r="B43" s="267">
        <v>18799400</v>
      </c>
      <c r="C43" s="267">
        <v>15</v>
      </c>
      <c r="D43" s="267">
        <v>5</v>
      </c>
      <c r="E43" s="267">
        <v>1</v>
      </c>
      <c r="F43" s="267">
        <v>0</v>
      </c>
      <c r="G43" s="267">
        <v>1</v>
      </c>
      <c r="H43" s="267">
        <v>0</v>
      </c>
      <c r="I43" s="267">
        <v>0</v>
      </c>
      <c r="J43" s="267">
        <v>0</v>
      </c>
      <c r="L43" s="287">
        <v>44017</v>
      </c>
      <c r="M43" s="267" t="s">
        <v>155</v>
      </c>
      <c r="N43" s="267">
        <v>0</v>
      </c>
      <c r="O43" s="267">
        <v>1</v>
      </c>
    </row>
    <row r="44" spans="1:23" x14ac:dyDescent="0.25">
      <c r="A44" s="287">
        <v>44042</v>
      </c>
      <c r="B44" s="267">
        <v>663388126</v>
      </c>
      <c r="C44" s="267">
        <v>16</v>
      </c>
      <c r="D44" s="267">
        <v>8</v>
      </c>
      <c r="E44" s="267">
        <v>2</v>
      </c>
      <c r="F44" s="267">
        <v>0</v>
      </c>
      <c r="G44" s="267">
        <v>0</v>
      </c>
      <c r="H44" s="267">
        <v>2</v>
      </c>
      <c r="I44" s="267">
        <v>0</v>
      </c>
      <c r="J44" s="267">
        <v>0</v>
      </c>
      <c r="L44" s="287">
        <v>44018</v>
      </c>
      <c r="M44" s="267" t="s">
        <v>158</v>
      </c>
      <c r="N44" s="267">
        <v>1</v>
      </c>
      <c r="O44" s="267">
        <v>0</v>
      </c>
    </row>
    <row r="45" spans="1:23" x14ac:dyDescent="0.25">
      <c r="A45" s="287">
        <v>44042</v>
      </c>
      <c r="B45" s="267">
        <v>18799398</v>
      </c>
      <c r="C45" s="267">
        <v>16</v>
      </c>
      <c r="D45" s="267">
        <v>7</v>
      </c>
      <c r="E45" s="267">
        <v>2</v>
      </c>
      <c r="F45" s="267">
        <v>0</v>
      </c>
      <c r="G45" s="267">
        <v>0</v>
      </c>
      <c r="H45" s="267">
        <v>1</v>
      </c>
      <c r="I45" s="267">
        <v>1</v>
      </c>
      <c r="J45" s="267">
        <v>0</v>
      </c>
      <c r="L45" s="287">
        <v>44019</v>
      </c>
      <c r="M45" s="267" t="s">
        <v>158</v>
      </c>
      <c r="N45" s="267">
        <v>1</v>
      </c>
      <c r="O45" s="267">
        <v>0</v>
      </c>
    </row>
    <row r="46" spans="1:23" x14ac:dyDescent="0.25">
      <c r="A46" s="287">
        <v>44047</v>
      </c>
      <c r="B46" s="267">
        <v>18799416</v>
      </c>
      <c r="C46" s="267">
        <v>16</v>
      </c>
      <c r="D46" s="267">
        <v>8</v>
      </c>
      <c r="E46" s="267">
        <v>3</v>
      </c>
      <c r="F46" s="267">
        <v>1</v>
      </c>
      <c r="G46" s="267">
        <v>0</v>
      </c>
      <c r="H46" s="267">
        <v>1</v>
      </c>
      <c r="I46" s="267">
        <v>1</v>
      </c>
      <c r="J46" s="267">
        <v>0</v>
      </c>
      <c r="L46" s="287">
        <v>44019</v>
      </c>
      <c r="M46" s="267" t="s">
        <v>133</v>
      </c>
      <c r="N46" s="267">
        <v>1</v>
      </c>
      <c r="O46" s="267">
        <v>1</v>
      </c>
    </row>
    <row r="47" spans="1:23" x14ac:dyDescent="0.25">
      <c r="A47" s="287">
        <v>44049</v>
      </c>
      <c r="B47" s="267">
        <v>663465755</v>
      </c>
      <c r="C47" s="267">
        <v>16</v>
      </c>
      <c r="D47" s="267">
        <v>8</v>
      </c>
      <c r="E47" s="267">
        <v>2</v>
      </c>
      <c r="F47" s="267">
        <v>0</v>
      </c>
      <c r="G47" s="267">
        <v>1</v>
      </c>
      <c r="H47" s="267">
        <v>0</v>
      </c>
      <c r="I47" s="267">
        <v>1</v>
      </c>
      <c r="J47" s="267">
        <v>0</v>
      </c>
      <c r="L47" s="287">
        <v>44019</v>
      </c>
      <c r="M47" s="267" t="s">
        <v>145</v>
      </c>
      <c r="N47" s="267">
        <v>1</v>
      </c>
      <c r="O47" s="267">
        <v>0</v>
      </c>
    </row>
    <row r="48" spans="1:23" x14ac:dyDescent="0.25">
      <c r="A48" s="287">
        <v>44052</v>
      </c>
      <c r="B48" s="267">
        <v>18799434</v>
      </c>
      <c r="C48" s="267">
        <v>16</v>
      </c>
      <c r="D48" s="267">
        <v>9</v>
      </c>
      <c r="E48" s="267">
        <v>2</v>
      </c>
      <c r="F48" s="267">
        <v>0</v>
      </c>
      <c r="G48" s="267">
        <v>1</v>
      </c>
      <c r="H48" s="267">
        <v>1</v>
      </c>
      <c r="I48" s="267">
        <v>0</v>
      </c>
      <c r="J48" s="267">
        <v>0</v>
      </c>
      <c r="L48" s="287">
        <v>44021</v>
      </c>
      <c r="M48" s="267" t="s">
        <v>137</v>
      </c>
      <c r="N48" s="267">
        <v>0</v>
      </c>
      <c r="O48" s="267">
        <v>1</v>
      </c>
    </row>
    <row r="49" spans="1:15" x14ac:dyDescent="0.25">
      <c r="A49" s="287">
        <v>44053</v>
      </c>
      <c r="B49" s="267">
        <v>662376987</v>
      </c>
      <c r="C49" s="267">
        <v>16</v>
      </c>
      <c r="D49" s="267">
        <v>6</v>
      </c>
      <c r="E49" s="267">
        <v>2</v>
      </c>
      <c r="F49" s="267">
        <v>1</v>
      </c>
      <c r="G49" s="267">
        <v>0</v>
      </c>
      <c r="H49" s="267">
        <v>0</v>
      </c>
      <c r="I49" s="267">
        <v>1</v>
      </c>
      <c r="J49" s="267">
        <v>0</v>
      </c>
      <c r="L49" s="287">
        <v>44021</v>
      </c>
      <c r="M49" s="267" t="s">
        <v>140</v>
      </c>
      <c r="N49" s="267">
        <v>0</v>
      </c>
      <c r="O49" s="267">
        <v>1</v>
      </c>
    </row>
    <row r="50" spans="1:15" x14ac:dyDescent="0.25">
      <c r="A50" s="287">
        <v>44054</v>
      </c>
      <c r="B50" s="267">
        <v>18799443</v>
      </c>
      <c r="C50" s="267">
        <v>17</v>
      </c>
      <c r="D50" s="267">
        <v>10</v>
      </c>
      <c r="E50" s="267">
        <v>2</v>
      </c>
      <c r="F50" s="267">
        <v>0</v>
      </c>
      <c r="G50" s="267">
        <v>0</v>
      </c>
      <c r="H50" s="267">
        <v>1</v>
      </c>
      <c r="I50" s="267">
        <v>1</v>
      </c>
      <c r="J50" s="267">
        <v>0</v>
      </c>
      <c r="L50" s="287">
        <v>44021</v>
      </c>
      <c r="M50" s="267" t="s">
        <v>158</v>
      </c>
      <c r="N50" s="267">
        <v>1</v>
      </c>
      <c r="O50" s="267">
        <v>0</v>
      </c>
    </row>
    <row r="51" spans="1:15" x14ac:dyDescent="0.25">
      <c r="A51" s="287">
        <v>44056</v>
      </c>
      <c r="B51" s="267">
        <v>663544263</v>
      </c>
      <c r="C51" s="267">
        <v>17</v>
      </c>
      <c r="D51" s="267">
        <v>4</v>
      </c>
      <c r="E51" s="267">
        <v>0</v>
      </c>
      <c r="F51" s="267">
        <v>0</v>
      </c>
      <c r="G51" s="267">
        <v>0</v>
      </c>
      <c r="H51" s="267">
        <v>0</v>
      </c>
      <c r="I51" s="267">
        <v>0</v>
      </c>
      <c r="J51" s="267">
        <v>0</v>
      </c>
      <c r="L51" s="287">
        <v>44021</v>
      </c>
      <c r="M51" s="267" t="s">
        <v>149</v>
      </c>
      <c r="N51" s="267">
        <v>0</v>
      </c>
      <c r="O51" s="267">
        <v>1</v>
      </c>
    </row>
    <row r="52" spans="1:15" x14ac:dyDescent="0.25">
      <c r="A52" s="287">
        <v>44056</v>
      </c>
      <c r="B52" s="267">
        <v>18799451</v>
      </c>
      <c r="C52" s="267">
        <v>16</v>
      </c>
      <c r="D52" s="267">
        <v>9</v>
      </c>
      <c r="E52" s="267">
        <v>4</v>
      </c>
      <c r="F52" s="267">
        <v>0</v>
      </c>
      <c r="G52" s="267">
        <v>0</v>
      </c>
      <c r="H52" s="267">
        <v>2</v>
      </c>
      <c r="I52" s="267">
        <v>2</v>
      </c>
      <c r="J52" s="267">
        <v>0</v>
      </c>
      <c r="L52" s="287">
        <v>44021</v>
      </c>
      <c r="M52" s="267" t="s">
        <v>141</v>
      </c>
      <c r="N52" s="267">
        <v>1</v>
      </c>
      <c r="O52" s="267">
        <v>0</v>
      </c>
    </row>
    <row r="53" spans="1:15" x14ac:dyDescent="0.25">
      <c r="A53" s="287">
        <v>44059</v>
      </c>
      <c r="B53" s="267">
        <v>18799458</v>
      </c>
      <c r="C53" s="267">
        <v>16</v>
      </c>
      <c r="D53" s="267">
        <v>10</v>
      </c>
      <c r="E53" s="267">
        <v>4</v>
      </c>
      <c r="F53" s="267">
        <v>1</v>
      </c>
      <c r="G53" s="267">
        <v>1</v>
      </c>
      <c r="H53" s="267">
        <v>1</v>
      </c>
      <c r="I53" s="267">
        <v>1</v>
      </c>
      <c r="J53" s="267">
        <v>0</v>
      </c>
      <c r="L53" s="287">
        <v>44021</v>
      </c>
      <c r="M53" s="267" t="s">
        <v>147</v>
      </c>
      <c r="N53" s="267">
        <v>1</v>
      </c>
      <c r="O53" s="267">
        <v>0</v>
      </c>
    </row>
    <row r="54" spans="1:15" x14ac:dyDescent="0.25">
      <c r="A54" s="287">
        <v>44308</v>
      </c>
      <c r="B54" s="267">
        <v>21910085</v>
      </c>
      <c r="C54" s="267">
        <v>19</v>
      </c>
      <c r="D54" s="267">
        <v>7</v>
      </c>
      <c r="E54" s="267">
        <v>3</v>
      </c>
      <c r="F54" s="267">
        <v>1</v>
      </c>
      <c r="G54" s="267">
        <v>0</v>
      </c>
      <c r="H54" s="267">
        <v>2</v>
      </c>
      <c r="I54" s="267">
        <v>0</v>
      </c>
      <c r="J54" s="267">
        <v>0</v>
      </c>
      <c r="L54" s="287">
        <v>44024</v>
      </c>
      <c r="M54" s="267" t="s">
        <v>140</v>
      </c>
      <c r="N54" s="267">
        <v>1</v>
      </c>
      <c r="O54" s="267">
        <v>1</v>
      </c>
    </row>
    <row r="55" spans="1:15" x14ac:dyDescent="0.25">
      <c r="A55" s="287">
        <v>44307</v>
      </c>
      <c r="B55" s="267">
        <v>2185486</v>
      </c>
      <c r="C55" s="267">
        <v>19</v>
      </c>
      <c r="D55" s="267">
        <v>9</v>
      </c>
      <c r="E55" s="267">
        <v>2</v>
      </c>
      <c r="F55" s="267">
        <v>0</v>
      </c>
      <c r="G55" s="267">
        <v>0</v>
      </c>
      <c r="H55" s="267">
        <v>2</v>
      </c>
      <c r="I55" s="267">
        <v>0</v>
      </c>
      <c r="J55" s="267">
        <v>0</v>
      </c>
      <c r="L55" s="287">
        <v>44024</v>
      </c>
      <c r="M55" s="267" t="s">
        <v>147</v>
      </c>
      <c r="N55" s="267">
        <v>1</v>
      </c>
      <c r="O55" s="267">
        <v>0</v>
      </c>
    </row>
    <row r="56" spans="1:15" x14ac:dyDescent="0.25">
      <c r="A56" s="287">
        <v>44307</v>
      </c>
      <c r="B56" s="267">
        <v>21799788</v>
      </c>
      <c r="C56" s="267">
        <v>19</v>
      </c>
      <c r="D56" s="267">
        <v>8</v>
      </c>
      <c r="E56" s="267">
        <v>1</v>
      </c>
      <c r="F56" s="267">
        <v>0</v>
      </c>
      <c r="G56" s="267">
        <v>0</v>
      </c>
      <c r="H56" s="267">
        <v>1</v>
      </c>
      <c r="I56" s="267">
        <v>0</v>
      </c>
      <c r="J56" s="267">
        <v>0</v>
      </c>
      <c r="L56" s="287">
        <v>44025</v>
      </c>
      <c r="M56" s="267" t="s">
        <v>151</v>
      </c>
      <c r="N56" s="267">
        <v>3</v>
      </c>
      <c r="O56" s="267">
        <v>2</v>
      </c>
    </row>
    <row r="57" spans="1:15" x14ac:dyDescent="0.25">
      <c r="A57" s="287">
        <v>44306</v>
      </c>
      <c r="B57" s="267">
        <v>21744694</v>
      </c>
      <c r="C57" s="267">
        <v>19</v>
      </c>
      <c r="D57" s="267">
        <v>4</v>
      </c>
      <c r="E57" s="267">
        <v>0</v>
      </c>
      <c r="F57" s="267">
        <v>0</v>
      </c>
      <c r="G57" s="267">
        <v>0</v>
      </c>
      <c r="H57" s="267">
        <v>0</v>
      </c>
      <c r="I57" s="267">
        <v>0</v>
      </c>
      <c r="J57" s="267">
        <v>0</v>
      </c>
      <c r="L57" s="287">
        <v>44025</v>
      </c>
      <c r="M57" s="267" t="s">
        <v>153</v>
      </c>
      <c r="N57" s="267">
        <v>2</v>
      </c>
      <c r="O57" s="267">
        <v>1</v>
      </c>
    </row>
    <row r="58" spans="1:15" x14ac:dyDescent="0.25">
      <c r="A58" s="287">
        <v>44306</v>
      </c>
      <c r="B58" s="267">
        <v>21689849</v>
      </c>
      <c r="C58" s="267">
        <v>19</v>
      </c>
      <c r="D58" s="267">
        <v>9</v>
      </c>
      <c r="E58" s="267">
        <v>3</v>
      </c>
      <c r="F58" s="267">
        <v>1</v>
      </c>
      <c r="G58" s="267">
        <v>0</v>
      </c>
      <c r="H58" s="267">
        <v>1</v>
      </c>
      <c r="I58" s="267">
        <v>1</v>
      </c>
      <c r="J58" s="267">
        <v>0</v>
      </c>
      <c r="L58" s="287">
        <v>44025</v>
      </c>
      <c r="M58" s="267" t="s">
        <v>149</v>
      </c>
      <c r="N58" s="267">
        <v>1</v>
      </c>
      <c r="O58" s="267">
        <v>1</v>
      </c>
    </row>
    <row r="59" spans="1:15" x14ac:dyDescent="0.25">
      <c r="A59" s="287">
        <v>44305</v>
      </c>
      <c r="B59" s="267">
        <v>21013089</v>
      </c>
      <c r="C59" s="267">
        <v>19</v>
      </c>
      <c r="D59" s="267">
        <v>5</v>
      </c>
      <c r="E59" s="267">
        <v>2</v>
      </c>
      <c r="F59" s="267">
        <v>0</v>
      </c>
      <c r="G59" s="267">
        <v>0</v>
      </c>
      <c r="H59" s="267">
        <v>2</v>
      </c>
      <c r="I59" s="267">
        <v>0</v>
      </c>
      <c r="J59" s="267">
        <v>0</v>
      </c>
      <c r="L59" s="287">
        <v>44025</v>
      </c>
      <c r="M59" s="267" t="s">
        <v>145</v>
      </c>
      <c r="N59" s="267">
        <v>1</v>
      </c>
      <c r="O59" s="267">
        <v>0</v>
      </c>
    </row>
    <row r="60" spans="1:15" x14ac:dyDescent="0.25">
      <c r="A60" s="287">
        <v>44305</v>
      </c>
      <c r="B60" s="267">
        <v>21634050</v>
      </c>
      <c r="C60" s="267">
        <v>19</v>
      </c>
      <c r="D60" s="267">
        <v>5</v>
      </c>
      <c r="E60" s="267">
        <v>2</v>
      </c>
      <c r="F60" s="267">
        <v>0</v>
      </c>
      <c r="G60" s="267">
        <v>1</v>
      </c>
      <c r="H60" s="267">
        <v>0</v>
      </c>
      <c r="I60" s="267">
        <v>1</v>
      </c>
      <c r="J60" s="267">
        <v>0</v>
      </c>
      <c r="L60" s="287">
        <v>44026</v>
      </c>
      <c r="M60" s="267" t="s">
        <v>140</v>
      </c>
      <c r="N60" s="267">
        <v>0</v>
      </c>
      <c r="O60" s="267">
        <v>1</v>
      </c>
    </row>
    <row r="61" spans="1:15" x14ac:dyDescent="0.25">
      <c r="A61" s="287">
        <v>44306</v>
      </c>
      <c r="B61" s="267">
        <v>21689849</v>
      </c>
      <c r="C61" s="267">
        <v>19</v>
      </c>
      <c r="D61" s="267">
        <v>9</v>
      </c>
      <c r="E61" s="267">
        <v>3</v>
      </c>
      <c r="F61" s="267">
        <v>1</v>
      </c>
      <c r="G61" s="267">
        <v>0</v>
      </c>
      <c r="H61" s="267">
        <v>1</v>
      </c>
      <c r="I61" s="267">
        <v>1</v>
      </c>
      <c r="J61" s="267">
        <v>0</v>
      </c>
      <c r="L61" s="287">
        <v>44026</v>
      </c>
      <c r="M61" s="267" t="s">
        <v>147</v>
      </c>
      <c r="N61" s="267">
        <v>1</v>
      </c>
      <c r="O61" s="267">
        <v>1</v>
      </c>
    </row>
    <row r="62" spans="1:15" x14ac:dyDescent="0.25">
      <c r="A62" s="287">
        <v>44306</v>
      </c>
      <c r="B62" s="267">
        <v>21744694</v>
      </c>
      <c r="C62" s="267">
        <v>19</v>
      </c>
      <c r="D62" s="267">
        <v>4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L62" s="287">
        <v>44028</v>
      </c>
      <c r="M62" s="267" t="s">
        <v>158</v>
      </c>
      <c r="N62" s="267">
        <v>1</v>
      </c>
      <c r="O62" s="267">
        <v>2</v>
      </c>
    </row>
    <row r="63" spans="1:15" x14ac:dyDescent="0.25">
      <c r="A63" s="287">
        <v>44307</v>
      </c>
      <c r="B63" s="267">
        <v>21799788</v>
      </c>
      <c r="C63" s="267">
        <v>19</v>
      </c>
      <c r="D63" s="267">
        <v>8</v>
      </c>
      <c r="E63" s="267">
        <v>1</v>
      </c>
      <c r="F63" s="267">
        <v>0</v>
      </c>
      <c r="G63" s="267">
        <v>0</v>
      </c>
      <c r="H63" s="267">
        <v>1</v>
      </c>
      <c r="I63" s="267">
        <v>0</v>
      </c>
      <c r="J63" s="267">
        <v>0</v>
      </c>
      <c r="L63" s="287">
        <v>44028</v>
      </c>
      <c r="M63" s="267" t="s">
        <v>153</v>
      </c>
      <c r="N63" s="267">
        <v>1</v>
      </c>
      <c r="O63" s="267">
        <v>0</v>
      </c>
    </row>
    <row r="64" spans="1:15" x14ac:dyDescent="0.25">
      <c r="A64" s="287">
        <v>44307</v>
      </c>
      <c r="B64" s="525">
        <v>21854386</v>
      </c>
      <c r="C64" s="267">
        <v>19</v>
      </c>
      <c r="D64" s="267">
        <v>9</v>
      </c>
      <c r="E64" s="267">
        <v>2</v>
      </c>
      <c r="F64" s="267">
        <v>0</v>
      </c>
      <c r="G64" s="267">
        <v>0</v>
      </c>
      <c r="H64" s="267">
        <v>2</v>
      </c>
      <c r="I64" s="267">
        <v>0</v>
      </c>
      <c r="J64" s="267">
        <v>0</v>
      </c>
      <c r="L64" s="287">
        <v>44028</v>
      </c>
      <c r="M64" s="267" t="s">
        <v>135</v>
      </c>
      <c r="N64" s="267">
        <v>1</v>
      </c>
      <c r="O64" s="267">
        <v>0</v>
      </c>
    </row>
    <row r="65" spans="1:15" x14ac:dyDescent="0.25">
      <c r="A65" s="287">
        <v>44308</v>
      </c>
      <c r="B65" s="267">
        <v>21910085</v>
      </c>
      <c r="C65" s="267">
        <v>19</v>
      </c>
      <c r="D65" s="267">
        <v>7</v>
      </c>
      <c r="E65" s="267">
        <v>3</v>
      </c>
      <c r="F65" s="267">
        <v>1</v>
      </c>
      <c r="G65" s="267">
        <v>0</v>
      </c>
      <c r="H65" s="267">
        <v>2</v>
      </c>
      <c r="I65" s="267">
        <v>0</v>
      </c>
      <c r="J65" s="267">
        <v>0</v>
      </c>
      <c r="L65" s="287">
        <v>44031</v>
      </c>
      <c r="M65" s="267" t="s">
        <v>140</v>
      </c>
      <c r="N65" s="267">
        <v>1</v>
      </c>
      <c r="O65" s="267">
        <v>0</v>
      </c>
    </row>
    <row r="66" spans="1:15" x14ac:dyDescent="0.25">
      <c r="L66" s="287">
        <v>44031</v>
      </c>
      <c r="M66" s="267" t="s">
        <v>141</v>
      </c>
      <c r="N66" s="267">
        <v>1</v>
      </c>
      <c r="O66" s="267">
        <v>0</v>
      </c>
    </row>
    <row r="67" spans="1:15" x14ac:dyDescent="0.25">
      <c r="L67" s="287">
        <v>44033</v>
      </c>
      <c r="M67" s="267" t="s">
        <v>137</v>
      </c>
      <c r="N67" s="267">
        <v>1</v>
      </c>
      <c r="O67" s="267">
        <v>0</v>
      </c>
    </row>
    <row r="68" spans="1:15" x14ac:dyDescent="0.25">
      <c r="L68" s="287">
        <v>44033</v>
      </c>
      <c r="M68" s="267" t="s">
        <v>155</v>
      </c>
      <c r="N68" s="267">
        <v>0</v>
      </c>
      <c r="O68" s="267">
        <v>1</v>
      </c>
    </row>
    <row r="69" spans="1:15" x14ac:dyDescent="0.25">
      <c r="L69" s="287">
        <v>44033</v>
      </c>
      <c r="M69" s="267" t="s">
        <v>141</v>
      </c>
      <c r="N69" s="267">
        <v>1</v>
      </c>
      <c r="O69" s="267">
        <v>1</v>
      </c>
    </row>
    <row r="70" spans="1:15" x14ac:dyDescent="0.25">
      <c r="L70" s="287">
        <v>44035</v>
      </c>
      <c r="M70" s="267" t="s">
        <v>158</v>
      </c>
      <c r="N70" s="267">
        <v>1</v>
      </c>
      <c r="O70" s="267">
        <v>0</v>
      </c>
    </row>
    <row r="71" spans="1:15" x14ac:dyDescent="0.25">
      <c r="L71" s="287">
        <v>44035</v>
      </c>
      <c r="M71" s="267" t="s">
        <v>153</v>
      </c>
      <c r="N71" s="267">
        <v>1</v>
      </c>
      <c r="O71" s="267">
        <v>0</v>
      </c>
    </row>
    <row r="72" spans="1:15" x14ac:dyDescent="0.25">
      <c r="L72" s="287">
        <v>44035</v>
      </c>
      <c r="M72" s="267" t="s">
        <v>149</v>
      </c>
      <c r="N72" s="267">
        <v>1</v>
      </c>
      <c r="O72" s="267">
        <v>0</v>
      </c>
    </row>
    <row r="73" spans="1:15" x14ac:dyDescent="0.25">
      <c r="L73" s="287">
        <v>44038</v>
      </c>
      <c r="M73" s="267" t="s">
        <v>151</v>
      </c>
      <c r="N73" s="267">
        <v>0</v>
      </c>
      <c r="O73" s="267">
        <v>1</v>
      </c>
    </row>
    <row r="74" spans="1:15" x14ac:dyDescent="0.25">
      <c r="L74" s="287">
        <v>44038</v>
      </c>
      <c r="M74" s="267" t="s">
        <v>140</v>
      </c>
      <c r="N74" s="267">
        <v>0</v>
      </c>
      <c r="O74" s="267">
        <v>1</v>
      </c>
    </row>
    <row r="75" spans="1:15" x14ac:dyDescent="0.25">
      <c r="L75" s="287">
        <v>44040</v>
      </c>
      <c r="M75" s="267" t="s">
        <v>133</v>
      </c>
      <c r="N75" s="267">
        <v>0</v>
      </c>
      <c r="O75" s="267">
        <v>1</v>
      </c>
    </row>
    <row r="76" spans="1:15" x14ac:dyDescent="0.25">
      <c r="L76" s="287">
        <v>44042</v>
      </c>
      <c r="M76" s="267" t="s">
        <v>151</v>
      </c>
      <c r="N76" s="267">
        <v>0</v>
      </c>
      <c r="O76" s="267">
        <v>1</v>
      </c>
    </row>
    <row r="77" spans="1:15" x14ac:dyDescent="0.25">
      <c r="L77" s="287">
        <v>44042</v>
      </c>
      <c r="M77" s="267" t="s">
        <v>158</v>
      </c>
      <c r="N77" s="267">
        <v>0</v>
      </c>
      <c r="O77" s="267">
        <v>2</v>
      </c>
    </row>
    <row r="78" spans="1:15" x14ac:dyDescent="0.25">
      <c r="L78" s="287">
        <v>44042</v>
      </c>
      <c r="M78" s="267" t="s">
        <v>147</v>
      </c>
      <c r="N78" s="267">
        <v>0</v>
      </c>
      <c r="O78" s="267">
        <v>1</v>
      </c>
    </row>
    <row r="79" spans="1:15" x14ac:dyDescent="0.25">
      <c r="L79" s="287">
        <v>44047</v>
      </c>
      <c r="M79" s="267" t="s">
        <v>140</v>
      </c>
      <c r="N79" s="267">
        <v>1</v>
      </c>
      <c r="O79" s="267">
        <v>0</v>
      </c>
    </row>
    <row r="80" spans="1:15" x14ac:dyDescent="0.25">
      <c r="L80" s="287">
        <v>44047</v>
      </c>
      <c r="M80" s="267" t="s">
        <v>158</v>
      </c>
      <c r="N80" s="267">
        <v>1</v>
      </c>
      <c r="O80" s="267">
        <v>0</v>
      </c>
    </row>
    <row r="81" spans="12:15" x14ac:dyDescent="0.25">
      <c r="L81" s="287">
        <v>44047</v>
      </c>
      <c r="M81" s="267" t="s">
        <v>153</v>
      </c>
      <c r="N81" s="267">
        <v>0</v>
      </c>
      <c r="O81" s="267">
        <v>1</v>
      </c>
    </row>
    <row r="82" spans="12:15" x14ac:dyDescent="0.25">
      <c r="L82" s="287">
        <v>44049</v>
      </c>
      <c r="M82" s="267" t="s">
        <v>147</v>
      </c>
      <c r="N82" s="267">
        <v>1</v>
      </c>
      <c r="O82" s="267">
        <v>0</v>
      </c>
    </row>
    <row r="83" spans="12:15" x14ac:dyDescent="0.25">
      <c r="L83" s="287">
        <v>44049</v>
      </c>
      <c r="M83" s="267" t="s">
        <v>133</v>
      </c>
      <c r="N83" s="267">
        <v>0</v>
      </c>
      <c r="O83" s="267">
        <v>1</v>
      </c>
    </row>
    <row r="84" spans="12:15" x14ac:dyDescent="0.25">
      <c r="L84" s="287">
        <v>44053</v>
      </c>
      <c r="M84" s="339" t="s">
        <v>149</v>
      </c>
      <c r="N84" s="267">
        <v>2</v>
      </c>
      <c r="O84" s="267">
        <v>1</v>
      </c>
    </row>
    <row r="85" spans="12:15" x14ac:dyDescent="0.25">
      <c r="L85" s="287">
        <v>44053</v>
      </c>
      <c r="M85" s="339" t="s">
        <v>135</v>
      </c>
      <c r="N85" s="267">
        <v>0</v>
      </c>
      <c r="O85" s="267">
        <v>1</v>
      </c>
    </row>
    <row r="86" spans="12:15" x14ac:dyDescent="0.25">
      <c r="L86" s="287">
        <v>44052</v>
      </c>
      <c r="M86" s="339" t="s">
        <v>133</v>
      </c>
      <c r="N86" s="267">
        <v>1</v>
      </c>
      <c r="O86" s="267">
        <v>0</v>
      </c>
    </row>
    <row r="87" spans="12:15" x14ac:dyDescent="0.25">
      <c r="L87" s="287">
        <v>44052</v>
      </c>
      <c r="M87" s="339" t="s">
        <v>158</v>
      </c>
      <c r="N87" s="267">
        <v>1</v>
      </c>
      <c r="O87" s="267">
        <v>0</v>
      </c>
    </row>
    <row r="88" spans="12:15" x14ac:dyDescent="0.25">
      <c r="L88" s="287">
        <v>44054</v>
      </c>
      <c r="M88" s="339" t="s">
        <v>147</v>
      </c>
      <c r="N88" s="267">
        <v>1</v>
      </c>
      <c r="O88" s="267">
        <v>0</v>
      </c>
    </row>
    <row r="89" spans="12:15" x14ac:dyDescent="0.25">
      <c r="L89" s="287">
        <v>44054</v>
      </c>
      <c r="M89" s="339" t="s">
        <v>151</v>
      </c>
      <c r="N89" s="267">
        <v>0</v>
      </c>
      <c r="O89" s="267">
        <v>1</v>
      </c>
    </row>
    <row r="90" spans="12:15" x14ac:dyDescent="0.25">
      <c r="L90" s="287">
        <v>44056</v>
      </c>
      <c r="M90" s="339" t="s">
        <v>147</v>
      </c>
      <c r="N90" s="339">
        <v>1</v>
      </c>
      <c r="O90" s="339">
        <v>0</v>
      </c>
    </row>
    <row r="91" spans="12:15" x14ac:dyDescent="0.25">
      <c r="L91" s="287">
        <v>44056</v>
      </c>
      <c r="M91" s="339" t="s">
        <v>153</v>
      </c>
      <c r="N91" s="339">
        <v>1</v>
      </c>
      <c r="O91" s="339">
        <v>0</v>
      </c>
    </row>
    <row r="92" spans="12:15" x14ac:dyDescent="0.25">
      <c r="L92" s="287">
        <v>44056</v>
      </c>
      <c r="M92" s="339" t="s">
        <v>158</v>
      </c>
      <c r="N92" s="267">
        <v>0</v>
      </c>
      <c r="O92" s="267">
        <v>1</v>
      </c>
    </row>
    <row r="93" spans="12:15" x14ac:dyDescent="0.25">
      <c r="L93" s="287">
        <v>44056</v>
      </c>
      <c r="M93" s="339" t="s">
        <v>145</v>
      </c>
      <c r="N93" s="339">
        <v>1</v>
      </c>
      <c r="O93" s="339">
        <v>0</v>
      </c>
    </row>
    <row r="94" spans="12:15" x14ac:dyDescent="0.25">
      <c r="L94" s="287">
        <v>44059</v>
      </c>
      <c r="M94" s="339" t="s">
        <v>153</v>
      </c>
      <c r="N94" s="339">
        <v>1</v>
      </c>
      <c r="O94" s="339">
        <v>0</v>
      </c>
    </row>
    <row r="95" spans="12:15" x14ac:dyDescent="0.25">
      <c r="L95" s="287">
        <v>44059</v>
      </c>
      <c r="M95" s="339" t="s">
        <v>158</v>
      </c>
      <c r="N95" s="339">
        <v>1</v>
      </c>
      <c r="O95" s="339">
        <v>0</v>
      </c>
    </row>
    <row r="96" spans="12:15" x14ac:dyDescent="0.25">
      <c r="L96" s="287">
        <v>44059</v>
      </c>
      <c r="M96" s="339" t="s">
        <v>137</v>
      </c>
      <c r="N96" s="339">
        <v>0</v>
      </c>
      <c r="O96" s="339">
        <v>1</v>
      </c>
    </row>
    <row r="97" spans="12:15" x14ac:dyDescent="0.25">
      <c r="L97" s="287">
        <v>44059</v>
      </c>
      <c r="M97" s="339" t="s">
        <v>155</v>
      </c>
      <c r="N97" s="339">
        <v>1</v>
      </c>
      <c r="O97" s="339">
        <v>0</v>
      </c>
    </row>
    <row r="98" spans="12:15" x14ac:dyDescent="0.25">
      <c r="L98" s="287">
        <v>44308</v>
      </c>
      <c r="M98" s="267" t="s">
        <v>534</v>
      </c>
      <c r="N98" s="267">
        <v>0</v>
      </c>
      <c r="O98" s="267">
        <v>1</v>
      </c>
    </row>
    <row r="99" spans="12:15" x14ac:dyDescent="0.25">
      <c r="L99" s="287">
        <v>44306</v>
      </c>
      <c r="M99" s="525" t="s">
        <v>534</v>
      </c>
      <c r="N99" s="525">
        <v>0</v>
      </c>
      <c r="O99" s="525">
        <v>1</v>
      </c>
    </row>
    <row r="100" spans="12:15" x14ac:dyDescent="0.25">
      <c r="L100" s="287">
        <v>44306</v>
      </c>
      <c r="M100" s="525" t="s">
        <v>149</v>
      </c>
      <c r="N100" s="525">
        <v>0</v>
      </c>
      <c r="O100" s="525">
        <v>1</v>
      </c>
    </row>
    <row r="101" spans="12:15" x14ac:dyDescent="0.25">
      <c r="L101" s="287">
        <v>44306</v>
      </c>
      <c r="M101" s="525" t="s">
        <v>140</v>
      </c>
      <c r="N101" s="525">
        <v>0</v>
      </c>
      <c r="O101" s="525">
        <v>1</v>
      </c>
    </row>
    <row r="102" spans="12:15" x14ac:dyDescent="0.25">
      <c r="L102" s="287">
        <v>44307</v>
      </c>
      <c r="M102" s="525" t="s">
        <v>151</v>
      </c>
      <c r="N102" s="525">
        <v>1</v>
      </c>
      <c r="O102" s="525">
        <v>0</v>
      </c>
    </row>
    <row r="103" spans="12:15" x14ac:dyDescent="0.25">
      <c r="L103" s="287">
        <v>44307</v>
      </c>
      <c r="M103" s="525" t="s">
        <v>151</v>
      </c>
      <c r="N103" s="525">
        <v>1</v>
      </c>
      <c r="O103" s="525">
        <v>0</v>
      </c>
    </row>
    <row r="104" spans="12:15" x14ac:dyDescent="0.25">
      <c r="L104" s="287">
        <v>44307</v>
      </c>
      <c r="M104" s="525" t="s">
        <v>153</v>
      </c>
      <c r="N104" s="525">
        <v>0</v>
      </c>
      <c r="O104" s="525">
        <v>1</v>
      </c>
    </row>
    <row r="105" spans="12:15" x14ac:dyDescent="0.25">
      <c r="L105" s="287">
        <v>44308</v>
      </c>
      <c r="M105" s="525" t="s">
        <v>151</v>
      </c>
      <c r="N105" s="267">
        <v>1</v>
      </c>
      <c r="O105" s="267">
        <v>1</v>
      </c>
    </row>
    <row r="106" spans="12:15" x14ac:dyDescent="0.25">
      <c r="L106" s="287">
        <v>44308</v>
      </c>
      <c r="M106" s="525" t="s">
        <v>133</v>
      </c>
      <c r="N106" s="267">
        <v>1</v>
      </c>
      <c r="O106" s="267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8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2" customWidth="1"/>
    <col min="23" max="24" width="5.5703125" customWidth="1"/>
    <col min="25" max="26" width="4.5703125" customWidth="1"/>
  </cols>
  <sheetData>
    <row r="1" spans="1:26" x14ac:dyDescent="0.25">
      <c r="A1" s="73">
        <v>41900</v>
      </c>
      <c r="E1" s="99" t="s">
        <v>275</v>
      </c>
      <c r="F1" s="100" t="s">
        <v>276</v>
      </c>
      <c r="G1" s="8"/>
      <c r="H1" s="8"/>
      <c r="I1" s="101" t="s">
        <v>275</v>
      </c>
      <c r="J1" s="102" t="s">
        <v>276</v>
      </c>
      <c r="P1" s="99" t="s">
        <v>275</v>
      </c>
      <c r="Q1" s="100" t="s">
        <v>276</v>
      </c>
      <c r="R1" s="99"/>
      <c r="S1" s="100"/>
      <c r="W1" s="99" t="s">
        <v>275</v>
      </c>
      <c r="X1" s="100" t="s">
        <v>276</v>
      </c>
      <c r="Y1" s="99"/>
      <c r="Z1" s="100"/>
    </row>
    <row r="2" spans="1:26" x14ac:dyDescent="0.25">
      <c r="A2" s="98" t="s">
        <v>84</v>
      </c>
      <c r="B2" s="98" t="s">
        <v>280</v>
      </c>
      <c r="C2" s="98" t="s">
        <v>281</v>
      </c>
      <c r="D2" s="98" t="s">
        <v>107</v>
      </c>
      <c r="E2" s="99" t="s">
        <v>89</v>
      </c>
      <c r="F2" s="100" t="s">
        <v>89</v>
      </c>
      <c r="G2" s="8" t="s">
        <v>88</v>
      </c>
      <c r="H2" s="8" t="s">
        <v>88</v>
      </c>
      <c r="I2" s="101" t="s">
        <v>183</v>
      </c>
      <c r="J2" s="102" t="s">
        <v>183</v>
      </c>
      <c r="P2" s="99" t="s">
        <v>89</v>
      </c>
      <c r="Q2" s="100" t="s">
        <v>89</v>
      </c>
      <c r="R2" s="99" t="s">
        <v>88</v>
      </c>
      <c r="S2" s="100" t="s">
        <v>88</v>
      </c>
      <c r="W2" s="99" t="s">
        <v>89</v>
      </c>
      <c r="X2" s="100" t="s">
        <v>89</v>
      </c>
      <c r="Y2" s="99" t="s">
        <v>88</v>
      </c>
      <c r="Z2" s="100" t="s">
        <v>88</v>
      </c>
    </row>
    <row r="3" spans="1:26" x14ac:dyDescent="0.25">
      <c r="A3" s="3" t="str">
        <f>PLANTILLA!D4</f>
        <v>D. Gehmacher</v>
      </c>
      <c r="B3">
        <f>PLANTILLA!E4</f>
        <v>44</v>
      </c>
      <c r="C3">
        <f>PLANTILLA!H4</f>
        <v>6</v>
      </c>
      <c r="D3" s="71">
        <f>PLANTILLA!I4</f>
        <v>26.2</v>
      </c>
      <c r="E3" s="103">
        <f t="shared" ref="E3:E4" si="0">D3</f>
        <v>26.2</v>
      </c>
      <c r="F3" s="103">
        <f t="shared" ref="F3:F4" si="1">E3+0.1</f>
        <v>26.3</v>
      </c>
      <c r="G3" s="103">
        <f t="shared" ref="G3:G4" si="2">C3</f>
        <v>6</v>
      </c>
      <c r="H3" s="103">
        <f t="shared" ref="H3:H4" si="3">G3+0.99</f>
        <v>6.99</v>
      </c>
      <c r="I3" s="107">
        <f t="shared" ref="I3:I4" si="4">G3*G3*E3</f>
        <v>943.19999999999993</v>
      </c>
      <c r="J3" s="107">
        <f t="shared" ref="J3:J4" si="5">H3*H3*F3</f>
        <v>1285.0206300000002</v>
      </c>
      <c r="K3" s="104"/>
      <c r="N3" s="3" t="s">
        <v>183</v>
      </c>
      <c r="O3" t="str">
        <f>A3</f>
        <v>D. Gehmacher</v>
      </c>
      <c r="P3" s="105">
        <f>E3</f>
        <v>26.2</v>
      </c>
      <c r="Q3" s="105">
        <f>F3</f>
        <v>26.3</v>
      </c>
      <c r="R3" s="105">
        <f>G3</f>
        <v>6</v>
      </c>
      <c r="S3" s="105">
        <f>H3</f>
        <v>6.99</v>
      </c>
      <c r="U3" s="3" t="s">
        <v>183</v>
      </c>
      <c r="V3" s="52" t="str">
        <f t="shared" ref="V3:V13" si="6">O3</f>
        <v>D. Gehmacher</v>
      </c>
      <c r="W3" s="105">
        <f t="shared" ref="W3:W13" si="7">P3</f>
        <v>26.2</v>
      </c>
      <c r="X3" s="105">
        <f t="shared" ref="X3:X13" si="8">Q3</f>
        <v>26.3</v>
      </c>
      <c r="Y3" s="105">
        <f t="shared" ref="Y3:Y13" si="9">R3</f>
        <v>6</v>
      </c>
      <c r="Z3" s="105">
        <f t="shared" ref="Z3:Z13" si="10">S3</f>
        <v>6.99</v>
      </c>
    </row>
    <row r="4" spans="1:26" x14ac:dyDescent="0.25">
      <c r="A4" s="3" t="str">
        <f>PLANTILLA!D5</f>
        <v>L. Guangwei</v>
      </c>
      <c r="B4">
        <f>PLANTILLA!E5</f>
        <v>29</v>
      </c>
      <c r="C4">
        <f>PLANTILLA!H5</f>
        <v>0</v>
      </c>
      <c r="D4" s="71">
        <f>PLANTILLA!I5</f>
        <v>9</v>
      </c>
      <c r="E4" s="103">
        <f t="shared" si="0"/>
        <v>9</v>
      </c>
      <c r="F4" s="103">
        <f t="shared" si="1"/>
        <v>9.1</v>
      </c>
      <c r="G4" s="103">
        <f t="shared" si="2"/>
        <v>0</v>
      </c>
      <c r="H4" s="103">
        <f t="shared" si="3"/>
        <v>0.99</v>
      </c>
      <c r="I4" s="107">
        <f t="shared" si="4"/>
        <v>0</v>
      </c>
      <c r="J4" s="107">
        <f t="shared" si="5"/>
        <v>8.9189099999999986</v>
      </c>
      <c r="K4" s="104"/>
      <c r="O4" t="str">
        <f>A7</f>
        <v>S. Swärdborn</v>
      </c>
      <c r="P4" s="105">
        <f>E7</f>
        <v>8</v>
      </c>
      <c r="Q4" s="105">
        <f>F7</f>
        <v>8.1</v>
      </c>
      <c r="R4" s="105">
        <f>G7</f>
        <v>2</v>
      </c>
      <c r="S4" s="105">
        <f>H7</f>
        <v>2.99</v>
      </c>
      <c r="V4" s="52" t="str">
        <f t="shared" si="6"/>
        <v>S. Swärdborn</v>
      </c>
      <c r="W4" s="105">
        <f t="shared" si="7"/>
        <v>8</v>
      </c>
      <c r="X4" s="105">
        <f t="shared" si="8"/>
        <v>8.1</v>
      </c>
      <c r="Y4" s="105">
        <f t="shared" si="9"/>
        <v>2</v>
      </c>
      <c r="Z4" s="105">
        <f t="shared" si="10"/>
        <v>2.99</v>
      </c>
    </row>
    <row r="5" spans="1:26" x14ac:dyDescent="0.25">
      <c r="A5" s="3" t="str">
        <f>PLANTILLA!D6</f>
        <v>V. Gardner</v>
      </c>
      <c r="B5">
        <f>PLANTILLA!E6</f>
        <v>27</v>
      </c>
      <c r="C5">
        <f>PLANTILLA!H6</f>
        <v>3</v>
      </c>
      <c r="D5" s="71">
        <f>PLANTILLA!I6</f>
        <v>7</v>
      </c>
      <c r="E5" s="103">
        <f t="shared" ref="E5:E28" si="11">D5</f>
        <v>7</v>
      </c>
      <c r="F5" s="103">
        <f t="shared" ref="F5:F28" si="12">E5+0.1</f>
        <v>7.1</v>
      </c>
      <c r="G5" s="103">
        <f t="shared" ref="G5:G28" si="13">C5</f>
        <v>3</v>
      </c>
      <c r="H5" s="103">
        <f t="shared" ref="H5:H28" si="14">G5+0.99</f>
        <v>3.99</v>
      </c>
      <c r="I5" s="107">
        <f t="shared" ref="I5:I28" si="15">G5*G5*E5</f>
        <v>63</v>
      </c>
      <c r="J5" s="107">
        <f t="shared" ref="J5:J28" si="16">H5*H5*F5</f>
        <v>113.03271000000001</v>
      </c>
      <c r="K5" s="104"/>
      <c r="O5" t="str">
        <f>A14</f>
        <v>S. Kariuki</v>
      </c>
      <c r="P5" s="105">
        <f>E14</f>
        <v>9</v>
      </c>
      <c r="Q5" s="105">
        <f>F14</f>
        <v>9.1</v>
      </c>
      <c r="R5" s="105">
        <f>G14</f>
        <v>1</v>
      </c>
      <c r="S5" s="105">
        <f>H14</f>
        <v>1.99</v>
      </c>
      <c r="V5" s="52" t="str">
        <f t="shared" si="6"/>
        <v>S. Kariuki</v>
      </c>
      <c r="W5" s="105">
        <f t="shared" si="7"/>
        <v>9</v>
      </c>
      <c r="X5" s="105">
        <f t="shared" si="8"/>
        <v>9.1</v>
      </c>
      <c r="Y5" s="105">
        <f t="shared" si="9"/>
        <v>1</v>
      </c>
      <c r="Z5" s="105">
        <f t="shared" si="10"/>
        <v>1.99</v>
      </c>
    </row>
    <row r="6" spans="1:26" x14ac:dyDescent="0.25">
      <c r="A6" s="3" t="e">
        <f>PLANTILLA!#REF!</f>
        <v>#REF!</v>
      </c>
      <c r="B6" t="e">
        <f>PLANTILLA!#REF!</f>
        <v>#REF!</v>
      </c>
      <c r="C6" t="e">
        <f>PLANTILLA!#REF!</f>
        <v>#REF!</v>
      </c>
      <c r="D6" s="71" t="e">
        <f>PLANTILLA!#REF!</f>
        <v>#REF!</v>
      </c>
      <c r="E6" s="103" t="e">
        <f t="shared" si="11"/>
        <v>#REF!</v>
      </c>
      <c r="F6" s="103" t="e">
        <f t="shared" si="12"/>
        <v>#REF!</v>
      </c>
      <c r="G6" s="103" t="e">
        <f t="shared" si="13"/>
        <v>#REF!</v>
      </c>
      <c r="H6" s="103" t="e">
        <f t="shared" si="14"/>
        <v>#REF!</v>
      </c>
      <c r="I6" s="107" t="e">
        <f t="shared" si="15"/>
        <v>#REF!</v>
      </c>
      <c r="J6" s="107" t="e">
        <f t="shared" si="16"/>
        <v>#REF!</v>
      </c>
      <c r="K6" s="104"/>
      <c r="O6" t="str">
        <f>A5</f>
        <v>V. Gardner</v>
      </c>
      <c r="P6" s="105">
        <f t="shared" ref="P6:S7" si="17">E5</f>
        <v>7</v>
      </c>
      <c r="Q6" s="105">
        <f t="shared" si="17"/>
        <v>7.1</v>
      </c>
      <c r="R6" s="105">
        <f t="shared" si="17"/>
        <v>3</v>
      </c>
      <c r="S6" s="105">
        <f t="shared" si="17"/>
        <v>3.99</v>
      </c>
      <c r="V6" s="52" t="str">
        <f t="shared" si="6"/>
        <v>V. Gardner</v>
      </c>
      <c r="W6" s="105">
        <f t="shared" si="7"/>
        <v>7</v>
      </c>
      <c r="X6" s="105">
        <f t="shared" si="8"/>
        <v>7.1</v>
      </c>
      <c r="Y6" s="105">
        <f t="shared" si="9"/>
        <v>3</v>
      </c>
      <c r="Z6" s="105">
        <f t="shared" si="10"/>
        <v>3.99</v>
      </c>
    </row>
    <row r="7" spans="1:26" x14ac:dyDescent="0.25">
      <c r="A7" s="3" t="str">
        <f>PLANTILLA!D7</f>
        <v>S. Swärdborn</v>
      </c>
      <c r="B7">
        <f>PLANTILLA!E7</f>
        <v>27</v>
      </c>
      <c r="C7">
        <f>PLANTILLA!H7</f>
        <v>2</v>
      </c>
      <c r="D7" s="71">
        <f>PLANTILLA!I7</f>
        <v>8</v>
      </c>
      <c r="E7" s="103">
        <f t="shared" si="11"/>
        <v>8</v>
      </c>
      <c r="F7" s="103">
        <f t="shared" si="12"/>
        <v>8.1</v>
      </c>
      <c r="G7" s="103">
        <f t="shared" si="13"/>
        <v>2</v>
      </c>
      <c r="H7" s="103">
        <f t="shared" si="14"/>
        <v>2.99</v>
      </c>
      <c r="I7" s="107">
        <f t="shared" si="15"/>
        <v>32</v>
      </c>
      <c r="J7" s="107">
        <f t="shared" si="16"/>
        <v>72.414810000000003</v>
      </c>
      <c r="K7" s="104"/>
      <c r="O7" t="e">
        <f>A6</f>
        <v>#REF!</v>
      </c>
      <c r="P7" s="105" t="e">
        <f t="shared" si="17"/>
        <v>#REF!</v>
      </c>
      <c r="Q7" s="105" t="e">
        <f t="shared" si="17"/>
        <v>#REF!</v>
      </c>
      <c r="R7" s="105" t="e">
        <f t="shared" si="17"/>
        <v>#REF!</v>
      </c>
      <c r="S7" s="105" t="e">
        <f t="shared" si="17"/>
        <v>#REF!</v>
      </c>
      <c r="V7" s="52" t="e">
        <f t="shared" si="6"/>
        <v>#REF!</v>
      </c>
      <c r="W7" s="105" t="e">
        <f t="shared" si="7"/>
        <v>#REF!</v>
      </c>
      <c r="X7" s="105" t="e">
        <f t="shared" si="8"/>
        <v>#REF!</v>
      </c>
      <c r="Y7" s="105" t="e">
        <f t="shared" si="9"/>
        <v>#REF!</v>
      </c>
      <c r="Z7" s="105" t="e">
        <f t="shared" si="10"/>
        <v>#REF!</v>
      </c>
    </row>
    <row r="8" spans="1:26" x14ac:dyDescent="0.25">
      <c r="A8" s="3" t="str">
        <f>PLANTILLA!D8</f>
        <v>A. Grimaud</v>
      </c>
      <c r="B8">
        <f>PLANTILLA!E8</f>
        <v>27</v>
      </c>
      <c r="C8">
        <f>PLANTILLA!H8</f>
        <v>2</v>
      </c>
      <c r="D8" s="71">
        <f>PLANTILLA!I8</f>
        <v>8</v>
      </c>
      <c r="E8" s="103">
        <f t="shared" si="11"/>
        <v>8</v>
      </c>
      <c r="F8" s="103">
        <f t="shared" si="12"/>
        <v>8.1</v>
      </c>
      <c r="G8" s="103">
        <f t="shared" si="13"/>
        <v>2</v>
      </c>
      <c r="H8" s="103">
        <f t="shared" si="14"/>
        <v>2.99</v>
      </c>
      <c r="I8" s="107">
        <f t="shared" si="15"/>
        <v>32</v>
      </c>
      <c r="J8" s="107">
        <f t="shared" si="16"/>
        <v>72.414810000000003</v>
      </c>
      <c r="K8" s="104"/>
      <c r="O8" t="str">
        <f>A12</f>
        <v>R. Forsyth</v>
      </c>
      <c r="P8" s="105">
        <f>E12</f>
        <v>8</v>
      </c>
      <c r="Q8" s="105">
        <f>F12</f>
        <v>8.1</v>
      </c>
      <c r="R8" s="105">
        <f>G12</f>
        <v>4</v>
      </c>
      <c r="S8" s="105">
        <f>H12</f>
        <v>4.99</v>
      </c>
      <c r="V8" s="52" t="str">
        <f t="shared" si="6"/>
        <v>R. Forsyth</v>
      </c>
      <c r="W8" s="105">
        <f t="shared" si="7"/>
        <v>8</v>
      </c>
      <c r="X8" s="105">
        <f t="shared" si="8"/>
        <v>8.1</v>
      </c>
      <c r="Y8" s="105">
        <f t="shared" si="9"/>
        <v>4</v>
      </c>
      <c r="Z8" s="105">
        <f t="shared" si="10"/>
        <v>4.99</v>
      </c>
    </row>
    <row r="9" spans="1:26" x14ac:dyDescent="0.25">
      <c r="A9" s="3" t="str">
        <f>PLANTILLA!D9</f>
        <v>E. Deus</v>
      </c>
      <c r="B9">
        <f>PLANTILLA!E9</f>
        <v>27</v>
      </c>
      <c r="C9">
        <f>PLANTILLA!H9</f>
        <v>3</v>
      </c>
      <c r="D9" s="71">
        <f>PLANTILLA!I9</f>
        <v>7</v>
      </c>
      <c r="E9" s="103">
        <f t="shared" si="11"/>
        <v>7</v>
      </c>
      <c r="F9" s="103">
        <f t="shared" si="12"/>
        <v>7.1</v>
      </c>
      <c r="G9" s="103">
        <f t="shared" si="13"/>
        <v>3</v>
      </c>
      <c r="H9" s="103">
        <f t="shared" si="14"/>
        <v>3.99</v>
      </c>
      <c r="I9" s="107">
        <f t="shared" si="15"/>
        <v>63</v>
      </c>
      <c r="J9" s="107">
        <f t="shared" si="16"/>
        <v>113.03271000000001</v>
      </c>
      <c r="K9" s="104"/>
      <c r="O9" t="str">
        <f>A15</f>
        <v>K. Polyukhov</v>
      </c>
      <c r="P9" s="105">
        <f>E15</f>
        <v>8</v>
      </c>
      <c r="Q9" s="105">
        <f>F15</f>
        <v>8.1</v>
      </c>
      <c r="R9" s="105">
        <f>G15</f>
        <v>5</v>
      </c>
      <c r="S9" s="105">
        <f>H15</f>
        <v>5.99</v>
      </c>
      <c r="V9" s="52" t="str">
        <f t="shared" si="6"/>
        <v>K. Polyukhov</v>
      </c>
      <c r="W9" s="105">
        <f t="shared" si="7"/>
        <v>8</v>
      </c>
      <c r="X9" s="105">
        <f t="shared" si="8"/>
        <v>8.1</v>
      </c>
      <c r="Y9" s="105">
        <f t="shared" si="9"/>
        <v>5</v>
      </c>
      <c r="Z9" s="105">
        <f t="shared" si="10"/>
        <v>5.99</v>
      </c>
    </row>
    <row r="10" spans="1:26" x14ac:dyDescent="0.25">
      <c r="A10" s="3" t="str">
        <f>PLANTILLA!D15</f>
        <v>M.A. Balbinot</v>
      </c>
      <c r="B10">
        <f>PLANTILLA!E15</f>
        <v>32</v>
      </c>
      <c r="C10">
        <f>PLANTILLA!H15</f>
        <v>4</v>
      </c>
      <c r="D10" s="71">
        <f>PLANTILLA!I15</f>
        <v>11</v>
      </c>
      <c r="E10" s="103">
        <f t="shared" si="11"/>
        <v>11</v>
      </c>
      <c r="F10" s="103">
        <f t="shared" si="12"/>
        <v>11.1</v>
      </c>
      <c r="G10" s="103">
        <f t="shared" si="13"/>
        <v>4</v>
      </c>
      <c r="H10" s="103">
        <f t="shared" si="14"/>
        <v>4.99</v>
      </c>
      <c r="I10" s="107">
        <f t="shared" si="15"/>
        <v>176</v>
      </c>
      <c r="J10" s="107">
        <f t="shared" si="16"/>
        <v>276.39111000000003</v>
      </c>
      <c r="K10" s="104"/>
      <c r="O10" t="str">
        <f>A13</f>
        <v>Dusty Ware</v>
      </c>
      <c r="P10" s="105">
        <f>E13</f>
        <v>9</v>
      </c>
      <c r="Q10" s="105">
        <f>F13</f>
        <v>9.1</v>
      </c>
      <c r="R10" s="105">
        <f>G13</f>
        <v>4</v>
      </c>
      <c r="S10" s="105">
        <f>H13</f>
        <v>4.99</v>
      </c>
      <c r="V10" s="52" t="str">
        <f t="shared" si="6"/>
        <v>Dusty Ware</v>
      </c>
      <c r="W10" s="105">
        <f t="shared" si="7"/>
        <v>9</v>
      </c>
      <c r="X10" s="105">
        <f t="shared" si="8"/>
        <v>9.1</v>
      </c>
      <c r="Y10" s="105">
        <f t="shared" si="9"/>
        <v>4</v>
      </c>
      <c r="Z10" s="105">
        <f t="shared" si="10"/>
        <v>4.99</v>
      </c>
    </row>
    <row r="11" spans="1:26" x14ac:dyDescent="0.25">
      <c r="A11" s="3" t="str">
        <f>PLANTILLA!D14</f>
        <v>P. Tuderek</v>
      </c>
      <c r="B11">
        <f>PLANTILLA!E14</f>
        <v>28</v>
      </c>
      <c r="C11">
        <f>PLANTILLA!H14</f>
        <v>4</v>
      </c>
      <c r="D11" s="71">
        <f>PLANTILLA!I14</f>
        <v>7</v>
      </c>
      <c r="E11" s="103">
        <f t="shared" si="11"/>
        <v>7</v>
      </c>
      <c r="F11" s="103">
        <f t="shared" si="12"/>
        <v>7.1</v>
      </c>
      <c r="G11" s="103">
        <f t="shared" si="13"/>
        <v>4</v>
      </c>
      <c r="H11" s="103">
        <f t="shared" si="14"/>
        <v>4.99</v>
      </c>
      <c r="I11" s="107">
        <f t="shared" si="15"/>
        <v>112</v>
      </c>
      <c r="J11" s="107">
        <f t="shared" si="16"/>
        <v>176.79071000000002</v>
      </c>
      <c r="K11" s="104"/>
      <c r="O11" t="str">
        <f>A10</f>
        <v>M.A. Balbinot</v>
      </c>
      <c r="P11" s="105">
        <f>E10</f>
        <v>11</v>
      </c>
      <c r="Q11" s="105">
        <f>F10</f>
        <v>11.1</v>
      </c>
      <c r="R11" s="105">
        <f>G10</f>
        <v>4</v>
      </c>
      <c r="S11" s="105">
        <f>H10</f>
        <v>4.99</v>
      </c>
      <c r="V11" s="52" t="str">
        <f t="shared" si="6"/>
        <v>M.A. Balbinot</v>
      </c>
      <c r="W11" s="105">
        <f t="shared" si="7"/>
        <v>11</v>
      </c>
      <c r="X11" s="105">
        <f t="shared" si="8"/>
        <v>11.1</v>
      </c>
      <c r="Y11" s="105">
        <f t="shared" si="9"/>
        <v>4</v>
      </c>
      <c r="Z11" s="105">
        <f t="shared" si="10"/>
        <v>4.99</v>
      </c>
    </row>
    <row r="12" spans="1:26" x14ac:dyDescent="0.25">
      <c r="A12" s="3" t="str">
        <f>PLANTILLA!D12</f>
        <v>R. Forsyth</v>
      </c>
      <c r="B12">
        <f>PLANTILLA!E12</f>
        <v>28</v>
      </c>
      <c r="C12">
        <f>PLANTILLA!H12</f>
        <v>4</v>
      </c>
      <c r="D12" s="71">
        <f>PLANTILLA!I12</f>
        <v>8</v>
      </c>
      <c r="E12" s="103">
        <f t="shared" si="11"/>
        <v>8</v>
      </c>
      <c r="F12" s="103">
        <f t="shared" si="12"/>
        <v>8.1</v>
      </c>
      <c r="G12" s="103">
        <f t="shared" si="13"/>
        <v>4</v>
      </c>
      <c r="H12" s="103">
        <f t="shared" si="14"/>
        <v>4.99</v>
      </c>
      <c r="I12" s="107">
        <f t="shared" si="15"/>
        <v>128</v>
      </c>
      <c r="J12" s="107">
        <f t="shared" si="16"/>
        <v>201.69081</v>
      </c>
      <c r="K12" s="104"/>
      <c r="O12">
        <f>A20</f>
        <v>0</v>
      </c>
      <c r="P12" s="105">
        <f>E20</f>
        <v>0</v>
      </c>
      <c r="Q12" s="105">
        <f>F20</f>
        <v>0.1</v>
      </c>
      <c r="R12" s="105">
        <f>G20</f>
        <v>0</v>
      </c>
      <c r="S12" s="105">
        <f>H20</f>
        <v>0.99</v>
      </c>
      <c r="V12" s="52">
        <f t="shared" si="6"/>
        <v>0</v>
      </c>
      <c r="W12" s="105">
        <f t="shared" si="7"/>
        <v>0</v>
      </c>
      <c r="X12" s="105">
        <f t="shared" si="8"/>
        <v>0.1</v>
      </c>
      <c r="Y12" s="105">
        <f t="shared" si="9"/>
        <v>0</v>
      </c>
      <c r="Z12" s="105">
        <f t="shared" si="10"/>
        <v>0.99</v>
      </c>
    </row>
    <row r="13" spans="1:26" x14ac:dyDescent="0.25">
      <c r="A13" s="3" t="str">
        <f>PLANTILLA!D13</f>
        <v>Dusty Ware</v>
      </c>
      <c r="B13">
        <f>PLANTILLA!E13</f>
        <v>29</v>
      </c>
      <c r="C13">
        <f>PLANTILLA!H13</f>
        <v>4</v>
      </c>
      <c r="D13" s="71">
        <f>PLANTILLA!I13</f>
        <v>9</v>
      </c>
      <c r="E13" s="103">
        <f t="shared" si="11"/>
        <v>9</v>
      </c>
      <c r="F13" s="103">
        <f t="shared" si="12"/>
        <v>9.1</v>
      </c>
      <c r="G13" s="103">
        <f t="shared" si="13"/>
        <v>4</v>
      </c>
      <c r="H13" s="103">
        <f t="shared" si="14"/>
        <v>4.99</v>
      </c>
      <c r="I13" s="107">
        <f t="shared" si="15"/>
        <v>144</v>
      </c>
      <c r="J13" s="107">
        <f t="shared" si="16"/>
        <v>226.59091000000001</v>
      </c>
      <c r="K13" s="104"/>
      <c r="O13" t="str">
        <f>A19</f>
        <v>M. Bondarewski</v>
      </c>
      <c r="P13" s="105">
        <f>E19</f>
        <v>9</v>
      </c>
      <c r="Q13" s="105">
        <f>F19</f>
        <v>9.1</v>
      </c>
      <c r="R13" s="105">
        <f>G19</f>
        <v>1</v>
      </c>
      <c r="S13" s="105">
        <f>H19</f>
        <v>1.99</v>
      </c>
      <c r="V13" s="52" t="str">
        <f t="shared" si="6"/>
        <v>M. Bondarewski</v>
      </c>
      <c r="W13" s="105">
        <f t="shared" si="7"/>
        <v>9</v>
      </c>
      <c r="X13" s="105">
        <f t="shared" si="8"/>
        <v>9.1</v>
      </c>
      <c r="Y13" s="105">
        <f t="shared" si="9"/>
        <v>1</v>
      </c>
      <c r="Z13" s="105">
        <f t="shared" si="10"/>
        <v>1.99</v>
      </c>
    </row>
    <row r="14" spans="1:26" x14ac:dyDescent="0.25">
      <c r="A14" s="3" t="str">
        <f>PLANTILLA!D11</f>
        <v>S. Kariuki</v>
      </c>
      <c r="B14">
        <f>PLANTILLA!E11</f>
        <v>29</v>
      </c>
      <c r="C14">
        <f>PLANTILLA!H11</f>
        <v>1</v>
      </c>
      <c r="D14" s="71">
        <f>PLANTILLA!I11</f>
        <v>9</v>
      </c>
      <c r="E14" s="103">
        <f t="shared" si="11"/>
        <v>9</v>
      </c>
      <c r="F14" s="103">
        <f t="shared" si="12"/>
        <v>9.1</v>
      </c>
      <c r="G14" s="103">
        <f t="shared" si="13"/>
        <v>1</v>
      </c>
      <c r="H14" s="103">
        <f t="shared" si="14"/>
        <v>1.99</v>
      </c>
      <c r="I14" s="107">
        <f t="shared" si="15"/>
        <v>9</v>
      </c>
      <c r="J14" s="107">
        <f t="shared" si="16"/>
        <v>36.036909999999999</v>
      </c>
      <c r="K14" s="104"/>
      <c r="P14" s="47" t="e">
        <f>SUM(P4:P13)/10</f>
        <v>#REF!</v>
      </c>
      <c r="Q14" s="47" t="e">
        <f>SUM(Q4:Q13)/10</f>
        <v>#REF!</v>
      </c>
      <c r="R14" s="47"/>
      <c r="S14" s="47"/>
      <c r="W14" s="47" t="e">
        <f>SUM(W4:W13)/10</f>
        <v>#REF!</v>
      </c>
      <c r="X14" s="47" t="e">
        <f>SUM(X4:X13)/10</f>
        <v>#REF!</v>
      </c>
      <c r="Y14" s="47"/>
      <c r="Z14" s="47"/>
    </row>
    <row r="15" spans="1:26" x14ac:dyDescent="0.25">
      <c r="A15" s="3" t="str">
        <f>PLANTILLA!D10</f>
        <v>K. Polyukhov</v>
      </c>
      <c r="B15">
        <f>PLANTILLA!E10</f>
        <v>30</v>
      </c>
      <c r="C15">
        <f>PLANTILLA!H10</f>
        <v>5</v>
      </c>
      <c r="D15" s="71">
        <f>PLANTILLA!I10</f>
        <v>8</v>
      </c>
      <c r="E15" s="103">
        <f t="shared" si="11"/>
        <v>8</v>
      </c>
      <c r="F15" s="103">
        <f t="shared" si="12"/>
        <v>8.1</v>
      </c>
      <c r="G15" s="103">
        <f t="shared" si="13"/>
        <v>5</v>
      </c>
      <c r="H15" s="103">
        <f t="shared" si="14"/>
        <v>5.99</v>
      </c>
      <c r="I15" s="107">
        <f t="shared" si="15"/>
        <v>200</v>
      </c>
      <c r="J15" s="107">
        <f t="shared" si="16"/>
        <v>290.62881000000004</v>
      </c>
      <c r="K15" s="104"/>
    </row>
    <row r="16" spans="1:26" x14ac:dyDescent="0.25">
      <c r="A16" s="3" t="str">
        <f>PLANTILLA!D16</f>
        <v>I. Vanags</v>
      </c>
      <c r="B16">
        <f>PLANTILLA!E16</f>
        <v>28</v>
      </c>
      <c r="C16">
        <f>PLANTILLA!H16</f>
        <v>4</v>
      </c>
      <c r="D16" s="71">
        <f>PLANTILLA!I16</f>
        <v>7</v>
      </c>
      <c r="E16" s="103">
        <f t="shared" si="11"/>
        <v>7</v>
      </c>
      <c r="F16" s="103">
        <f t="shared" si="12"/>
        <v>7.1</v>
      </c>
      <c r="G16" s="103">
        <f t="shared" si="13"/>
        <v>4</v>
      </c>
      <c r="H16" s="103">
        <f t="shared" si="14"/>
        <v>4.99</v>
      </c>
      <c r="I16" s="107">
        <f t="shared" si="15"/>
        <v>112</v>
      </c>
      <c r="J16" s="107">
        <f t="shared" si="16"/>
        <v>176.79071000000002</v>
      </c>
      <c r="K16" s="104"/>
      <c r="L16" s="53" t="s">
        <v>282</v>
      </c>
      <c r="O16" t="s">
        <v>283</v>
      </c>
      <c r="P16" s="71" t="e">
        <f>SUM(P3:P13)</f>
        <v>#REF!</v>
      </c>
      <c r="Q16" s="71" t="e">
        <f>SUM(Q3:Q13)</f>
        <v>#REF!</v>
      </c>
      <c r="R16" s="71"/>
      <c r="V16" s="52" t="s">
        <v>283</v>
      </c>
      <c r="W16" s="71" t="e">
        <f>SUM(W3:W13)</f>
        <v>#REF!</v>
      </c>
      <c r="X16" s="71" t="e">
        <f>SUM(X3:X13)</f>
        <v>#REF!</v>
      </c>
      <c r="Y16" s="71"/>
    </row>
    <row r="17" spans="1:25" x14ac:dyDescent="0.25">
      <c r="A17" s="3" t="str">
        <f>PLANTILLA!D17</f>
        <v>I. Stone</v>
      </c>
      <c r="B17">
        <f>PLANTILLA!E17</f>
        <v>27</v>
      </c>
      <c r="C17">
        <f>PLANTILLA!H17</f>
        <v>6</v>
      </c>
      <c r="D17" s="71">
        <f>PLANTILLA!I17</f>
        <v>8</v>
      </c>
      <c r="E17" s="103">
        <f t="shared" si="11"/>
        <v>8</v>
      </c>
      <c r="F17" s="103">
        <f t="shared" si="12"/>
        <v>8.1</v>
      </c>
      <c r="G17" s="103">
        <f t="shared" si="13"/>
        <v>6</v>
      </c>
      <c r="H17" s="103">
        <f t="shared" si="14"/>
        <v>6.99</v>
      </c>
      <c r="I17" s="107">
        <f t="shared" si="15"/>
        <v>288</v>
      </c>
      <c r="J17" s="107">
        <f t="shared" si="16"/>
        <v>395.76681000000002</v>
      </c>
      <c r="K17" s="104"/>
      <c r="O17" s="90" t="s">
        <v>284</v>
      </c>
      <c r="P17" s="47" t="e">
        <f>P16/16.5</f>
        <v>#REF!</v>
      </c>
      <c r="Q17" s="47" t="e">
        <f>Q16/16.5</f>
        <v>#REF!</v>
      </c>
      <c r="R17" s="47"/>
      <c r="V17" s="52" t="s">
        <v>285</v>
      </c>
      <c r="W17" s="47" t="e">
        <f>W16/17</f>
        <v>#REF!</v>
      </c>
      <c r="X17" s="47" t="e">
        <f>X16/17</f>
        <v>#REF!</v>
      </c>
      <c r="Y17" s="47"/>
    </row>
    <row r="18" spans="1:25" x14ac:dyDescent="0.25">
      <c r="A18" s="3" t="str">
        <f>PLANTILLA!D18</f>
        <v>G. Piscaer</v>
      </c>
      <c r="B18">
        <f>PLANTILLA!E18</f>
        <v>28</v>
      </c>
      <c r="C18">
        <f>PLANTILLA!H18</f>
        <v>1</v>
      </c>
      <c r="D18" s="71">
        <f>PLANTILLA!I18</f>
        <v>9</v>
      </c>
      <c r="E18" s="103">
        <f t="shared" si="11"/>
        <v>9</v>
      </c>
      <c r="F18" s="103">
        <f t="shared" si="12"/>
        <v>9.1</v>
      </c>
      <c r="G18" s="103">
        <f t="shared" si="13"/>
        <v>1</v>
      </c>
      <c r="H18" s="103">
        <f t="shared" si="14"/>
        <v>1.99</v>
      </c>
      <c r="I18" s="107">
        <f t="shared" si="15"/>
        <v>9</v>
      </c>
      <c r="J18" s="107">
        <f t="shared" si="16"/>
        <v>36.036909999999999</v>
      </c>
      <c r="K18" s="104"/>
      <c r="L18" s="53" t="s">
        <v>286</v>
      </c>
      <c r="O18" t="s">
        <v>287</v>
      </c>
      <c r="P18" s="71">
        <f>R3^2</f>
        <v>36</v>
      </c>
      <c r="Q18" s="71">
        <f>S3^2</f>
        <v>48.860100000000003</v>
      </c>
      <c r="R18" s="71"/>
      <c r="V18" s="52" t="s">
        <v>287</v>
      </c>
      <c r="W18" s="71">
        <f>Y3^2</f>
        <v>36</v>
      </c>
      <c r="X18" s="71">
        <f>Z3^2</f>
        <v>48.860100000000003</v>
      </c>
      <c r="Y18" s="71"/>
    </row>
    <row r="19" spans="1:25" x14ac:dyDescent="0.25">
      <c r="A19" s="3" t="str">
        <f>PLANTILLA!D19</f>
        <v>M. Bondarewski</v>
      </c>
      <c r="B19">
        <f>PLANTILLA!E19</f>
        <v>28</v>
      </c>
      <c r="C19">
        <f>PLANTILLA!H19</f>
        <v>1</v>
      </c>
      <c r="D19" s="71">
        <f>PLANTILLA!I19</f>
        <v>9</v>
      </c>
      <c r="E19" s="103">
        <f t="shared" si="11"/>
        <v>9</v>
      </c>
      <c r="F19" s="103">
        <f t="shared" si="12"/>
        <v>9.1</v>
      </c>
      <c r="G19" s="103">
        <f t="shared" si="13"/>
        <v>1</v>
      </c>
      <c r="H19" s="103">
        <f t="shared" si="14"/>
        <v>1.99</v>
      </c>
      <c r="I19" s="107">
        <f t="shared" si="15"/>
        <v>9</v>
      </c>
      <c r="J19" s="107">
        <f t="shared" si="16"/>
        <v>36.036909999999999</v>
      </c>
      <c r="K19" s="104"/>
      <c r="L19" s="53" t="s">
        <v>288</v>
      </c>
      <c r="O19" t="s">
        <v>289</v>
      </c>
      <c r="P19" s="71">
        <f>P18*P3</f>
        <v>943.19999999999993</v>
      </c>
      <c r="Q19" s="71">
        <f>Q18*Q3</f>
        <v>1285.0206300000002</v>
      </c>
      <c r="R19" s="71"/>
      <c r="V19" s="52" t="s">
        <v>289</v>
      </c>
      <c r="W19" s="71">
        <f>W18*W3</f>
        <v>943.19999999999993</v>
      </c>
      <c r="X19" s="71">
        <f>X18*X3</f>
        <v>1285.0206300000002</v>
      </c>
      <c r="Y19" s="71"/>
    </row>
    <row r="20" spans="1:25" x14ac:dyDescent="0.25">
      <c r="A20" s="3">
        <f>PLANTILLA!D20</f>
        <v>0</v>
      </c>
      <c r="B20">
        <f>PLANTILLA!E20</f>
        <v>0</v>
      </c>
      <c r="C20">
        <f>PLANTILLA!H20</f>
        <v>0</v>
      </c>
      <c r="D20" s="71">
        <f>PLANTILLA!I20</f>
        <v>0</v>
      </c>
      <c r="E20" s="103">
        <f t="shared" si="11"/>
        <v>0</v>
      </c>
      <c r="F20" s="103">
        <f t="shared" si="12"/>
        <v>0.1</v>
      </c>
      <c r="G20" s="103">
        <f t="shared" si="13"/>
        <v>0</v>
      </c>
      <c r="H20" s="103">
        <f t="shared" si="14"/>
        <v>0.99</v>
      </c>
      <c r="I20" s="107">
        <f t="shared" si="15"/>
        <v>0</v>
      </c>
      <c r="J20" s="107">
        <f t="shared" si="16"/>
        <v>9.801E-2</v>
      </c>
      <c r="K20" s="104"/>
      <c r="L20" s="53" t="s">
        <v>290</v>
      </c>
      <c r="O20" s="90" t="s">
        <v>291</v>
      </c>
      <c r="P20" s="47">
        <f>(P19^(2/3))/27</f>
        <v>3.5620944486687458</v>
      </c>
      <c r="Q20" s="47">
        <f>(Q19^(2/3))/27</f>
        <v>4.377669485202845</v>
      </c>
      <c r="R20" s="47"/>
      <c r="V20" s="52" t="s">
        <v>292</v>
      </c>
      <c r="W20" s="47">
        <f>(W19^(2/3))/30</f>
        <v>3.2058850038018716</v>
      </c>
      <c r="X20" s="47">
        <f>(X19^(2/3))/30</f>
        <v>3.9399025366825606</v>
      </c>
      <c r="Y20" s="47"/>
    </row>
    <row r="21" spans="1:25" x14ac:dyDescent="0.25">
      <c r="A21" s="3">
        <f>PLANTILLA!D21</f>
        <v>0</v>
      </c>
      <c r="B21">
        <f>PLANTILLA!E21</f>
        <v>0</v>
      </c>
      <c r="C21">
        <f>PLANTILLA!H21</f>
        <v>0</v>
      </c>
      <c r="D21" s="71">
        <f>PLANTILLA!I21</f>
        <v>0</v>
      </c>
      <c r="E21" s="103">
        <f t="shared" si="11"/>
        <v>0</v>
      </c>
      <c r="F21" s="103">
        <f t="shared" si="12"/>
        <v>0.1</v>
      </c>
      <c r="G21" s="103">
        <f t="shared" si="13"/>
        <v>0</v>
      </c>
      <c r="H21" s="103">
        <f t="shared" si="14"/>
        <v>0.99</v>
      </c>
      <c r="I21" s="107">
        <f t="shared" si="15"/>
        <v>0</v>
      </c>
      <c r="J21" s="107">
        <f t="shared" si="16"/>
        <v>9.801E-2</v>
      </c>
      <c r="K21" s="104"/>
      <c r="L21" s="53" t="s">
        <v>293</v>
      </c>
      <c r="O21" s="52" t="s">
        <v>191</v>
      </c>
      <c r="P21" s="229" t="e">
        <f>P17+P20</f>
        <v>#REF!</v>
      </c>
      <c r="Q21" s="229" t="e">
        <f>Q17+Q20</f>
        <v>#REF!</v>
      </c>
      <c r="V21" s="52" t="s">
        <v>191</v>
      </c>
      <c r="W21" s="229" t="e">
        <f>W17+W20</f>
        <v>#REF!</v>
      </c>
      <c r="X21" s="229" t="e">
        <f>X17+X20</f>
        <v>#REF!</v>
      </c>
    </row>
    <row r="22" spans="1:25" x14ac:dyDescent="0.25">
      <c r="A22" s="3">
        <f>PLANTILLA!D22</f>
        <v>0</v>
      </c>
      <c r="B22">
        <f>PLANTILLA!E22</f>
        <v>0</v>
      </c>
      <c r="C22">
        <f>PLANTILLA!H22</f>
        <v>0</v>
      </c>
      <c r="D22" s="71">
        <f>PLANTILLA!I22</f>
        <v>0</v>
      </c>
      <c r="E22" s="103">
        <f t="shared" si="11"/>
        <v>0</v>
      </c>
      <c r="F22" s="103">
        <f t="shared" si="12"/>
        <v>0.1</v>
      </c>
      <c r="G22" s="103">
        <f t="shared" si="13"/>
        <v>0</v>
      </c>
      <c r="H22" s="103">
        <f t="shared" si="14"/>
        <v>0.99</v>
      </c>
      <c r="I22" s="107">
        <f t="shared" si="15"/>
        <v>0</v>
      </c>
      <c r="J22" s="107">
        <f t="shared" si="16"/>
        <v>9.801E-2</v>
      </c>
      <c r="K22" s="104"/>
      <c r="L22" t="s">
        <v>294</v>
      </c>
    </row>
    <row r="23" spans="1:25" x14ac:dyDescent="0.25">
      <c r="A23" s="3">
        <f>PLANTILLA!D23</f>
        <v>0</v>
      </c>
      <c r="B23">
        <f>PLANTILLA!E23</f>
        <v>0</v>
      </c>
      <c r="C23">
        <f>PLANTILLA!H23</f>
        <v>0</v>
      </c>
      <c r="D23" s="71">
        <f>PLANTILLA!I23</f>
        <v>0</v>
      </c>
      <c r="E23" s="103">
        <f t="shared" si="11"/>
        <v>0</v>
      </c>
      <c r="F23" s="103">
        <f t="shared" si="12"/>
        <v>0.1</v>
      </c>
      <c r="G23" s="103">
        <f t="shared" si="13"/>
        <v>0</v>
      </c>
      <c r="H23" s="103">
        <f t="shared" si="14"/>
        <v>0.99</v>
      </c>
      <c r="I23" s="107">
        <f t="shared" si="15"/>
        <v>0</v>
      </c>
      <c r="J23" s="107">
        <f t="shared" si="16"/>
        <v>9.801E-2</v>
      </c>
      <c r="K23" s="104"/>
      <c r="O23" s="73">
        <v>42576</v>
      </c>
      <c r="P23">
        <v>6.76</v>
      </c>
      <c r="Q23">
        <v>6.99</v>
      </c>
      <c r="R23" t="s">
        <v>295</v>
      </c>
      <c r="W23" s="47"/>
    </row>
    <row r="24" spans="1:25" x14ac:dyDescent="0.25">
      <c r="A24" s="3">
        <f>PLANTILLA!D24</f>
        <v>0</v>
      </c>
      <c r="B24">
        <f>PLANTILLA!E24</f>
        <v>0</v>
      </c>
      <c r="C24">
        <f>PLANTILLA!H24</f>
        <v>0</v>
      </c>
      <c r="D24" s="71">
        <f>PLANTILLA!I24</f>
        <v>0</v>
      </c>
      <c r="E24" s="103">
        <f t="shared" si="11"/>
        <v>0</v>
      </c>
      <c r="F24" s="103">
        <f t="shared" si="12"/>
        <v>0.1</v>
      </c>
      <c r="G24" s="103">
        <f t="shared" si="13"/>
        <v>0</v>
      </c>
      <c r="H24" s="103">
        <f t="shared" si="14"/>
        <v>0.99</v>
      </c>
      <c r="I24" s="107">
        <f t="shared" si="15"/>
        <v>0</v>
      </c>
      <c r="J24" s="107">
        <f t="shared" si="16"/>
        <v>9.801E-2</v>
      </c>
    </row>
    <row r="25" spans="1:25" x14ac:dyDescent="0.25">
      <c r="A25" s="3">
        <f>PLANTILLA!D25</f>
        <v>0</v>
      </c>
      <c r="B25">
        <f>PLANTILLA!E25</f>
        <v>0</v>
      </c>
      <c r="C25">
        <f>PLANTILLA!H25</f>
        <v>0</v>
      </c>
      <c r="D25" s="71">
        <f>PLANTILLA!I25</f>
        <v>0</v>
      </c>
      <c r="E25" s="103">
        <f t="shared" si="11"/>
        <v>0</v>
      </c>
      <c r="F25" s="103">
        <f t="shared" si="12"/>
        <v>0.1</v>
      </c>
      <c r="G25" s="103">
        <f t="shared" si="13"/>
        <v>0</v>
      </c>
      <c r="H25" s="103">
        <f t="shared" si="14"/>
        <v>0.99</v>
      </c>
      <c r="I25" s="107">
        <f t="shared" si="15"/>
        <v>0</v>
      </c>
      <c r="J25" s="107">
        <f t="shared" si="16"/>
        <v>9.801E-2</v>
      </c>
      <c r="V25"/>
    </row>
    <row r="26" spans="1:25" x14ac:dyDescent="0.25">
      <c r="A26" s="3">
        <f>PLANTILLA!D26</f>
        <v>0</v>
      </c>
      <c r="B26">
        <f>PLANTILLA!E26</f>
        <v>0</v>
      </c>
      <c r="C26">
        <f>PLANTILLA!H26</f>
        <v>0</v>
      </c>
      <c r="D26" s="71">
        <f>PLANTILLA!I26</f>
        <v>0</v>
      </c>
      <c r="E26" s="103">
        <f t="shared" si="11"/>
        <v>0</v>
      </c>
      <c r="F26" s="103">
        <f t="shared" si="12"/>
        <v>0.1</v>
      </c>
      <c r="G26" s="103">
        <f t="shared" si="13"/>
        <v>0</v>
      </c>
      <c r="H26" s="103">
        <f t="shared" si="14"/>
        <v>0.99</v>
      </c>
      <c r="I26" s="107">
        <f t="shared" si="15"/>
        <v>0</v>
      </c>
      <c r="J26" s="107">
        <f t="shared" si="16"/>
        <v>9.801E-2</v>
      </c>
      <c r="V26"/>
    </row>
    <row r="27" spans="1:25" x14ac:dyDescent="0.25">
      <c r="A27" s="3">
        <f>PLANTILLA!D27</f>
        <v>0</v>
      </c>
      <c r="B27">
        <f>PLANTILLA!E27</f>
        <v>0</v>
      </c>
      <c r="C27">
        <f>PLANTILLA!H27</f>
        <v>0</v>
      </c>
      <c r="D27" s="71">
        <f>PLANTILLA!I27</f>
        <v>0</v>
      </c>
      <c r="E27" s="103">
        <f t="shared" si="11"/>
        <v>0</v>
      </c>
      <c r="F27" s="103">
        <f t="shared" si="12"/>
        <v>0.1</v>
      </c>
      <c r="G27" s="103">
        <f t="shared" si="13"/>
        <v>0</v>
      </c>
      <c r="H27" s="103">
        <f t="shared" si="14"/>
        <v>0.99</v>
      </c>
      <c r="I27" s="107">
        <f t="shared" si="15"/>
        <v>0</v>
      </c>
      <c r="J27" s="107">
        <f t="shared" si="16"/>
        <v>9.801E-2</v>
      </c>
      <c r="V27"/>
    </row>
    <row r="28" spans="1:25" x14ac:dyDescent="0.25">
      <c r="A28" s="3">
        <f>PLANTILLA!D28</f>
        <v>0</v>
      </c>
      <c r="B28">
        <f>PLANTILLA!E28</f>
        <v>0</v>
      </c>
      <c r="C28">
        <f>PLANTILLA!H28</f>
        <v>0</v>
      </c>
      <c r="D28" s="71">
        <f>PLANTILLA!I28</f>
        <v>0</v>
      </c>
      <c r="E28" s="103">
        <f t="shared" si="11"/>
        <v>0</v>
      </c>
      <c r="F28" s="103">
        <f t="shared" si="12"/>
        <v>0.1</v>
      </c>
      <c r="G28" s="103">
        <f t="shared" si="13"/>
        <v>0</v>
      </c>
      <c r="H28" s="103">
        <f t="shared" si="14"/>
        <v>0.99</v>
      </c>
      <c r="I28" s="107">
        <f t="shared" si="15"/>
        <v>0</v>
      </c>
      <c r="J28" s="107">
        <f t="shared" si="16"/>
        <v>9.801E-2</v>
      </c>
    </row>
  </sheetData>
  <conditionalFormatting sqref="I3:J28">
    <cfRule type="cellIs" dxfId="20" priority="1" operator="between">
      <formula>70</formula>
      <formula>100</formula>
    </cfRule>
  </conditionalFormatting>
  <conditionalFormatting sqref="I3:J28">
    <cfRule type="cellIs" dxfId="1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7" customWidth="1"/>
    <col min="14" max="14" width="21.5703125" style="57" customWidth="1"/>
    <col min="15" max="15" width="14" style="57" customWidth="1"/>
    <col min="16" max="16" width="13" style="57" customWidth="1"/>
    <col min="17" max="17" width="10.42578125" style="57" customWidth="1"/>
    <col min="18" max="18" width="10.28515625" style="57" customWidth="1"/>
    <col min="19" max="19" width="21" style="57" customWidth="1"/>
    <col min="20" max="20" width="12" style="57" customWidth="1"/>
    <col min="21" max="21" width="16.85546875" style="57" customWidth="1"/>
    <col min="22" max="22" width="16.7109375" customWidth="1"/>
  </cols>
  <sheetData>
    <row r="1" spans="1:22" x14ac:dyDescent="0.25">
      <c r="A1" s="79" t="s">
        <v>82</v>
      </c>
      <c r="B1" s="79" t="s">
        <v>83</v>
      </c>
      <c r="C1" s="80" t="s">
        <v>296</v>
      </c>
      <c r="D1" s="81" t="s">
        <v>84</v>
      </c>
      <c r="E1" s="79" t="s">
        <v>85</v>
      </c>
      <c r="F1" s="79" t="s">
        <v>87</v>
      </c>
      <c r="G1" s="79" t="s">
        <v>88</v>
      </c>
      <c r="H1" s="79" t="s">
        <v>89</v>
      </c>
      <c r="I1" s="82" t="s">
        <v>297</v>
      </c>
      <c r="J1" s="82" t="s">
        <v>298</v>
      </c>
      <c r="K1" s="79" t="s">
        <v>100</v>
      </c>
      <c r="L1" s="79" t="s">
        <v>102</v>
      </c>
      <c r="M1" s="121" t="s">
        <v>299</v>
      </c>
      <c r="N1" s="121" t="s">
        <v>300</v>
      </c>
      <c r="O1" s="121" t="s">
        <v>301</v>
      </c>
      <c r="P1" s="121" t="s">
        <v>302</v>
      </c>
      <c r="Q1" s="121" t="s">
        <v>303</v>
      </c>
      <c r="R1" s="121" t="s">
        <v>304</v>
      </c>
      <c r="S1" s="121" t="s">
        <v>305</v>
      </c>
      <c r="T1" s="121" t="s">
        <v>306</v>
      </c>
      <c r="U1" s="121" t="s">
        <v>307</v>
      </c>
      <c r="V1" s="121" t="s">
        <v>308</v>
      </c>
    </row>
    <row r="2" spans="1:22" x14ac:dyDescent="0.25">
      <c r="A2" s="78"/>
      <c r="B2" s="78" t="s">
        <v>309</v>
      </c>
      <c r="C2" s="78"/>
      <c r="D2" s="75" t="s">
        <v>310</v>
      </c>
      <c r="E2" s="54">
        <v>42</v>
      </c>
      <c r="F2" s="70" t="s">
        <v>134</v>
      </c>
      <c r="G2" s="108">
        <v>3</v>
      </c>
      <c r="H2" s="56">
        <v>16.004000000000001</v>
      </c>
      <c r="I2" s="83">
        <f>(G2)*(G2)*(H2)</f>
        <v>144.036</v>
      </c>
      <c r="J2" s="83">
        <f>(G2+1)*(G2+1)*H2</f>
        <v>256.06400000000002</v>
      </c>
      <c r="K2" s="76">
        <v>0</v>
      </c>
      <c r="L2" s="76">
        <v>300</v>
      </c>
      <c r="M2" s="122">
        <v>41576</v>
      </c>
      <c r="N2" s="122">
        <v>41731</v>
      </c>
      <c r="O2" s="122">
        <v>42305</v>
      </c>
      <c r="P2" s="59">
        <v>772000</v>
      </c>
      <c r="Q2" s="59">
        <f>((N2-M2)/7)*L2</f>
        <v>6642.8571428571431</v>
      </c>
      <c r="R2" s="59">
        <f ca="1">((TODAY()-N2)/7)*L2</f>
        <v>128442.85714285714</v>
      </c>
      <c r="S2" s="59">
        <v>2068800</v>
      </c>
      <c r="T2" s="59">
        <f ca="1">S2+Q2+P2+R2</f>
        <v>2975885.7142857146</v>
      </c>
      <c r="U2" s="63">
        <f ca="1">T2/((O2-N2)/112)</f>
        <v>580660.6271777004</v>
      </c>
      <c r="V2" s="48">
        <f>(O2-N2)/112</f>
        <v>5.125</v>
      </c>
    </row>
    <row r="3" spans="1:22" x14ac:dyDescent="0.25">
      <c r="A3" s="79" t="s">
        <v>82</v>
      </c>
      <c r="B3" s="79" t="s">
        <v>83</v>
      </c>
      <c r="C3" s="80" t="s">
        <v>296</v>
      </c>
      <c r="D3" s="81" t="s">
        <v>84</v>
      </c>
      <c r="E3" s="79" t="s">
        <v>85</v>
      </c>
      <c r="F3" s="79" t="s">
        <v>87</v>
      </c>
      <c r="G3" s="79" t="s">
        <v>88</v>
      </c>
      <c r="H3" s="79" t="s">
        <v>89</v>
      </c>
      <c r="I3" s="82" t="s">
        <v>297</v>
      </c>
      <c r="J3" s="82" t="s">
        <v>298</v>
      </c>
      <c r="K3" s="79" t="s">
        <v>100</v>
      </c>
      <c r="L3" s="79" t="s">
        <v>102</v>
      </c>
      <c r="M3" s="121" t="s">
        <v>299</v>
      </c>
      <c r="N3" s="121" t="s">
        <v>300</v>
      </c>
      <c r="O3" s="121" t="s">
        <v>301</v>
      </c>
      <c r="P3" s="121" t="s">
        <v>302</v>
      </c>
      <c r="Q3" s="121" t="s">
        <v>303</v>
      </c>
      <c r="R3" s="121" t="s">
        <v>304</v>
      </c>
      <c r="S3" s="121" t="s">
        <v>305</v>
      </c>
      <c r="T3" s="121" t="s">
        <v>306</v>
      </c>
      <c r="U3" s="121" t="s">
        <v>307</v>
      </c>
      <c r="V3" s="121" t="s">
        <v>308</v>
      </c>
    </row>
    <row r="4" spans="1:22" x14ac:dyDescent="0.25">
      <c r="A4" s="78"/>
      <c r="B4" s="78" t="s">
        <v>309</v>
      </c>
      <c r="C4" s="78"/>
      <c r="D4" s="75" t="s">
        <v>311</v>
      </c>
      <c r="E4" s="54">
        <v>44</v>
      </c>
      <c r="F4" s="70" t="s">
        <v>134</v>
      </c>
      <c r="G4" s="108">
        <v>5</v>
      </c>
      <c r="H4" s="56">
        <v>16.109000000000002</v>
      </c>
      <c r="I4" s="83">
        <f>(G4)*(G4)*(H4)</f>
        <v>402.72500000000002</v>
      </c>
      <c r="J4" s="83">
        <f>(G4+1)*(G4+1)*H4</f>
        <v>579.92400000000009</v>
      </c>
      <c r="K4" s="76">
        <v>0</v>
      </c>
      <c r="L4" s="76">
        <v>300</v>
      </c>
      <c r="M4" s="122">
        <v>41976</v>
      </c>
      <c r="N4" s="122">
        <v>42305</v>
      </c>
      <c r="O4" s="122">
        <v>42908</v>
      </c>
      <c r="P4" s="59">
        <v>1052640</v>
      </c>
      <c r="Q4" s="59">
        <f>((N4-M4)/7)*L4</f>
        <v>14100</v>
      </c>
      <c r="R4" s="59">
        <f ca="1">((TODAY()-N4)/7)*L4</f>
        <v>103842.85714285714</v>
      </c>
      <c r="S4" s="59">
        <v>2059800</v>
      </c>
      <c r="T4" s="59">
        <f>S4+Q4+P4</f>
        <v>3126540</v>
      </c>
      <c r="U4" s="63">
        <f>T4/((O4-N4)/112)</f>
        <v>580717.21393034828</v>
      </c>
      <c r="V4" s="48">
        <f ca="1">(A7-N4)/112</f>
        <v>21.633928571428573</v>
      </c>
    </row>
    <row r="5" spans="1:22" x14ac:dyDescent="0.25">
      <c r="O5" s="203"/>
    </row>
    <row r="7" spans="1:22" x14ac:dyDescent="0.25">
      <c r="A7" s="51">
        <f ca="1">TODAY()</f>
        <v>44728</v>
      </c>
    </row>
    <row r="8" spans="1:22" x14ac:dyDescent="0.25">
      <c r="A8" s="51">
        <v>41757</v>
      </c>
    </row>
    <row r="9" spans="1:22" x14ac:dyDescent="0.25">
      <c r="A9" s="52">
        <f ca="1">A7-A8</f>
        <v>2971</v>
      </c>
    </row>
    <row r="10" spans="1:22" x14ac:dyDescent="0.25">
      <c r="A10" s="120">
        <f ca="1">A9/112</f>
        <v>26.526785714285715</v>
      </c>
    </row>
    <row r="12" spans="1:22" x14ac:dyDescent="0.25">
      <c r="A12" s="79" t="s">
        <v>82</v>
      </c>
      <c r="B12" s="79" t="s">
        <v>83</v>
      </c>
      <c r="C12" s="80" t="s">
        <v>296</v>
      </c>
      <c r="D12" s="81" t="s">
        <v>84</v>
      </c>
      <c r="E12" s="79" t="s">
        <v>85</v>
      </c>
      <c r="F12" s="79" t="s">
        <v>87</v>
      </c>
      <c r="G12" s="79" t="s">
        <v>88</v>
      </c>
      <c r="H12" s="79" t="s">
        <v>89</v>
      </c>
      <c r="I12" s="82" t="s">
        <v>297</v>
      </c>
      <c r="J12" s="82" t="s">
        <v>298</v>
      </c>
      <c r="K12" s="79" t="s">
        <v>100</v>
      </c>
      <c r="L12" s="79" t="s">
        <v>102</v>
      </c>
      <c r="M12" s="121" t="s">
        <v>299</v>
      </c>
      <c r="N12" s="121" t="s">
        <v>300</v>
      </c>
      <c r="O12" s="121" t="s">
        <v>301</v>
      </c>
      <c r="P12" s="121" t="s">
        <v>302</v>
      </c>
      <c r="Q12" s="121" t="s">
        <v>303</v>
      </c>
      <c r="R12" s="121" t="s">
        <v>304</v>
      </c>
      <c r="S12" s="121" t="s">
        <v>305</v>
      </c>
      <c r="T12" s="121" t="s">
        <v>306</v>
      </c>
      <c r="U12" s="121" t="s">
        <v>307</v>
      </c>
      <c r="V12" s="121" t="s">
        <v>308</v>
      </c>
    </row>
    <row r="13" spans="1:22" x14ac:dyDescent="0.25">
      <c r="D13" s="75" t="s">
        <v>312</v>
      </c>
      <c r="E13" s="54">
        <v>39</v>
      </c>
      <c r="F13" s="70"/>
      <c r="G13" s="108">
        <v>6</v>
      </c>
      <c r="H13" s="56">
        <v>13</v>
      </c>
      <c r="I13" s="83">
        <f>(G13)*(G13)*(H13)</f>
        <v>468</v>
      </c>
      <c r="J13" s="83">
        <f>(G13+1)*(G13+1)*H13</f>
        <v>637</v>
      </c>
      <c r="K13" s="76">
        <v>1130</v>
      </c>
      <c r="L13" s="76">
        <v>864</v>
      </c>
      <c r="M13" s="122">
        <v>42628</v>
      </c>
      <c r="N13" s="122">
        <f>O4</f>
        <v>42908</v>
      </c>
      <c r="O13" s="122">
        <f ca="1">TODAY()</f>
        <v>44728</v>
      </c>
      <c r="P13" s="205">
        <v>1800000</v>
      </c>
      <c r="Q13" s="59">
        <v>372</v>
      </c>
      <c r="R13" s="59">
        <f ca="1">((TODAY()-N13)/7)*L13</f>
        <v>224640</v>
      </c>
      <c r="S13" s="205">
        <v>2553000</v>
      </c>
      <c r="T13" s="59">
        <f>S13+Q13+P13</f>
        <v>4353372</v>
      </c>
      <c r="U13" s="63">
        <f ca="1">T13/((O13-N13)/112)</f>
        <v>267899.81538461539</v>
      </c>
      <c r="V13" s="48">
        <v>7</v>
      </c>
    </row>
    <row r="17" spans="1:22" ht="18" x14ac:dyDescent="0.25">
      <c r="A17" s="194">
        <v>42908</v>
      </c>
      <c r="B17" s="73"/>
      <c r="C17">
        <v>112</v>
      </c>
      <c r="D17">
        <v>0</v>
      </c>
    </row>
    <row r="18" spans="1:22" x14ac:dyDescent="0.25">
      <c r="A18" s="73">
        <f ca="1">TODAY()</f>
        <v>44728</v>
      </c>
      <c r="B18" s="73"/>
      <c r="C18">
        <v>400</v>
      </c>
      <c r="D18">
        <v>1</v>
      </c>
    </row>
    <row r="19" spans="1:22" x14ac:dyDescent="0.25">
      <c r="A19">
        <f ca="1">A18-A17</f>
        <v>1820</v>
      </c>
      <c r="C19">
        <f>C18-C17</f>
        <v>288</v>
      </c>
      <c r="D19" s="195">
        <f ca="1">(A19-C17)/C19</f>
        <v>5.9305555555555554</v>
      </c>
    </row>
    <row r="20" spans="1:22" x14ac:dyDescent="0.25">
      <c r="D20" t="s">
        <v>313</v>
      </c>
    </row>
    <row r="24" spans="1:22" x14ac:dyDescent="0.25">
      <c r="A24" s="79" t="s">
        <v>82</v>
      </c>
      <c r="B24" s="79" t="s">
        <v>83</v>
      </c>
      <c r="C24" s="80" t="s">
        <v>296</v>
      </c>
      <c r="D24" s="81" t="s">
        <v>84</v>
      </c>
      <c r="E24" s="79" t="s">
        <v>85</v>
      </c>
      <c r="F24" s="79" t="s">
        <v>87</v>
      </c>
      <c r="G24" s="79" t="s">
        <v>88</v>
      </c>
      <c r="H24" s="79" t="s">
        <v>89</v>
      </c>
      <c r="I24" s="82" t="s">
        <v>297</v>
      </c>
      <c r="J24" s="82" t="s">
        <v>298</v>
      </c>
      <c r="K24" s="79" t="s">
        <v>100</v>
      </c>
      <c r="L24" s="79" t="s">
        <v>102</v>
      </c>
      <c r="M24" s="121" t="s">
        <v>299</v>
      </c>
      <c r="N24" s="121" t="s">
        <v>300</v>
      </c>
      <c r="O24" s="121" t="s">
        <v>301</v>
      </c>
      <c r="P24" s="121" t="s">
        <v>302</v>
      </c>
      <c r="Q24" s="121" t="s">
        <v>303</v>
      </c>
      <c r="R24" s="121" t="s">
        <v>304</v>
      </c>
      <c r="S24" s="121" t="s">
        <v>305</v>
      </c>
      <c r="T24" s="121" t="s">
        <v>306</v>
      </c>
      <c r="U24" s="121" t="s">
        <v>307</v>
      </c>
      <c r="V24" s="121" t="s">
        <v>308</v>
      </c>
    </row>
    <row r="28" spans="1:22" ht="19.5" x14ac:dyDescent="0.25">
      <c r="A28" s="559" t="s">
        <v>314</v>
      </c>
      <c r="B28" s="559"/>
      <c r="C28" s="559"/>
      <c r="D28" s="559"/>
    </row>
    <row r="29" spans="1:22" x14ac:dyDescent="0.25">
      <c r="A29" s="560" t="s">
        <v>315</v>
      </c>
      <c r="B29" s="561" t="s">
        <v>316</v>
      </c>
      <c r="C29" s="561" t="s">
        <v>317</v>
      </c>
      <c r="D29" s="561" t="s">
        <v>318</v>
      </c>
    </row>
    <row r="30" spans="1:22" x14ac:dyDescent="0.25">
      <c r="A30" s="560"/>
      <c r="B30" s="561"/>
      <c r="C30" s="561"/>
      <c r="D30" s="561"/>
    </row>
    <row r="31" spans="1:22" x14ac:dyDescent="0.25">
      <c r="A31" s="60" t="s">
        <v>316</v>
      </c>
      <c r="B31" s="61" t="s">
        <v>319</v>
      </c>
      <c r="C31" s="61" t="s">
        <v>320</v>
      </c>
      <c r="D31" s="61" t="s">
        <v>320</v>
      </c>
    </row>
    <row r="32" spans="1:22" x14ac:dyDescent="0.25">
      <c r="A32" s="204" t="s">
        <v>317</v>
      </c>
      <c r="B32" s="62" t="s">
        <v>321</v>
      </c>
      <c r="C32" s="62" t="s">
        <v>322</v>
      </c>
      <c r="D32" s="62" t="s">
        <v>320</v>
      </c>
    </row>
    <row r="33" spans="1:4" x14ac:dyDescent="0.25">
      <c r="A33" s="60" t="s">
        <v>318</v>
      </c>
      <c r="B33" s="61" t="s">
        <v>323</v>
      </c>
      <c r="C33" s="61" t="s">
        <v>324</v>
      </c>
      <c r="D33" s="61" t="s">
        <v>325</v>
      </c>
    </row>
    <row r="34" spans="1:4" x14ac:dyDescent="0.25">
      <c r="A34" s="204" t="s">
        <v>326</v>
      </c>
      <c r="B34" s="62" t="s">
        <v>327</v>
      </c>
      <c r="C34" s="62" t="s">
        <v>328</v>
      </c>
      <c r="D34" s="62" t="s">
        <v>329</v>
      </c>
    </row>
    <row r="35" spans="1:4" x14ac:dyDescent="0.25">
      <c r="A35" s="60" t="s">
        <v>330</v>
      </c>
      <c r="B35" s="61" t="s">
        <v>331</v>
      </c>
      <c r="C35" s="61" t="s">
        <v>332</v>
      </c>
      <c r="D35" s="61" t="s">
        <v>333</v>
      </c>
    </row>
    <row r="36" spans="1:4" x14ac:dyDescent="0.25">
      <c r="A36" s="204" t="s">
        <v>334</v>
      </c>
      <c r="B36" s="62" t="s">
        <v>335</v>
      </c>
      <c r="C36" s="62" t="s">
        <v>336</v>
      </c>
      <c r="D36" s="62" t="s">
        <v>337</v>
      </c>
    </row>
    <row r="37" spans="1:4" x14ac:dyDescent="0.25">
      <c r="A37" s="60" t="s">
        <v>338</v>
      </c>
      <c r="B37" s="61" t="s">
        <v>339</v>
      </c>
      <c r="C37" s="61" t="s">
        <v>340</v>
      </c>
      <c r="D37" s="61" t="s">
        <v>341</v>
      </c>
    </row>
    <row r="38" spans="1:4" x14ac:dyDescent="0.25">
      <c r="A38" s="204" t="s">
        <v>342</v>
      </c>
      <c r="B38" s="62" t="s">
        <v>343</v>
      </c>
      <c r="C38" s="62" t="s">
        <v>344</v>
      </c>
      <c r="D38" s="62" t="s">
        <v>345</v>
      </c>
    </row>
    <row r="39" spans="1:4" x14ac:dyDescent="0.25">
      <c r="A39" s="60" t="s">
        <v>346</v>
      </c>
      <c r="B39" s="61" t="s">
        <v>347</v>
      </c>
      <c r="C39" s="61" t="s">
        <v>348</v>
      </c>
      <c r="D39" s="61" t="s">
        <v>349</v>
      </c>
    </row>
    <row r="40" spans="1:4" x14ac:dyDescent="0.25">
      <c r="A40" s="204" t="s">
        <v>350</v>
      </c>
      <c r="B40" s="62" t="s">
        <v>351</v>
      </c>
      <c r="C40" s="62" t="s">
        <v>352</v>
      </c>
      <c r="D40" s="62" t="s">
        <v>353</v>
      </c>
    </row>
    <row r="41" spans="1:4" x14ac:dyDescent="0.25">
      <c r="A41" s="60" t="s">
        <v>354</v>
      </c>
      <c r="B41" s="61" t="s">
        <v>355</v>
      </c>
      <c r="C41" s="61" t="s">
        <v>356</v>
      </c>
      <c r="D41" s="61" t="s">
        <v>357</v>
      </c>
    </row>
    <row r="42" spans="1:4" x14ac:dyDescent="0.25">
      <c r="A42" s="204" t="s">
        <v>358</v>
      </c>
      <c r="B42" s="62" t="s">
        <v>359</v>
      </c>
      <c r="C42" s="62" t="s">
        <v>360</v>
      </c>
      <c r="D42" s="62" t="s">
        <v>361</v>
      </c>
    </row>
    <row r="43" spans="1:4" x14ac:dyDescent="0.25">
      <c r="A43" s="60" t="s">
        <v>362</v>
      </c>
      <c r="B43" s="61" t="s">
        <v>363</v>
      </c>
      <c r="C43" s="61" t="s">
        <v>364</v>
      </c>
      <c r="D43" s="61" t="s">
        <v>365</v>
      </c>
    </row>
    <row r="44" spans="1:4" x14ac:dyDescent="0.25">
      <c r="A44" s="204" t="s">
        <v>366</v>
      </c>
      <c r="B44" s="62" t="s">
        <v>367</v>
      </c>
      <c r="C44" s="62" t="s">
        <v>368</v>
      </c>
      <c r="D44" s="62" t="s">
        <v>369</v>
      </c>
    </row>
    <row r="45" spans="1:4" x14ac:dyDescent="0.25">
      <c r="A45" s="60" t="s">
        <v>370</v>
      </c>
      <c r="B45" s="61" t="s">
        <v>371</v>
      </c>
      <c r="C45" s="61" t="s">
        <v>372</v>
      </c>
      <c r="D45" s="61" t="s">
        <v>373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G4" activePane="bottomRight" state="frozen"/>
      <selection pane="topRight"/>
      <selection pane="bottomLeft"/>
      <selection pane="bottomRight" activeCell="G12" sqref="G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7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5" customWidth="1"/>
    <col min="15" max="15" width="6.140625" customWidth="1"/>
    <col min="16" max="16" width="5.5703125" style="57" customWidth="1"/>
    <col min="17" max="17" width="5" style="57" customWidth="1"/>
    <col min="18" max="18" width="4.42578125" style="57" customWidth="1"/>
    <col min="19" max="25" width="5.5703125" style="57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62" t="s">
        <v>374</v>
      </c>
      <c r="AI1" s="562"/>
      <c r="AJ1" s="562"/>
      <c r="AK1" s="562"/>
      <c r="AL1" s="562"/>
      <c r="AM1" s="562"/>
      <c r="AN1" s="562"/>
      <c r="AO1" s="562"/>
      <c r="AP1" s="562"/>
      <c r="AQ1" s="562"/>
      <c r="AR1" s="562"/>
      <c r="AS1" s="562"/>
      <c r="AT1" s="562"/>
      <c r="AV1" s="133" t="s">
        <v>266</v>
      </c>
      <c r="AW1" s="133" t="s">
        <v>267</v>
      </c>
      <c r="AX1" s="133" t="s">
        <v>375</v>
      </c>
      <c r="AY1" s="134" t="s">
        <v>376</v>
      </c>
      <c r="AZ1" s="57" t="s">
        <v>377</v>
      </c>
      <c r="BA1" s="57" t="s">
        <v>378</v>
      </c>
    </row>
    <row r="2" spans="1:53" s="65" customFormat="1" ht="18.75" x14ac:dyDescent="0.3">
      <c r="C2" s="97">
        <f ca="1">TODAY()</f>
        <v>44728</v>
      </c>
      <c r="D2" s="552">
        <v>41471</v>
      </c>
      <c r="E2" s="552"/>
      <c r="F2" s="552"/>
      <c r="G2" s="66"/>
      <c r="H2" s="66"/>
      <c r="I2" s="86"/>
      <c r="J2" s="66"/>
      <c r="K2" s="66"/>
      <c r="L2" s="66"/>
      <c r="M2" s="66"/>
      <c r="N2" s="66"/>
      <c r="O2" s="66"/>
      <c r="P2" s="116"/>
      <c r="Q2" s="72"/>
      <c r="R2" s="72"/>
      <c r="S2" s="72">
        <v>0</v>
      </c>
      <c r="T2" s="72">
        <v>0</v>
      </c>
      <c r="U2" s="72">
        <v>40</v>
      </c>
      <c r="V2" s="72">
        <v>0</v>
      </c>
      <c r="W2" s="72">
        <v>0</v>
      </c>
      <c r="X2" s="72">
        <v>17</v>
      </c>
      <c r="Y2" s="72">
        <v>0</v>
      </c>
      <c r="AJ2" s="131">
        <f>SUM(AJ4:AJ14)*$AY$3</f>
        <v>0</v>
      </c>
      <c r="AK2" s="131">
        <f>SUM(AK4:AK14)*$AY$3</f>
        <v>0</v>
      </c>
      <c r="AL2" s="131">
        <f>SUM(AL4:AL14)*$AY$2</f>
        <v>0</v>
      </c>
      <c r="AM2" s="131">
        <f>SUM(AM4:AM14)*$AY$4</f>
        <v>0</v>
      </c>
      <c r="AN2" s="131" t="e">
        <f>SUM(AN4:AN14)*$AY$5</f>
        <v>#REF!</v>
      </c>
      <c r="AO2" s="131">
        <f>SUM(AO4:AO14)*$AY$5</f>
        <v>0</v>
      </c>
      <c r="AP2" s="131" t="e">
        <f>SUM(AP4:AP14)*$AY$6</f>
        <v>#REF!</v>
      </c>
      <c r="AQ2" s="132" t="e">
        <f>SUM(AQ4:AQ14)</f>
        <v>#REF!</v>
      </c>
      <c r="AR2" s="132" t="e">
        <f>SUM(AR4:AR14)</f>
        <v>#REF!</v>
      </c>
      <c r="AS2" s="132">
        <f>SUM(AS4:AS14)</f>
        <v>7.5</v>
      </c>
      <c r="AT2" s="132">
        <f>SUM(AT4:AT14)</f>
        <v>0</v>
      </c>
      <c r="AV2" s="69" t="s">
        <v>268</v>
      </c>
      <c r="AW2" s="135">
        <v>1</v>
      </c>
      <c r="AX2" s="136">
        <v>0.624</v>
      </c>
      <c r="AY2" s="137">
        <v>0.24500000000000002</v>
      </c>
      <c r="AZ2" s="94">
        <f>AY2*10</f>
        <v>2.4500000000000002</v>
      </c>
      <c r="BA2" s="94">
        <f>AY2*15</f>
        <v>3.6750000000000003</v>
      </c>
    </row>
    <row r="3" spans="1:53" ht="18.75" x14ac:dyDescent="0.3">
      <c r="A3" s="79" t="s">
        <v>82</v>
      </c>
      <c r="B3" s="79" t="s">
        <v>83</v>
      </c>
      <c r="C3" s="81" t="s">
        <v>84</v>
      </c>
      <c r="D3" s="79" t="s">
        <v>85</v>
      </c>
      <c r="E3" s="79" t="s">
        <v>86</v>
      </c>
      <c r="F3" s="79" t="s">
        <v>87</v>
      </c>
      <c r="G3" s="79" t="s">
        <v>88</v>
      </c>
      <c r="H3" s="79" t="s">
        <v>89</v>
      </c>
      <c r="I3" s="79" t="s">
        <v>104</v>
      </c>
      <c r="J3" s="79" t="s">
        <v>105</v>
      </c>
      <c r="K3" s="79" t="s">
        <v>106</v>
      </c>
      <c r="L3" s="79" t="s">
        <v>107</v>
      </c>
      <c r="M3" s="79" t="s">
        <v>108</v>
      </c>
      <c r="N3" s="79" t="s">
        <v>109</v>
      </c>
      <c r="O3" s="79" t="s">
        <v>87</v>
      </c>
      <c r="P3" s="118" t="s">
        <v>85</v>
      </c>
      <c r="Q3" s="118" t="s">
        <v>86</v>
      </c>
      <c r="R3" s="117" t="s">
        <v>89</v>
      </c>
      <c r="S3" s="117" t="s">
        <v>104</v>
      </c>
      <c r="T3" s="117" t="s">
        <v>105</v>
      </c>
      <c r="U3" s="117" t="s">
        <v>106</v>
      </c>
      <c r="V3" s="117" t="s">
        <v>107</v>
      </c>
      <c r="W3" s="117" t="s">
        <v>108</v>
      </c>
      <c r="X3" s="117" t="s">
        <v>109</v>
      </c>
      <c r="Y3" s="117" t="s">
        <v>87</v>
      </c>
      <c r="Z3" s="117" t="s">
        <v>104</v>
      </c>
      <c r="AA3" s="117" t="s">
        <v>105</v>
      </c>
      <c r="AB3" s="117" t="s">
        <v>106</v>
      </c>
      <c r="AC3" s="117" t="s">
        <v>107</v>
      </c>
      <c r="AD3" s="117" t="s">
        <v>108</v>
      </c>
      <c r="AE3" s="117" t="s">
        <v>109</v>
      </c>
      <c r="AF3" s="117" t="s">
        <v>87</v>
      </c>
      <c r="AH3" s="563">
        <v>451</v>
      </c>
      <c r="AI3" s="564"/>
      <c r="AJ3" s="92" t="s">
        <v>379</v>
      </c>
      <c r="AK3" s="92" t="s">
        <v>380</v>
      </c>
      <c r="AL3" s="92" t="s">
        <v>381</v>
      </c>
      <c r="AM3" s="92" t="s">
        <v>382</v>
      </c>
      <c r="AN3" s="92" t="s">
        <v>383</v>
      </c>
      <c r="AO3" s="92" t="s">
        <v>384</v>
      </c>
      <c r="AP3" s="92" t="s">
        <v>385</v>
      </c>
      <c r="AQ3" s="92" t="s">
        <v>386</v>
      </c>
      <c r="AR3" s="92" t="s">
        <v>387</v>
      </c>
      <c r="AS3" s="92" t="s">
        <v>259</v>
      </c>
      <c r="AT3" s="92" t="s">
        <v>101</v>
      </c>
      <c r="AV3" s="69" t="s">
        <v>269</v>
      </c>
      <c r="AW3" s="135">
        <v>1</v>
      </c>
      <c r="AX3" s="136">
        <v>1.002</v>
      </c>
      <c r="AY3" s="137">
        <v>0.34000000000000008</v>
      </c>
      <c r="AZ3" s="94">
        <f>AY3*10</f>
        <v>3.4000000000000008</v>
      </c>
      <c r="BA3" s="94">
        <f>AY3*15</f>
        <v>5.1000000000000014</v>
      </c>
    </row>
    <row r="4" spans="1:53" s="65" customFormat="1" ht="18.75" x14ac:dyDescent="0.3">
      <c r="A4" s="4" t="str">
        <f>PLANTILLA!A4</f>
        <v>#69</v>
      </c>
      <c r="B4" s="4" t="str">
        <f>PLANTILLA!B4</f>
        <v>POR</v>
      </c>
      <c r="C4" s="75" t="str">
        <f>PLANTILLA!D4</f>
        <v>D. Gehmacher</v>
      </c>
      <c r="D4" s="54">
        <f>PLANTILLA!E4</f>
        <v>44</v>
      </c>
      <c r="E4" s="55">
        <f ca="1">PLANTILLA!F4</f>
        <v>82</v>
      </c>
      <c r="F4" s="70"/>
      <c r="G4" s="238">
        <f>PLANTILLA!H4</f>
        <v>6</v>
      </c>
      <c r="H4" s="56">
        <f>PLANTILLA!I4</f>
        <v>26.2</v>
      </c>
      <c r="I4" s="140">
        <f>PLANTILLA!X4</f>
        <v>3.95</v>
      </c>
      <c r="J4" s="140">
        <f>PLANTILLA!Y4</f>
        <v>0</v>
      </c>
      <c r="K4" s="140">
        <f>PLANTILLA!Z4</f>
        <v>0</v>
      </c>
      <c r="L4" s="140">
        <f>PLANTILLA!AA4</f>
        <v>0</v>
      </c>
      <c r="M4" s="140">
        <f>PLANTILLA!AB4</f>
        <v>0</v>
      </c>
      <c r="N4" s="140">
        <f>PLANTILLA!AC4</f>
        <v>0</v>
      </c>
      <c r="O4" s="140">
        <f>PLANTILLA!AD4</f>
        <v>8</v>
      </c>
      <c r="P4" s="69">
        <f t="shared" ref="P4:P5" si="0">D4</f>
        <v>44</v>
      </c>
      <c r="Q4" s="119">
        <f t="shared" ref="Q4:Q5" ca="1" si="1">E4+7</f>
        <v>89</v>
      </c>
      <c r="R4" s="77">
        <f t="shared" ref="R4:R5" si="2">H4+$R$2</f>
        <v>26.2</v>
      </c>
      <c r="S4" s="155">
        <f t="shared" ref="S4:S5" si="3">I4</f>
        <v>3.95</v>
      </c>
      <c r="T4" s="155">
        <f t="shared" ref="T4:T5" si="4">J4</f>
        <v>0</v>
      </c>
      <c r="U4" s="155">
        <f t="shared" ref="U4:U5" si="5">K4</f>
        <v>0</v>
      </c>
      <c r="V4" s="155">
        <f t="shared" ref="V4:V5" si="6">L4</f>
        <v>0</v>
      </c>
      <c r="W4" s="155">
        <f t="shared" ref="W4:W5" si="7">M4</f>
        <v>0</v>
      </c>
      <c r="X4" s="155">
        <f t="shared" ref="X4:X5" si="8">N4</f>
        <v>0</v>
      </c>
      <c r="Y4" s="155">
        <f t="shared" ref="Y4:Y5" si="9">O4</f>
        <v>8</v>
      </c>
      <c r="Z4" s="124">
        <f t="shared" ref="Z4:Z5" si="10">S4-I4</f>
        <v>0</v>
      </c>
      <c r="AA4" s="124">
        <f t="shared" ref="AA4:AA5" si="11">T4-J4</f>
        <v>0</v>
      </c>
      <c r="AB4" s="124">
        <f t="shared" ref="AB4:AB5" si="12">U4-K4</f>
        <v>0</v>
      </c>
      <c r="AC4" s="124">
        <f t="shared" ref="AC4:AC5" si="13">V4-L4</f>
        <v>0</v>
      </c>
      <c r="AD4" s="124">
        <f t="shared" ref="AD4:AD5" si="14">W4-M4</f>
        <v>0</v>
      </c>
      <c r="AE4" s="124">
        <f t="shared" ref="AE4:AE5" si="15">X4-N4</f>
        <v>0</v>
      </c>
      <c r="AF4" s="124">
        <f t="shared" ref="AF4:AF5" si="16">Y4-O4</f>
        <v>0</v>
      </c>
      <c r="AH4" s="125" t="s">
        <v>14</v>
      </c>
      <c r="AI4" s="84"/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77">
        <v>0</v>
      </c>
      <c r="AR4" s="177">
        <f>0.08*Z4+0.1*AF4</f>
        <v>0</v>
      </c>
      <c r="AS4" s="129">
        <v>0</v>
      </c>
      <c r="AT4" s="129">
        <v>0</v>
      </c>
      <c r="AV4" s="69" t="s">
        <v>270</v>
      </c>
      <c r="AW4" s="135">
        <v>1</v>
      </c>
      <c r="AX4" s="136">
        <v>0.46800000000000008</v>
      </c>
      <c r="AY4" s="137">
        <v>0.125</v>
      </c>
      <c r="AZ4" s="94">
        <f>AY4*10</f>
        <v>1.25</v>
      </c>
      <c r="BA4" s="94">
        <f>AY4*15</f>
        <v>1.875</v>
      </c>
    </row>
    <row r="5" spans="1:53" s="65" customFormat="1" ht="18.75" x14ac:dyDescent="0.3">
      <c r="A5" s="4" t="str">
        <f>PLANTILLA!A5</f>
        <v>#1</v>
      </c>
      <c r="B5" s="4" t="str">
        <f>PLANTILLA!B5</f>
        <v>POR</v>
      </c>
      <c r="C5" s="75" t="str">
        <f>PLANTILLA!D5</f>
        <v>L. Guangwei</v>
      </c>
      <c r="D5" s="54">
        <f>PLANTILLA!E5</f>
        <v>29</v>
      </c>
      <c r="E5" s="55">
        <f ca="1">PLANTILLA!F5</f>
        <v>9</v>
      </c>
      <c r="F5" s="70" t="str">
        <f>PLANTILLA!G5</f>
        <v>IMP</v>
      </c>
      <c r="G5" s="238">
        <f>PLANTILLA!H5</f>
        <v>0</v>
      </c>
      <c r="H5" s="56">
        <f>PLANTILLA!I5</f>
        <v>9</v>
      </c>
      <c r="I5" s="140">
        <f>PLANTILLA!X5</f>
        <v>15</v>
      </c>
      <c r="J5" s="140">
        <f>PLANTILLA!Y5</f>
        <v>9.2222222222222214</v>
      </c>
      <c r="K5" s="140">
        <f>PLANTILLA!Z5</f>
        <v>3</v>
      </c>
      <c r="L5" s="140">
        <f>PLANTILLA!AA5</f>
        <v>1</v>
      </c>
      <c r="M5" s="140">
        <f>PLANTILLA!AB5</f>
        <v>5</v>
      </c>
      <c r="N5" s="140">
        <f>PLANTILLA!AC5</f>
        <v>5.5</v>
      </c>
      <c r="O5" s="140">
        <f>PLANTILLA!AD5</f>
        <v>22</v>
      </c>
      <c r="P5" s="69">
        <f t="shared" si="0"/>
        <v>29</v>
      </c>
      <c r="Q5" s="119">
        <f t="shared" ca="1" si="1"/>
        <v>16</v>
      </c>
      <c r="R5" s="77">
        <f t="shared" si="2"/>
        <v>9</v>
      </c>
      <c r="S5" s="155">
        <f t="shared" si="3"/>
        <v>15</v>
      </c>
      <c r="T5" s="155">
        <f t="shared" si="4"/>
        <v>9.2222222222222214</v>
      </c>
      <c r="U5" s="155">
        <f t="shared" si="5"/>
        <v>3</v>
      </c>
      <c r="V5" s="155">
        <f t="shared" si="6"/>
        <v>1</v>
      </c>
      <c r="W5" s="155">
        <f t="shared" si="7"/>
        <v>5</v>
      </c>
      <c r="X5" s="155">
        <f t="shared" si="8"/>
        <v>5.5</v>
      </c>
      <c r="Y5" s="155">
        <f t="shared" si="9"/>
        <v>22</v>
      </c>
      <c r="Z5" s="124">
        <f t="shared" si="10"/>
        <v>0</v>
      </c>
      <c r="AA5" s="124">
        <f t="shared" si="11"/>
        <v>0</v>
      </c>
      <c r="AB5" s="124">
        <f t="shared" si="12"/>
        <v>0</v>
      </c>
      <c r="AC5" s="124">
        <f t="shared" si="13"/>
        <v>0</v>
      </c>
      <c r="AD5" s="124">
        <f t="shared" si="14"/>
        <v>0</v>
      </c>
      <c r="AE5" s="124">
        <f t="shared" si="15"/>
        <v>0</v>
      </c>
      <c r="AF5" s="124">
        <f t="shared" si="16"/>
        <v>0</v>
      </c>
      <c r="AH5" s="125" t="s">
        <v>168</v>
      </c>
      <c r="AI5" s="84"/>
      <c r="AJ5" s="127">
        <v>0</v>
      </c>
      <c r="AK5" s="127">
        <v>0</v>
      </c>
      <c r="AL5" s="127">
        <v>0</v>
      </c>
      <c r="AM5" s="127">
        <v>0</v>
      </c>
      <c r="AN5" s="127">
        <f>AC19*0.588</f>
        <v>0</v>
      </c>
      <c r="AO5" s="127">
        <v>0</v>
      </c>
      <c r="AP5" s="127">
        <v>0</v>
      </c>
      <c r="AQ5" s="129">
        <f>(0.5*AE19+0.3*AF19)/10</f>
        <v>0</v>
      </c>
      <c r="AR5" s="129">
        <f>(0.4*AA19+0.3*AF19)/10</f>
        <v>0</v>
      </c>
      <c r="AS5" s="129">
        <f>((T19+1)+(W19+1)*2)/8</f>
        <v>2.03125</v>
      </c>
      <c r="AT5" s="129">
        <f>((AA19)+(AD19)*2)/8</f>
        <v>0</v>
      </c>
      <c r="AV5" s="69" t="s">
        <v>271</v>
      </c>
      <c r="AW5" s="135">
        <v>1</v>
      </c>
      <c r="AX5" s="136">
        <v>0.877</v>
      </c>
      <c r="AY5" s="137">
        <v>0.25</v>
      </c>
      <c r="AZ5" s="94">
        <f>AY5*10</f>
        <v>2.5</v>
      </c>
      <c r="BA5" s="94">
        <f>AY5*15</f>
        <v>3.75</v>
      </c>
    </row>
    <row r="6" spans="1:53" ht="18.75" x14ac:dyDescent="0.3">
      <c r="A6" s="4" t="str">
        <f>PLANTILLA!A6</f>
        <v>#22</v>
      </c>
      <c r="B6" s="4" t="str">
        <f>PLANTILLA!B6</f>
        <v>LAT</v>
      </c>
      <c r="C6" s="75" t="str">
        <f>PLANTILLA!D6</f>
        <v>V. Gardner</v>
      </c>
      <c r="D6" s="54">
        <f>PLANTILLA!E6</f>
        <v>27</v>
      </c>
      <c r="E6" s="55">
        <f ca="1">PLANTILLA!F6</f>
        <v>50</v>
      </c>
      <c r="F6" s="70"/>
      <c r="G6" s="238">
        <f>PLANTILLA!H6</f>
        <v>3</v>
      </c>
      <c r="H6" s="56">
        <f>PLANTILLA!I6</f>
        <v>7</v>
      </c>
      <c r="I6" s="140">
        <f>PLANTILLA!X6</f>
        <v>0</v>
      </c>
      <c r="J6" s="140">
        <f>PLANTILLA!Y6</f>
        <v>15</v>
      </c>
      <c r="K6" s="140">
        <f>PLANTILLA!Z6</f>
        <v>8.125</v>
      </c>
      <c r="L6" s="140">
        <f>PLANTILLA!AA6</f>
        <v>3</v>
      </c>
      <c r="M6" s="140">
        <f>PLANTILLA!AB6</f>
        <v>5</v>
      </c>
      <c r="N6" s="140">
        <f>PLANTILLA!AC6</f>
        <v>7.333333333333333</v>
      </c>
      <c r="O6" s="140">
        <f>PLANTILLA!AD6</f>
        <v>19</v>
      </c>
      <c r="P6" s="69">
        <f t="shared" ref="P6:P27" si="17">D6</f>
        <v>27</v>
      </c>
      <c r="Q6" s="119">
        <f t="shared" ref="Q6:Q27" ca="1" si="18">E6+7</f>
        <v>57</v>
      </c>
      <c r="R6" s="77">
        <f t="shared" ref="R6:R27" si="19">H6+$R$2</f>
        <v>7</v>
      </c>
      <c r="S6" s="155">
        <f t="shared" ref="S6:S27" si="20">I6</f>
        <v>0</v>
      </c>
      <c r="T6" s="155">
        <f t="shared" ref="T6:T27" si="21">J6</f>
        <v>15</v>
      </c>
      <c r="U6" s="155">
        <f t="shared" ref="U6:U27" si="22">K6</f>
        <v>8.125</v>
      </c>
      <c r="V6" s="155">
        <f t="shared" ref="V6:V27" si="23">L6</f>
        <v>3</v>
      </c>
      <c r="W6" s="155">
        <f t="shared" ref="W6:W27" si="24">M6</f>
        <v>5</v>
      </c>
      <c r="X6" s="155">
        <f t="shared" ref="X6:X27" si="25">N6</f>
        <v>7.333333333333333</v>
      </c>
      <c r="Y6" s="155">
        <f t="shared" ref="Y6:Y27" si="26">O6</f>
        <v>19</v>
      </c>
      <c r="Z6" s="124">
        <f t="shared" ref="Z6:Z27" si="27">S6-I6</f>
        <v>0</v>
      </c>
      <c r="AA6" s="124">
        <f t="shared" ref="AA6:AA27" si="28">T6-J6</f>
        <v>0</v>
      </c>
      <c r="AB6" s="124">
        <f t="shared" ref="AB6:AB27" si="29">U6-K6</f>
        <v>0</v>
      </c>
      <c r="AC6" s="124">
        <f t="shared" ref="AC6:AC27" si="30">V6-L6</f>
        <v>0</v>
      </c>
      <c r="AD6" s="124">
        <f t="shared" ref="AD6:AD27" si="31">W6-M6</f>
        <v>0</v>
      </c>
      <c r="AE6" s="124">
        <f t="shared" ref="AE6:AE27" si="32">X6-N6</f>
        <v>0</v>
      </c>
      <c r="AF6" s="124">
        <f t="shared" ref="AF6:AF27" si="33">Y6-O6</f>
        <v>0</v>
      </c>
      <c r="AH6" s="126" t="s">
        <v>388</v>
      </c>
      <c r="AI6" s="84"/>
      <c r="AJ6" s="127">
        <v>0</v>
      </c>
      <c r="AK6" s="127">
        <v>0</v>
      </c>
      <c r="AL6" s="127">
        <v>0</v>
      </c>
      <c r="AM6" s="128">
        <v>0</v>
      </c>
      <c r="AN6" s="128">
        <v>0</v>
      </c>
      <c r="AO6" s="128">
        <v>0</v>
      </c>
      <c r="AP6" s="128">
        <v>0</v>
      </c>
      <c r="AQ6" s="130">
        <f>(0.5*AE15+0.3*AF15)/10</f>
        <v>0</v>
      </c>
      <c r="AR6" s="130">
        <f>(0.4*AA15+0.3*AF15)/10</f>
        <v>0</v>
      </c>
      <c r="AS6" s="129">
        <f>((T15+1)+(W15+1)*2)/8</f>
        <v>2.5</v>
      </c>
      <c r="AT6" s="129">
        <f>((AA15)+(AD15)*2)/8</f>
        <v>0</v>
      </c>
      <c r="AV6" s="69" t="s">
        <v>272</v>
      </c>
      <c r="AW6" s="135">
        <v>1</v>
      </c>
      <c r="AX6" s="136">
        <v>0.59299999999999997</v>
      </c>
      <c r="AY6" s="137">
        <v>0.19</v>
      </c>
      <c r="AZ6" s="94">
        <f>AY6*10</f>
        <v>1.9</v>
      </c>
      <c r="BA6" s="94">
        <f>AY6*15</f>
        <v>2.85</v>
      </c>
    </row>
    <row r="7" spans="1:53" x14ac:dyDescent="0.25">
      <c r="A7" s="4" t="e">
        <f>PLANTILLA!#REF!</f>
        <v>#REF!</v>
      </c>
      <c r="B7" s="4" t="e">
        <f>PLANTILLA!#REF!</f>
        <v>#REF!</v>
      </c>
      <c r="C7" s="75" t="e">
        <f>PLANTILLA!#REF!</f>
        <v>#REF!</v>
      </c>
      <c r="D7" s="54" t="e">
        <f>PLANTILLA!#REF!</f>
        <v>#REF!</v>
      </c>
      <c r="E7" s="55" t="e">
        <f>PLANTILLA!#REF!</f>
        <v>#REF!</v>
      </c>
      <c r="F7" s="70" t="e">
        <f>PLANTILLA!#REF!</f>
        <v>#REF!</v>
      </c>
      <c r="G7" s="238" t="e">
        <f>PLANTILLA!#REF!</f>
        <v>#REF!</v>
      </c>
      <c r="H7" s="56" t="e">
        <f>PLANTILLA!#REF!</f>
        <v>#REF!</v>
      </c>
      <c r="I7" s="140" t="e">
        <f>PLANTILLA!#REF!</f>
        <v>#REF!</v>
      </c>
      <c r="J7" s="140" t="e">
        <f>PLANTILLA!#REF!</f>
        <v>#REF!</v>
      </c>
      <c r="K7" s="140" t="e">
        <f>PLANTILLA!#REF!</f>
        <v>#REF!</v>
      </c>
      <c r="L7" s="140" t="e">
        <f>PLANTILLA!#REF!</f>
        <v>#REF!</v>
      </c>
      <c r="M7" s="140" t="e">
        <f>PLANTILLA!#REF!</f>
        <v>#REF!</v>
      </c>
      <c r="N7" s="140" t="e">
        <f>PLANTILLA!#REF!</f>
        <v>#REF!</v>
      </c>
      <c r="O7" s="140" t="e">
        <f>PLANTILLA!#REF!</f>
        <v>#REF!</v>
      </c>
      <c r="P7" s="69" t="e">
        <f t="shared" si="17"/>
        <v>#REF!</v>
      </c>
      <c r="Q7" s="119" t="e">
        <f t="shared" si="18"/>
        <v>#REF!</v>
      </c>
      <c r="R7" s="77" t="e">
        <f t="shared" si="19"/>
        <v>#REF!</v>
      </c>
      <c r="S7" s="155" t="e">
        <f t="shared" si="20"/>
        <v>#REF!</v>
      </c>
      <c r="T7" s="155" t="e">
        <f t="shared" si="21"/>
        <v>#REF!</v>
      </c>
      <c r="U7" s="155" t="e">
        <f t="shared" si="22"/>
        <v>#REF!</v>
      </c>
      <c r="V7" s="155" t="e">
        <f t="shared" si="23"/>
        <v>#REF!</v>
      </c>
      <c r="W7" s="155" t="e">
        <f t="shared" si="24"/>
        <v>#REF!</v>
      </c>
      <c r="X7" s="155" t="e">
        <f t="shared" si="25"/>
        <v>#REF!</v>
      </c>
      <c r="Y7" s="155" t="e">
        <f t="shared" si="26"/>
        <v>#REF!</v>
      </c>
      <c r="Z7" s="124" t="e">
        <f t="shared" si="27"/>
        <v>#REF!</v>
      </c>
      <c r="AA7" s="124" t="e">
        <f t="shared" si="28"/>
        <v>#REF!</v>
      </c>
      <c r="AB7" s="124" t="e">
        <f t="shared" si="29"/>
        <v>#REF!</v>
      </c>
      <c r="AC7" s="124" t="e">
        <f t="shared" si="30"/>
        <v>#REF!</v>
      </c>
      <c r="AD7" s="124" t="e">
        <f t="shared" si="31"/>
        <v>#REF!</v>
      </c>
      <c r="AE7" s="124" t="e">
        <f t="shared" si="32"/>
        <v>#REF!</v>
      </c>
      <c r="AF7" s="124" t="e">
        <f t="shared" si="33"/>
        <v>#REF!</v>
      </c>
      <c r="AH7" s="126" t="s">
        <v>388</v>
      </c>
      <c r="AI7" s="84"/>
      <c r="AJ7" s="127">
        <v>0</v>
      </c>
      <c r="AK7" s="127">
        <v>0</v>
      </c>
      <c r="AL7" s="127">
        <v>0</v>
      </c>
      <c r="AM7" s="128">
        <v>0</v>
      </c>
      <c r="AN7" s="128">
        <v>0</v>
      </c>
      <c r="AO7" s="128">
        <f>AC8*0.588</f>
        <v>0</v>
      </c>
      <c r="AP7" s="128">
        <v>0</v>
      </c>
      <c r="AQ7" s="130">
        <f>(0.5*AE8+0.3*AF8)/10</f>
        <v>0</v>
      </c>
      <c r="AR7" s="130">
        <f>(0.4*AA8+0.3*AF8)/10</f>
        <v>0</v>
      </c>
      <c r="AS7" s="129">
        <f>((T8+1)+(W8+1)*2)/8</f>
        <v>2.96875</v>
      </c>
      <c r="AT7" s="129">
        <f>((AA8)+(AD8)*2)/8</f>
        <v>0</v>
      </c>
    </row>
    <row r="8" spans="1:53" s="1" customFormat="1" x14ac:dyDescent="0.25">
      <c r="A8" s="4" t="str">
        <f>PLANTILLA!A7</f>
        <v>#2</v>
      </c>
      <c r="B8" s="4" t="str">
        <f>PLANTILLA!B7</f>
        <v>DEF</v>
      </c>
      <c r="C8" s="75" t="str">
        <f>PLANTILLA!D7</f>
        <v>S. Swärdborn</v>
      </c>
      <c r="D8" s="54">
        <f>PLANTILLA!E7</f>
        <v>27</v>
      </c>
      <c r="E8" s="55">
        <f ca="1">PLANTILLA!F7</f>
        <v>38</v>
      </c>
      <c r="F8" s="70"/>
      <c r="G8" s="238">
        <f>PLANTILLA!H7</f>
        <v>2</v>
      </c>
      <c r="H8" s="56">
        <f>PLANTILLA!I7</f>
        <v>8</v>
      </c>
      <c r="I8" s="140">
        <f>PLANTILLA!X7</f>
        <v>0</v>
      </c>
      <c r="J8" s="140">
        <f>PLANTILLA!Y7</f>
        <v>14.75</v>
      </c>
      <c r="K8" s="140">
        <f>PLANTILLA!Z7</f>
        <v>9.7142857142857135</v>
      </c>
      <c r="L8" s="140">
        <f>PLANTILLA!AA7</f>
        <v>1</v>
      </c>
      <c r="M8" s="140">
        <f>PLANTILLA!AB7</f>
        <v>3</v>
      </c>
      <c r="N8" s="140">
        <f>PLANTILLA!AC7</f>
        <v>7.833333333333333</v>
      </c>
      <c r="O8" s="140">
        <f>PLANTILLA!AD7</f>
        <v>18.75</v>
      </c>
      <c r="P8" s="69">
        <f t="shared" si="17"/>
        <v>27</v>
      </c>
      <c r="Q8" s="119">
        <f t="shared" ca="1" si="18"/>
        <v>45</v>
      </c>
      <c r="R8" s="77">
        <f t="shared" si="19"/>
        <v>8</v>
      </c>
      <c r="S8" s="155">
        <f t="shared" si="20"/>
        <v>0</v>
      </c>
      <c r="T8" s="155">
        <f t="shared" si="21"/>
        <v>14.75</v>
      </c>
      <c r="U8" s="155">
        <f t="shared" si="22"/>
        <v>9.7142857142857135</v>
      </c>
      <c r="V8" s="155">
        <f t="shared" si="23"/>
        <v>1</v>
      </c>
      <c r="W8" s="155">
        <f t="shared" si="24"/>
        <v>3</v>
      </c>
      <c r="X8" s="155">
        <f t="shared" si="25"/>
        <v>7.833333333333333</v>
      </c>
      <c r="Y8" s="155">
        <f t="shared" si="26"/>
        <v>18.75</v>
      </c>
      <c r="Z8" s="124">
        <f t="shared" si="27"/>
        <v>0</v>
      </c>
      <c r="AA8" s="124">
        <f t="shared" si="28"/>
        <v>0</v>
      </c>
      <c r="AB8" s="124">
        <f t="shared" si="29"/>
        <v>0</v>
      </c>
      <c r="AC8" s="124">
        <f t="shared" si="30"/>
        <v>0</v>
      </c>
      <c r="AD8" s="124">
        <f t="shared" si="31"/>
        <v>0</v>
      </c>
      <c r="AE8" s="124">
        <f t="shared" si="32"/>
        <v>0</v>
      </c>
      <c r="AF8" s="124">
        <f t="shared" si="33"/>
        <v>0</v>
      </c>
      <c r="AH8" s="125" t="s">
        <v>168</v>
      </c>
      <c r="AI8" s="84"/>
      <c r="AJ8" s="127">
        <v>0</v>
      </c>
      <c r="AK8" s="127">
        <v>0</v>
      </c>
      <c r="AL8" s="127">
        <v>0</v>
      </c>
      <c r="AM8" s="127">
        <v>0</v>
      </c>
      <c r="AN8" s="127" t="e">
        <f>(#REF!*0.864)+(#REF!*0.244)</f>
        <v>#REF!</v>
      </c>
      <c r="AO8" s="127">
        <v>0</v>
      </c>
      <c r="AP8" s="127" t="e">
        <f>(#REF!*0.121)</f>
        <v>#REF!</v>
      </c>
      <c r="AQ8" s="130" t="e">
        <f>(0.5*#REF!+0.3*#REF!)/10</f>
        <v>#REF!</v>
      </c>
      <c r="AR8" s="130" t="e">
        <f>(0.4*#REF!+0.3*#REF!)/10</f>
        <v>#REF!</v>
      </c>
      <c r="AS8" s="129">
        <v>0</v>
      </c>
      <c r="AT8" s="129">
        <v>0</v>
      </c>
    </row>
    <row r="9" spans="1:53" x14ac:dyDescent="0.25">
      <c r="A9" s="4" t="str">
        <f>PLANTILLA!A8</f>
        <v>#19</v>
      </c>
      <c r="B9" s="4" t="str">
        <f>PLANTILLA!B8</f>
        <v>DEF</v>
      </c>
      <c r="C9" s="75" t="str">
        <f>PLANTILLA!D8</f>
        <v>A. Grimaud</v>
      </c>
      <c r="D9" s="54">
        <f>PLANTILLA!E8</f>
        <v>27</v>
      </c>
      <c r="E9" s="55">
        <f ca="1">PLANTILLA!F8</f>
        <v>61</v>
      </c>
      <c r="F9" s="70" t="str">
        <f>PLANTILLA!G8</f>
        <v>RAP</v>
      </c>
      <c r="G9" s="238">
        <f>PLANTILLA!H8</f>
        <v>2</v>
      </c>
      <c r="H9" s="56">
        <f>PLANTILLA!I8</f>
        <v>8</v>
      </c>
      <c r="I9" s="140">
        <f>PLANTILLA!X8</f>
        <v>0</v>
      </c>
      <c r="J9" s="140">
        <f>PLANTILLA!Y8</f>
        <v>14.85</v>
      </c>
      <c r="K9" s="140">
        <f>PLANTILLA!Z8</f>
        <v>9.875</v>
      </c>
      <c r="L9" s="140">
        <f>PLANTILLA!AA8</f>
        <v>3</v>
      </c>
      <c r="M9" s="140">
        <f>PLANTILLA!AB8</f>
        <v>3</v>
      </c>
      <c r="N9" s="140">
        <f>PLANTILLA!AC8</f>
        <v>7.1428571428571432</v>
      </c>
      <c r="O9" s="140">
        <f>PLANTILLA!AD8</f>
        <v>18.2</v>
      </c>
      <c r="P9" s="69">
        <f t="shared" si="17"/>
        <v>27</v>
      </c>
      <c r="Q9" s="119">
        <f t="shared" ca="1" si="18"/>
        <v>68</v>
      </c>
      <c r="R9" s="77">
        <f t="shared" si="19"/>
        <v>8</v>
      </c>
      <c r="S9" s="155">
        <f t="shared" si="20"/>
        <v>0</v>
      </c>
      <c r="T9" s="155">
        <f t="shared" si="21"/>
        <v>14.85</v>
      </c>
      <c r="U9" s="155">
        <f t="shared" si="22"/>
        <v>9.875</v>
      </c>
      <c r="V9" s="155">
        <f t="shared" si="23"/>
        <v>3</v>
      </c>
      <c r="W9" s="155">
        <f t="shared" si="24"/>
        <v>3</v>
      </c>
      <c r="X9" s="155">
        <f t="shared" si="25"/>
        <v>7.1428571428571432</v>
      </c>
      <c r="Y9" s="155">
        <f t="shared" si="26"/>
        <v>18.2</v>
      </c>
      <c r="Z9" s="124">
        <f t="shared" si="27"/>
        <v>0</v>
      </c>
      <c r="AA9" s="124">
        <f t="shared" si="28"/>
        <v>0</v>
      </c>
      <c r="AB9" s="124">
        <f t="shared" si="29"/>
        <v>0</v>
      </c>
      <c r="AC9" s="124">
        <f t="shared" si="30"/>
        <v>0</v>
      </c>
      <c r="AD9" s="124">
        <f t="shared" si="31"/>
        <v>0</v>
      </c>
      <c r="AE9" s="124">
        <f t="shared" si="32"/>
        <v>0</v>
      </c>
      <c r="AF9" s="124">
        <f t="shared" si="33"/>
        <v>0</v>
      </c>
      <c r="AH9" s="126" t="s">
        <v>122</v>
      </c>
      <c r="AI9" s="4" t="str">
        <f>C15</f>
        <v>S. Kariuki</v>
      </c>
      <c r="AJ9" s="128">
        <f>AA15*0.189</f>
        <v>0</v>
      </c>
      <c r="AK9" s="128">
        <v>0</v>
      </c>
      <c r="AL9" s="128">
        <f>AA15*0.4</f>
        <v>0</v>
      </c>
      <c r="AM9" s="128">
        <f>AB15*1</f>
        <v>0</v>
      </c>
      <c r="AN9" s="128">
        <f>(AC13*0.574)+(AD13*0.315)</f>
        <v>0</v>
      </c>
      <c r="AO9" s="128">
        <v>0</v>
      </c>
      <c r="AP9" s="128">
        <f>AD13*0.241</f>
        <v>0</v>
      </c>
      <c r="AQ9" s="130">
        <f>(0.5*AE13+0.3*AF13)/10</f>
        <v>0</v>
      </c>
      <c r="AR9" s="130">
        <f>(0.4*AA13+0.3*AF13)/10</f>
        <v>0</v>
      </c>
      <c r="AS9" s="130">
        <v>0</v>
      </c>
      <c r="AT9" s="130">
        <v>0</v>
      </c>
    </row>
    <row r="10" spans="1:53" s="3" customFormat="1" x14ac:dyDescent="0.25">
      <c r="A10" s="4" t="str">
        <f>PLANTILLA!A9</f>
        <v>#4</v>
      </c>
      <c r="B10" s="4" t="str">
        <f>PLANTILLA!B9</f>
        <v>DEF</v>
      </c>
      <c r="C10" s="75" t="str">
        <f>PLANTILLA!D9</f>
        <v>E. Deus</v>
      </c>
      <c r="D10" s="54">
        <f>PLANTILLA!E9</f>
        <v>27</v>
      </c>
      <c r="E10" s="55">
        <f ca="1">PLANTILLA!F9</f>
        <v>89</v>
      </c>
      <c r="F10" s="70"/>
      <c r="G10" s="238">
        <f>PLANTILLA!H9</f>
        <v>3</v>
      </c>
      <c r="H10" s="56">
        <f>PLANTILLA!I9</f>
        <v>7</v>
      </c>
      <c r="I10" s="140">
        <f>PLANTILLA!X9</f>
        <v>0</v>
      </c>
      <c r="J10" s="140">
        <f>PLANTILLA!Y9</f>
        <v>14</v>
      </c>
      <c r="K10" s="140">
        <f>PLANTILLA!Z9</f>
        <v>9.125</v>
      </c>
      <c r="L10" s="140">
        <f>PLANTILLA!AA9</f>
        <v>1</v>
      </c>
      <c r="M10" s="140">
        <f>PLANTILLA!AB9</f>
        <v>6</v>
      </c>
      <c r="N10" s="140">
        <f>PLANTILLA!AC9</f>
        <v>6.4</v>
      </c>
      <c r="O10" s="140">
        <f>PLANTILLA!AD9</f>
        <v>19.2</v>
      </c>
      <c r="P10" s="69">
        <f t="shared" si="17"/>
        <v>27</v>
      </c>
      <c r="Q10" s="119">
        <f t="shared" ca="1" si="18"/>
        <v>96</v>
      </c>
      <c r="R10" s="77">
        <f t="shared" si="19"/>
        <v>7</v>
      </c>
      <c r="S10" s="155">
        <f t="shared" si="20"/>
        <v>0</v>
      </c>
      <c r="T10" s="155">
        <f t="shared" si="21"/>
        <v>14</v>
      </c>
      <c r="U10" s="155">
        <f t="shared" si="22"/>
        <v>9.125</v>
      </c>
      <c r="V10" s="155">
        <f t="shared" si="23"/>
        <v>1</v>
      </c>
      <c r="W10" s="155">
        <f t="shared" si="24"/>
        <v>6</v>
      </c>
      <c r="X10" s="155">
        <f t="shared" si="25"/>
        <v>6.4</v>
      </c>
      <c r="Y10" s="155">
        <f t="shared" si="26"/>
        <v>19.2</v>
      </c>
      <c r="Z10" s="124">
        <f t="shared" si="27"/>
        <v>0</v>
      </c>
      <c r="AA10" s="124">
        <f t="shared" si="28"/>
        <v>0</v>
      </c>
      <c r="AB10" s="124">
        <f t="shared" si="29"/>
        <v>0</v>
      </c>
      <c r="AC10" s="124">
        <f t="shared" si="30"/>
        <v>0</v>
      </c>
      <c r="AD10" s="124">
        <f t="shared" si="31"/>
        <v>0</v>
      </c>
      <c r="AE10" s="124">
        <f t="shared" si="32"/>
        <v>0</v>
      </c>
      <c r="AF10" s="124">
        <f t="shared" si="33"/>
        <v>0</v>
      </c>
      <c r="AH10" s="126" t="s">
        <v>389</v>
      </c>
      <c r="AI10" s="4" t="str">
        <f>C18</f>
        <v>I. Stone</v>
      </c>
      <c r="AJ10" s="128">
        <f>AA18*((0.27+0.135)/2)</f>
        <v>0</v>
      </c>
      <c r="AK10" s="128">
        <f>AJ10</f>
        <v>0</v>
      </c>
      <c r="AL10" s="128">
        <f>AA18*0.594</f>
        <v>0</v>
      </c>
      <c r="AM10" s="128">
        <f>AB18*0.944</f>
        <v>0</v>
      </c>
      <c r="AN10" s="128">
        <f>AD16*0.188</f>
        <v>0</v>
      </c>
      <c r="AO10" s="128">
        <f>AN10</f>
        <v>0</v>
      </c>
      <c r="AP10" s="128">
        <f>AD16*0.507+AE16*0.31</f>
        <v>0</v>
      </c>
      <c r="AQ10" s="130">
        <f>(0.5*AE16+0.3*AF16)/10</f>
        <v>0</v>
      </c>
      <c r="AR10" s="130">
        <f>(0.4*AA16+0.3*AF16)/10</f>
        <v>0</v>
      </c>
      <c r="AS10" s="130">
        <v>0</v>
      </c>
      <c r="AT10" s="130">
        <v>0</v>
      </c>
    </row>
    <row r="11" spans="1:53" x14ac:dyDescent="0.25">
      <c r="A11" s="4" t="str">
        <f>PLANTILLA!A15</f>
        <v>#17</v>
      </c>
      <c r="B11" s="4" t="str">
        <f>PLANTILLA!B15</f>
        <v>MED</v>
      </c>
      <c r="C11" s="75" t="str">
        <f>PLANTILLA!D15</f>
        <v>M.A. Balbinot</v>
      </c>
      <c r="D11" s="54">
        <f>PLANTILLA!E15</f>
        <v>32</v>
      </c>
      <c r="E11" s="55">
        <f ca="1">PLANTILLA!F15</f>
        <v>27</v>
      </c>
      <c r="F11" s="70" t="str">
        <f>PLANTILLA!G15</f>
        <v>RAP</v>
      </c>
      <c r="G11" s="238">
        <f>PLANTILLA!H15</f>
        <v>4</v>
      </c>
      <c r="H11" s="56">
        <f>PLANTILLA!I15</f>
        <v>11</v>
      </c>
      <c r="I11" s="140">
        <f>PLANTILLA!X15</f>
        <v>0</v>
      </c>
      <c r="J11" s="140">
        <f>PLANTILLA!Y15</f>
        <v>9.375</v>
      </c>
      <c r="K11" s="140">
        <f>PLANTILLA!Z15</f>
        <v>14</v>
      </c>
      <c r="L11" s="140">
        <f>PLANTILLA!AA15</f>
        <v>7</v>
      </c>
      <c r="M11" s="140">
        <f>PLANTILLA!AB15</f>
        <v>7.95</v>
      </c>
      <c r="N11" s="140">
        <f>PLANTILLA!AC15</f>
        <v>9.0625</v>
      </c>
      <c r="O11" s="140">
        <f>PLANTILLA!AD15</f>
        <v>16</v>
      </c>
      <c r="P11" s="69">
        <f t="shared" si="17"/>
        <v>32</v>
      </c>
      <c r="Q11" s="119">
        <f t="shared" ca="1" si="18"/>
        <v>34</v>
      </c>
      <c r="R11" s="77">
        <f t="shared" si="19"/>
        <v>11</v>
      </c>
      <c r="S11" s="155">
        <f t="shared" si="20"/>
        <v>0</v>
      </c>
      <c r="T11" s="155">
        <f t="shared" si="21"/>
        <v>9.375</v>
      </c>
      <c r="U11" s="155">
        <f t="shared" si="22"/>
        <v>14</v>
      </c>
      <c r="V11" s="155">
        <f t="shared" si="23"/>
        <v>7</v>
      </c>
      <c r="W11" s="155">
        <f t="shared" si="24"/>
        <v>7.95</v>
      </c>
      <c r="X11" s="155">
        <f t="shared" si="25"/>
        <v>9.0625</v>
      </c>
      <c r="Y11" s="155">
        <f t="shared" si="26"/>
        <v>16</v>
      </c>
      <c r="Z11" s="124">
        <f t="shared" si="27"/>
        <v>0</v>
      </c>
      <c r="AA11" s="124">
        <f t="shared" si="28"/>
        <v>0</v>
      </c>
      <c r="AB11" s="124">
        <f t="shared" si="29"/>
        <v>0</v>
      </c>
      <c r="AC11" s="124">
        <f t="shared" si="30"/>
        <v>0</v>
      </c>
      <c r="AD11" s="124">
        <f t="shared" si="31"/>
        <v>0</v>
      </c>
      <c r="AE11" s="124">
        <f t="shared" si="32"/>
        <v>0</v>
      </c>
      <c r="AF11" s="124">
        <f t="shared" si="33"/>
        <v>0</v>
      </c>
      <c r="AH11" s="126" t="s">
        <v>122</v>
      </c>
      <c r="AI11" s="4" t="str">
        <f>C13</f>
        <v>R. Forsyth</v>
      </c>
      <c r="AJ11" s="128">
        <v>0</v>
      </c>
      <c r="AK11" s="128">
        <f>AA13*0.189</f>
        <v>0</v>
      </c>
      <c r="AL11" s="128">
        <f>AA13*0.4</f>
        <v>0</v>
      </c>
      <c r="AM11" s="128">
        <f>AB13*1</f>
        <v>0</v>
      </c>
      <c r="AN11" s="128">
        <v>0</v>
      </c>
      <c r="AO11" s="128">
        <f>(AC14*0.574)+(AD14*0.314)</f>
        <v>0</v>
      </c>
      <c r="AP11" s="128">
        <f>AD14*0.241</f>
        <v>0</v>
      </c>
      <c r="AQ11" s="130">
        <f>(0.5*AE14+0.3*AF14)/10</f>
        <v>0</v>
      </c>
      <c r="AR11" s="130">
        <f>(0.4*AA14+0.3*AF14)/10</f>
        <v>0</v>
      </c>
      <c r="AS11" s="130">
        <v>0</v>
      </c>
      <c r="AT11" s="130">
        <v>0</v>
      </c>
    </row>
    <row r="12" spans="1:53" x14ac:dyDescent="0.25">
      <c r="A12" s="4" t="str">
        <f>PLANTILLA!A14</f>
        <v>#12</v>
      </c>
      <c r="B12" s="4" t="str">
        <f>PLANTILLA!B14</f>
        <v>MED</v>
      </c>
      <c r="C12" s="75" t="str">
        <f>PLANTILLA!D14</f>
        <v>P. Tuderek</v>
      </c>
      <c r="D12" s="54">
        <f>PLANTILLA!E14</f>
        <v>28</v>
      </c>
      <c r="E12" s="55">
        <f ca="1">PLANTILLA!F14</f>
        <v>39</v>
      </c>
      <c r="F12" s="70"/>
      <c r="G12" s="238">
        <f>PLANTILLA!H14</f>
        <v>4</v>
      </c>
      <c r="H12" s="56">
        <f>PLANTILLA!I14</f>
        <v>7</v>
      </c>
      <c r="I12" s="140">
        <f>PLANTILLA!X14</f>
        <v>0</v>
      </c>
      <c r="J12" s="140">
        <f>PLANTILLA!Y14</f>
        <v>11.153846153846153</v>
      </c>
      <c r="K12" s="140">
        <f>PLANTILLA!Z14</f>
        <v>14.166666666666666</v>
      </c>
      <c r="L12" s="140">
        <f>PLANTILLA!AA14</f>
        <v>2</v>
      </c>
      <c r="M12" s="140">
        <f>PLANTILLA!AB14</f>
        <v>3</v>
      </c>
      <c r="N12" s="140">
        <f>PLANTILLA!AC14</f>
        <v>8</v>
      </c>
      <c r="O12" s="140">
        <f>PLANTILLA!AD14</f>
        <v>20.166666666666668</v>
      </c>
      <c r="P12" s="69">
        <f t="shared" si="17"/>
        <v>28</v>
      </c>
      <c r="Q12" s="119">
        <f t="shared" ca="1" si="18"/>
        <v>46</v>
      </c>
      <c r="R12" s="77">
        <f t="shared" si="19"/>
        <v>7</v>
      </c>
      <c r="S12" s="155">
        <f t="shared" si="20"/>
        <v>0</v>
      </c>
      <c r="T12" s="155">
        <f t="shared" si="21"/>
        <v>11.153846153846153</v>
      </c>
      <c r="U12" s="155">
        <f t="shared" si="22"/>
        <v>14.166666666666666</v>
      </c>
      <c r="V12" s="155">
        <f t="shared" si="23"/>
        <v>2</v>
      </c>
      <c r="W12" s="155">
        <f t="shared" si="24"/>
        <v>3</v>
      </c>
      <c r="X12" s="155">
        <f t="shared" si="25"/>
        <v>8</v>
      </c>
      <c r="Y12" s="155">
        <f t="shared" si="26"/>
        <v>20.166666666666668</v>
      </c>
      <c r="Z12" s="124">
        <f t="shared" si="27"/>
        <v>0</v>
      </c>
      <c r="AA12" s="124">
        <f t="shared" si="28"/>
        <v>0</v>
      </c>
      <c r="AB12" s="124">
        <f t="shared" si="29"/>
        <v>0</v>
      </c>
      <c r="AC12" s="124">
        <f t="shared" si="30"/>
        <v>0</v>
      </c>
      <c r="AD12" s="124">
        <f t="shared" si="31"/>
        <v>0</v>
      </c>
      <c r="AE12" s="124">
        <f t="shared" si="32"/>
        <v>0</v>
      </c>
      <c r="AF12" s="124">
        <f t="shared" si="33"/>
        <v>0</v>
      </c>
      <c r="AH12" s="126" t="s">
        <v>390</v>
      </c>
      <c r="AI12" s="4" t="str">
        <f>C14</f>
        <v>Dusty Ware</v>
      </c>
      <c r="AJ12" s="128">
        <f>AA14*0.284</f>
        <v>0</v>
      </c>
      <c r="AK12" s="128">
        <v>0</v>
      </c>
      <c r="AL12" s="128">
        <f>AA14*0.244</f>
        <v>0</v>
      </c>
      <c r="AM12" s="128">
        <f>AB14*0.631</f>
        <v>0</v>
      </c>
      <c r="AN12" s="128">
        <v>0</v>
      </c>
      <c r="AO12" s="128">
        <f>(AC11*1)+(AD11*0.286)</f>
        <v>0</v>
      </c>
      <c r="AP12" s="128">
        <f>AD11*0.135</f>
        <v>0</v>
      </c>
      <c r="AQ12" s="130">
        <f>(0.5*AE11+0.3*AF11)/10</f>
        <v>0</v>
      </c>
      <c r="AR12" s="130">
        <f>(0.4*AA11+0.3*AF11)/10</f>
        <v>0</v>
      </c>
      <c r="AS12" s="130">
        <v>0</v>
      </c>
      <c r="AT12" s="130">
        <v>0</v>
      </c>
    </row>
    <row r="13" spans="1:53" s="1" customFormat="1" x14ac:dyDescent="0.25">
      <c r="A13" s="4" t="str">
        <f>PLANTILLA!A12</f>
        <v>#10</v>
      </c>
      <c r="B13" s="4" t="str">
        <f>PLANTILLA!B12</f>
        <v>MED</v>
      </c>
      <c r="C13" s="75" t="str">
        <f>PLANTILLA!D12</f>
        <v>R. Forsyth</v>
      </c>
      <c r="D13" s="54">
        <f>PLANTILLA!E12</f>
        <v>28</v>
      </c>
      <c r="E13" s="55">
        <f ca="1">PLANTILLA!F12</f>
        <v>94</v>
      </c>
      <c r="F13" s="70" t="str">
        <f>PLANTILLA!G12</f>
        <v>POT</v>
      </c>
      <c r="G13" s="238">
        <f>PLANTILLA!H12</f>
        <v>4</v>
      </c>
      <c r="H13" s="56">
        <f>PLANTILLA!I12</f>
        <v>8</v>
      </c>
      <c r="I13" s="140">
        <f>PLANTILLA!X12</f>
        <v>0</v>
      </c>
      <c r="J13" s="140">
        <f>PLANTILLA!Y12</f>
        <v>11.692307692307692</v>
      </c>
      <c r="K13" s="140">
        <f>PLANTILLA!Z12</f>
        <v>14.692307692307692</v>
      </c>
      <c r="L13" s="140">
        <f>PLANTILLA!AA12</f>
        <v>3</v>
      </c>
      <c r="M13" s="140">
        <f>PLANTILLA!AB12</f>
        <v>4</v>
      </c>
      <c r="N13" s="140">
        <f>PLANTILLA!AC12</f>
        <v>7.5</v>
      </c>
      <c r="O13" s="140">
        <f>PLANTILLA!AD12</f>
        <v>19</v>
      </c>
      <c r="P13" s="69">
        <f t="shared" si="17"/>
        <v>28</v>
      </c>
      <c r="Q13" s="119">
        <f t="shared" ca="1" si="18"/>
        <v>101</v>
      </c>
      <c r="R13" s="77">
        <f t="shared" si="19"/>
        <v>8</v>
      </c>
      <c r="S13" s="155">
        <f t="shared" si="20"/>
        <v>0</v>
      </c>
      <c r="T13" s="155">
        <f t="shared" si="21"/>
        <v>11.692307692307692</v>
      </c>
      <c r="U13" s="155">
        <f t="shared" si="22"/>
        <v>14.692307692307692</v>
      </c>
      <c r="V13" s="155">
        <f t="shared" si="23"/>
        <v>3</v>
      </c>
      <c r="W13" s="155">
        <f t="shared" si="24"/>
        <v>4</v>
      </c>
      <c r="X13" s="155">
        <f t="shared" si="25"/>
        <v>7.5</v>
      </c>
      <c r="Y13" s="155">
        <f t="shared" si="26"/>
        <v>19</v>
      </c>
      <c r="Z13" s="124">
        <f t="shared" si="27"/>
        <v>0</v>
      </c>
      <c r="AA13" s="124">
        <f t="shared" si="28"/>
        <v>0</v>
      </c>
      <c r="AB13" s="124">
        <f t="shared" si="29"/>
        <v>0</v>
      </c>
      <c r="AC13" s="124">
        <f t="shared" si="30"/>
        <v>0</v>
      </c>
      <c r="AD13" s="124">
        <f t="shared" si="31"/>
        <v>0</v>
      </c>
      <c r="AE13" s="124">
        <f t="shared" si="32"/>
        <v>0</v>
      </c>
      <c r="AF13" s="124">
        <f t="shared" si="33"/>
        <v>0</v>
      </c>
      <c r="AH13" s="126" t="s">
        <v>390</v>
      </c>
      <c r="AI13" s="84" t="str">
        <f>C16</f>
        <v>K. Polyukhov</v>
      </c>
      <c r="AJ13" s="127">
        <v>0</v>
      </c>
      <c r="AK13" s="127">
        <f>AA16*0.284</f>
        <v>0</v>
      </c>
      <c r="AL13" s="128">
        <f>AA16*0.244</f>
        <v>0</v>
      </c>
      <c r="AM13" s="127">
        <f>AB16*0.631</f>
        <v>0</v>
      </c>
      <c r="AN13" s="127">
        <f>(AD20*0.142)+(AC20*0.221)+(AE20*0.26)</f>
        <v>0</v>
      </c>
      <c r="AO13" s="127">
        <f>AN13</f>
        <v>0</v>
      </c>
      <c r="AP13" s="127">
        <f>(AD20*0.369)+(AE20*1)</f>
        <v>0</v>
      </c>
      <c r="AQ13" s="176">
        <f>((0.5*AE20+0.3*AF20)/10)+0.09*AF20</f>
        <v>0</v>
      </c>
      <c r="AR13" s="176">
        <f>(0.4*AA20+0.3*AF20)/10</f>
        <v>0</v>
      </c>
      <c r="AS13" s="129">
        <v>0</v>
      </c>
      <c r="AT13" s="129">
        <v>0</v>
      </c>
    </row>
    <row r="14" spans="1:53" x14ac:dyDescent="0.25">
      <c r="A14" s="4" t="str">
        <f>PLANTILLA!A13</f>
        <v>#11</v>
      </c>
      <c r="B14" s="4" t="str">
        <f>PLANTILLA!B13</f>
        <v>MED</v>
      </c>
      <c r="C14" s="75" t="str">
        <f>PLANTILLA!D13</f>
        <v>Dusty Ware</v>
      </c>
      <c r="D14" s="54">
        <f>PLANTILLA!E13</f>
        <v>29</v>
      </c>
      <c r="E14" s="55">
        <f ca="1">PLANTILLA!F13</f>
        <v>76</v>
      </c>
      <c r="F14" s="70"/>
      <c r="G14" s="238">
        <f>PLANTILLA!H13</f>
        <v>4</v>
      </c>
      <c r="H14" s="56">
        <f>PLANTILLA!I13</f>
        <v>9</v>
      </c>
      <c r="I14" s="140">
        <f>PLANTILLA!X13</f>
        <v>0</v>
      </c>
      <c r="J14" s="140">
        <f>PLANTILLA!Y13</f>
        <v>11.307692307692308</v>
      </c>
      <c r="K14" s="140">
        <f>PLANTILLA!Z13</f>
        <v>15</v>
      </c>
      <c r="L14" s="140">
        <f>PLANTILLA!AA13</f>
        <v>4</v>
      </c>
      <c r="M14" s="140">
        <f>PLANTILLA!AB13</f>
        <v>3</v>
      </c>
      <c r="N14" s="140">
        <f>PLANTILLA!AC13</f>
        <v>9</v>
      </c>
      <c r="O14" s="140">
        <f>PLANTILLA!AD13</f>
        <v>18.25</v>
      </c>
      <c r="P14" s="69">
        <f t="shared" si="17"/>
        <v>29</v>
      </c>
      <c r="Q14" s="119">
        <f t="shared" ca="1" si="18"/>
        <v>83</v>
      </c>
      <c r="R14" s="77">
        <f t="shared" si="19"/>
        <v>9</v>
      </c>
      <c r="S14" s="155">
        <f t="shared" si="20"/>
        <v>0</v>
      </c>
      <c r="T14" s="155">
        <f t="shared" si="21"/>
        <v>11.307692307692308</v>
      </c>
      <c r="U14" s="155">
        <f t="shared" si="22"/>
        <v>15</v>
      </c>
      <c r="V14" s="155">
        <f t="shared" si="23"/>
        <v>4</v>
      </c>
      <c r="W14" s="155">
        <f t="shared" si="24"/>
        <v>3</v>
      </c>
      <c r="X14" s="155">
        <f t="shared" si="25"/>
        <v>9</v>
      </c>
      <c r="Y14" s="155">
        <f t="shared" si="26"/>
        <v>18.25</v>
      </c>
      <c r="Z14" s="124">
        <f t="shared" si="27"/>
        <v>0</v>
      </c>
      <c r="AA14" s="124">
        <f t="shared" si="28"/>
        <v>0</v>
      </c>
      <c r="AB14" s="124">
        <f t="shared" si="29"/>
        <v>0</v>
      </c>
      <c r="AC14" s="124">
        <f t="shared" si="30"/>
        <v>0</v>
      </c>
      <c r="AD14" s="124">
        <f t="shared" si="31"/>
        <v>0</v>
      </c>
      <c r="AE14" s="124">
        <f t="shared" si="32"/>
        <v>0</v>
      </c>
      <c r="AF14" s="124">
        <f t="shared" si="33"/>
        <v>0</v>
      </c>
      <c r="AH14" s="126" t="s">
        <v>123</v>
      </c>
      <c r="AI14" s="4"/>
      <c r="AJ14" s="128">
        <v>0</v>
      </c>
      <c r="AK14" s="128">
        <v>0</v>
      </c>
      <c r="AL14" s="128">
        <v>0</v>
      </c>
      <c r="AM14" s="127">
        <v>0</v>
      </c>
      <c r="AN14" s="127">
        <f>(AD12*0.142)+(AC12*0.221)+(AE12*0.26)</f>
        <v>0</v>
      </c>
      <c r="AO14" s="127">
        <f>AN14</f>
        <v>0</v>
      </c>
      <c r="AP14" s="127">
        <f>(AD12*0.369)+(AE12*1)</f>
        <v>0</v>
      </c>
      <c r="AQ14" s="130">
        <f>(0.5*AE12+0.3*AF12)/10</f>
        <v>0</v>
      </c>
      <c r="AR14" s="130">
        <f>(0.4*AA12+0.3*AF12)/10</f>
        <v>0</v>
      </c>
      <c r="AS14" s="129">
        <v>0</v>
      </c>
      <c r="AT14" s="129">
        <v>0</v>
      </c>
    </row>
    <row r="15" spans="1:53" s="65" customFormat="1" x14ac:dyDescent="0.25">
      <c r="A15" s="4" t="str">
        <f>PLANTILLA!A11</f>
        <v>#15</v>
      </c>
      <c r="B15" s="4" t="str">
        <f>PLANTILLA!B11</f>
        <v>MED</v>
      </c>
      <c r="C15" s="75" t="str">
        <f>PLANTILLA!D11</f>
        <v>S. Kariuki</v>
      </c>
      <c r="D15" s="54">
        <f>PLANTILLA!E11</f>
        <v>29</v>
      </c>
      <c r="E15" s="55">
        <f ca="1">PLANTILLA!F11</f>
        <v>40</v>
      </c>
      <c r="F15" s="70" t="str">
        <f>PLANTILLA!G11</f>
        <v>CAB</v>
      </c>
      <c r="G15" s="238">
        <f>PLANTILLA!H11</f>
        <v>1</v>
      </c>
      <c r="H15" s="56">
        <f>PLANTILLA!I11</f>
        <v>9</v>
      </c>
      <c r="I15" s="140">
        <f>PLANTILLA!X11</f>
        <v>0</v>
      </c>
      <c r="J15" s="140">
        <f>PLANTILLA!Y11</f>
        <v>13</v>
      </c>
      <c r="K15" s="140">
        <f>PLANTILLA!Z11</f>
        <v>14</v>
      </c>
      <c r="L15" s="140">
        <f>PLANTILLA!AA11</f>
        <v>2</v>
      </c>
      <c r="M15" s="140">
        <f>PLANTILLA!AB11</f>
        <v>2</v>
      </c>
      <c r="N15" s="140">
        <f>PLANTILLA!AC11</f>
        <v>7</v>
      </c>
      <c r="O15" s="140">
        <f>PLANTILLA!AD11</f>
        <v>19</v>
      </c>
      <c r="P15" s="69">
        <f t="shared" si="17"/>
        <v>29</v>
      </c>
      <c r="Q15" s="119">
        <f t="shared" ca="1" si="18"/>
        <v>47</v>
      </c>
      <c r="R15" s="77">
        <f t="shared" si="19"/>
        <v>9</v>
      </c>
      <c r="S15" s="155">
        <f t="shared" si="20"/>
        <v>0</v>
      </c>
      <c r="T15" s="155">
        <f t="shared" si="21"/>
        <v>13</v>
      </c>
      <c r="U15" s="155">
        <f t="shared" si="22"/>
        <v>14</v>
      </c>
      <c r="V15" s="155">
        <f t="shared" si="23"/>
        <v>2</v>
      </c>
      <c r="W15" s="155">
        <f t="shared" si="24"/>
        <v>2</v>
      </c>
      <c r="X15" s="155">
        <f t="shared" si="25"/>
        <v>7</v>
      </c>
      <c r="Y15" s="155">
        <f t="shared" si="26"/>
        <v>19</v>
      </c>
      <c r="Z15" s="124">
        <f t="shared" si="27"/>
        <v>0</v>
      </c>
      <c r="AA15" s="124">
        <f t="shared" si="28"/>
        <v>0</v>
      </c>
      <c r="AB15" s="124">
        <f t="shared" si="29"/>
        <v>0</v>
      </c>
      <c r="AC15" s="124">
        <f t="shared" si="30"/>
        <v>0</v>
      </c>
      <c r="AD15" s="124">
        <f t="shared" si="31"/>
        <v>0</v>
      </c>
      <c r="AE15" s="124">
        <f t="shared" si="32"/>
        <v>0</v>
      </c>
      <c r="AF15" s="124">
        <f t="shared" si="33"/>
        <v>0</v>
      </c>
      <c r="AH15" s="2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4" t="str">
        <f>PLANTILLA!A10</f>
        <v>#3</v>
      </c>
      <c r="B16" s="4" t="str">
        <f>PLANTILLA!B10</f>
        <v>MED</v>
      </c>
      <c r="C16" s="75" t="str">
        <f>PLANTILLA!D10</f>
        <v>K. Polyukhov</v>
      </c>
      <c r="D16" s="54">
        <f>PLANTILLA!E10</f>
        <v>30</v>
      </c>
      <c r="E16" s="55">
        <f ca="1">PLANTILLA!F10</f>
        <v>48</v>
      </c>
      <c r="F16" s="70"/>
      <c r="G16" s="238">
        <f>PLANTILLA!H10</f>
        <v>5</v>
      </c>
      <c r="H16" s="56">
        <f>PLANTILLA!I10</f>
        <v>8</v>
      </c>
      <c r="I16" s="140">
        <f>PLANTILLA!X10</f>
        <v>0</v>
      </c>
      <c r="J16" s="140">
        <f>PLANTILLA!Y10</f>
        <v>14.454545454545455</v>
      </c>
      <c r="K16" s="140">
        <f>PLANTILLA!Z10</f>
        <v>13</v>
      </c>
      <c r="L16" s="140">
        <f>PLANTILLA!AA10</f>
        <v>1</v>
      </c>
      <c r="M16" s="140">
        <f>PLANTILLA!AB10</f>
        <v>9</v>
      </c>
      <c r="N16" s="140">
        <f>PLANTILLA!AC10</f>
        <v>9</v>
      </c>
      <c r="O16" s="140">
        <f>PLANTILLA!AD10</f>
        <v>16</v>
      </c>
      <c r="P16" s="69">
        <f t="shared" si="17"/>
        <v>30</v>
      </c>
      <c r="Q16" s="119">
        <f t="shared" ca="1" si="18"/>
        <v>55</v>
      </c>
      <c r="R16" s="77">
        <f t="shared" si="19"/>
        <v>8</v>
      </c>
      <c r="S16" s="155">
        <f t="shared" si="20"/>
        <v>0</v>
      </c>
      <c r="T16" s="155">
        <f t="shared" si="21"/>
        <v>14.454545454545455</v>
      </c>
      <c r="U16" s="155">
        <f t="shared" si="22"/>
        <v>13</v>
      </c>
      <c r="V16" s="155">
        <f t="shared" si="23"/>
        <v>1</v>
      </c>
      <c r="W16" s="155">
        <f t="shared" si="24"/>
        <v>9</v>
      </c>
      <c r="X16" s="155">
        <f t="shared" si="25"/>
        <v>9</v>
      </c>
      <c r="Y16" s="155">
        <f t="shared" si="26"/>
        <v>16</v>
      </c>
      <c r="Z16" s="124">
        <f t="shared" si="27"/>
        <v>0</v>
      </c>
      <c r="AA16" s="124">
        <f t="shared" si="28"/>
        <v>0</v>
      </c>
      <c r="AB16" s="124">
        <f t="shared" si="29"/>
        <v>0</v>
      </c>
      <c r="AC16" s="124">
        <f t="shared" si="30"/>
        <v>0</v>
      </c>
      <c r="AD16" s="124">
        <f t="shared" si="31"/>
        <v>0</v>
      </c>
      <c r="AE16" s="124">
        <f t="shared" si="32"/>
        <v>0</v>
      </c>
      <c r="AF16" s="124">
        <f t="shared" si="33"/>
        <v>0</v>
      </c>
      <c r="AH16" s="65"/>
      <c r="AI16" s="65"/>
      <c r="AJ16" s="131">
        <f>SUM(AJ18:AJ28)*$AY$3</f>
        <v>0</v>
      </c>
      <c r="AK16" s="131">
        <f>SUM(AK18:AK28)*$AY$3</f>
        <v>0</v>
      </c>
      <c r="AL16" s="131">
        <f>SUM(AL18:AL28)*$AY$2</f>
        <v>0</v>
      </c>
      <c r="AM16" s="131">
        <f>SUM(AM18:AM28)*$AY$4</f>
        <v>0</v>
      </c>
      <c r="AN16" s="131" t="e">
        <f>SUM(AN18:AN28)*$AY$5</f>
        <v>#REF!</v>
      </c>
      <c r="AO16" s="131">
        <f>SUM(AO18:AO28)*$AY$5</f>
        <v>0</v>
      </c>
      <c r="AP16" s="131" t="e">
        <f>SUM(AP18:AP28)*$AY$6</f>
        <v>#REF!</v>
      </c>
      <c r="AQ16" s="132" t="e">
        <f>SUM(AQ18:AQ28)</f>
        <v>#REF!</v>
      </c>
      <c r="AR16" s="132" t="e">
        <f>SUM(AR18:AR28)</f>
        <v>#REF!</v>
      </c>
      <c r="AS16" s="132">
        <f>SUM(AS18:AS28)</f>
        <v>4.4375</v>
      </c>
      <c r="AT16" s="132">
        <f>SUM(AT18:AT28)</f>
        <v>0</v>
      </c>
    </row>
    <row r="17" spans="1:46" s="65" customFormat="1" x14ac:dyDescent="0.25">
      <c r="A17" s="4" t="str">
        <f>PLANTILLA!A16</f>
        <v>#16</v>
      </c>
      <c r="B17" s="4" t="str">
        <f>PLANTILLA!B16</f>
        <v>EXT</v>
      </c>
      <c r="C17" s="75" t="str">
        <f>PLANTILLA!D16</f>
        <v>I. Vanags</v>
      </c>
      <c r="D17" s="54">
        <f>PLANTILLA!E16</f>
        <v>28</v>
      </c>
      <c r="E17" s="55">
        <f ca="1">PLANTILLA!F16</f>
        <v>37</v>
      </c>
      <c r="F17" s="70" t="str">
        <f>PLANTILLA!G16</f>
        <v>CAB</v>
      </c>
      <c r="G17" s="238">
        <f>PLANTILLA!H16</f>
        <v>4</v>
      </c>
      <c r="H17" s="56">
        <f>PLANTILLA!I16</f>
        <v>7</v>
      </c>
      <c r="I17" s="140">
        <f>PLANTILLA!X16</f>
        <v>0</v>
      </c>
      <c r="J17" s="140">
        <f>PLANTILLA!Y16</f>
        <v>8.8571428571428577</v>
      </c>
      <c r="K17" s="140">
        <f>PLANTILLA!Z16</f>
        <v>15</v>
      </c>
      <c r="L17" s="140">
        <f>PLANTILLA!AA16</f>
        <v>3</v>
      </c>
      <c r="M17" s="140">
        <f>PLANTILLA!AB16</f>
        <v>4</v>
      </c>
      <c r="N17" s="140">
        <f>PLANTILLA!AC16</f>
        <v>8.2857142857142865</v>
      </c>
      <c r="O17" s="140">
        <f>PLANTILLA!AD16</f>
        <v>19.399999999999999</v>
      </c>
      <c r="P17" s="69">
        <f t="shared" si="17"/>
        <v>28</v>
      </c>
      <c r="Q17" s="119">
        <f t="shared" ca="1" si="18"/>
        <v>44</v>
      </c>
      <c r="R17" s="77">
        <f t="shared" si="19"/>
        <v>7</v>
      </c>
      <c r="S17" s="155">
        <f t="shared" si="20"/>
        <v>0</v>
      </c>
      <c r="T17" s="155">
        <f t="shared" si="21"/>
        <v>8.8571428571428577</v>
      </c>
      <c r="U17" s="155">
        <f t="shared" si="22"/>
        <v>15</v>
      </c>
      <c r="V17" s="155">
        <f t="shared" si="23"/>
        <v>3</v>
      </c>
      <c r="W17" s="155">
        <f t="shared" si="24"/>
        <v>4</v>
      </c>
      <c r="X17" s="155">
        <f t="shared" si="25"/>
        <v>8.2857142857142865</v>
      </c>
      <c r="Y17" s="155">
        <f t="shared" si="26"/>
        <v>19.399999999999999</v>
      </c>
      <c r="Z17" s="124">
        <f t="shared" si="27"/>
        <v>0</v>
      </c>
      <c r="AA17" s="124">
        <f t="shared" si="28"/>
        <v>0</v>
      </c>
      <c r="AB17" s="124">
        <f t="shared" si="29"/>
        <v>0</v>
      </c>
      <c r="AC17" s="124">
        <f t="shared" si="30"/>
        <v>0</v>
      </c>
      <c r="AD17" s="124">
        <f t="shared" si="31"/>
        <v>0</v>
      </c>
      <c r="AE17" s="124">
        <f t="shared" si="32"/>
        <v>0</v>
      </c>
      <c r="AF17" s="124">
        <f t="shared" si="33"/>
        <v>0</v>
      </c>
      <c r="AH17" s="563">
        <v>550</v>
      </c>
      <c r="AI17" s="564"/>
      <c r="AJ17" s="92" t="s">
        <v>379</v>
      </c>
      <c r="AK17" s="92" t="s">
        <v>380</v>
      </c>
      <c r="AL17" s="92" t="s">
        <v>381</v>
      </c>
      <c r="AM17" s="92" t="s">
        <v>382</v>
      </c>
      <c r="AN17" s="92" t="s">
        <v>383</v>
      </c>
      <c r="AO17" s="92" t="s">
        <v>384</v>
      </c>
      <c r="AP17" s="92" t="s">
        <v>385</v>
      </c>
      <c r="AQ17" s="92" t="s">
        <v>386</v>
      </c>
      <c r="AR17" s="92" t="s">
        <v>387</v>
      </c>
      <c r="AS17" s="92" t="s">
        <v>259</v>
      </c>
      <c r="AT17" s="92" t="s">
        <v>101</v>
      </c>
    </row>
    <row r="18" spans="1:46" s="1" customFormat="1" x14ac:dyDescent="0.25">
      <c r="A18" s="4" t="str">
        <f>PLANTILLA!A17</f>
        <v>#8</v>
      </c>
      <c r="B18" s="4" t="str">
        <f>PLANTILLA!B17</f>
        <v>EXT</v>
      </c>
      <c r="C18" s="75" t="str">
        <f>PLANTILLA!D17</f>
        <v>I. Stone</v>
      </c>
      <c r="D18" s="54">
        <f>PLANTILLA!E17</f>
        <v>27</v>
      </c>
      <c r="E18" s="55">
        <f ca="1">PLANTILLA!F17</f>
        <v>92</v>
      </c>
      <c r="F18" s="70"/>
      <c r="G18" s="238">
        <f>PLANTILLA!H17</f>
        <v>6</v>
      </c>
      <c r="H18" s="56">
        <f>PLANTILLA!I17</f>
        <v>8</v>
      </c>
      <c r="I18" s="140">
        <f>PLANTILLA!X17</f>
        <v>0</v>
      </c>
      <c r="J18" s="140">
        <f>PLANTILLA!Y17</f>
        <v>8.1666666666666661</v>
      </c>
      <c r="K18" s="140">
        <f>PLANTILLA!Z17</f>
        <v>13.818181818181818</v>
      </c>
      <c r="L18" s="140">
        <f>PLANTILLA!AA17</f>
        <v>2</v>
      </c>
      <c r="M18" s="140">
        <f>PLANTILLA!AB17</f>
        <v>6</v>
      </c>
      <c r="N18" s="140">
        <f>PLANTILLA!AC17</f>
        <v>10</v>
      </c>
      <c r="O18" s="140">
        <f>PLANTILLA!AD17</f>
        <v>19</v>
      </c>
      <c r="P18" s="69">
        <f t="shared" si="17"/>
        <v>27</v>
      </c>
      <c r="Q18" s="119">
        <f t="shared" ca="1" si="18"/>
        <v>99</v>
      </c>
      <c r="R18" s="77">
        <f t="shared" si="19"/>
        <v>8</v>
      </c>
      <c r="S18" s="155">
        <f t="shared" si="20"/>
        <v>0</v>
      </c>
      <c r="T18" s="155">
        <f t="shared" si="21"/>
        <v>8.1666666666666661</v>
      </c>
      <c r="U18" s="155">
        <f t="shared" si="22"/>
        <v>13.818181818181818</v>
      </c>
      <c r="V18" s="155">
        <f t="shared" si="23"/>
        <v>2</v>
      </c>
      <c r="W18" s="155">
        <f t="shared" si="24"/>
        <v>6</v>
      </c>
      <c r="X18" s="155">
        <f t="shared" si="25"/>
        <v>10</v>
      </c>
      <c r="Y18" s="155">
        <f t="shared" si="26"/>
        <v>19</v>
      </c>
      <c r="Z18" s="124">
        <f t="shared" si="27"/>
        <v>0</v>
      </c>
      <c r="AA18" s="124">
        <f t="shared" si="28"/>
        <v>0</v>
      </c>
      <c r="AB18" s="124">
        <f t="shared" si="29"/>
        <v>0</v>
      </c>
      <c r="AC18" s="124">
        <f t="shared" si="30"/>
        <v>0</v>
      </c>
      <c r="AD18" s="124">
        <f t="shared" si="31"/>
        <v>0</v>
      </c>
      <c r="AE18" s="124">
        <f t="shared" si="32"/>
        <v>0</v>
      </c>
      <c r="AF18" s="124">
        <f t="shared" si="33"/>
        <v>0</v>
      </c>
      <c r="AH18" s="125" t="s">
        <v>14</v>
      </c>
      <c r="AI18" s="84"/>
      <c r="AJ18" s="127">
        <v>0</v>
      </c>
      <c r="AK18" s="127">
        <v>0</v>
      </c>
      <c r="AL18" s="127">
        <v>0</v>
      </c>
      <c r="AM18" s="127">
        <v>0</v>
      </c>
      <c r="AN18" s="127">
        <f t="shared" ref="AN18:AT18" si="34">AN4</f>
        <v>0</v>
      </c>
      <c r="AO18" s="127">
        <f t="shared" si="34"/>
        <v>0</v>
      </c>
      <c r="AP18" s="127">
        <f t="shared" si="34"/>
        <v>0</v>
      </c>
      <c r="AQ18" s="177">
        <f t="shared" si="34"/>
        <v>0</v>
      </c>
      <c r="AR18" s="177">
        <f t="shared" si="34"/>
        <v>0</v>
      </c>
      <c r="AS18" s="129">
        <f t="shared" si="34"/>
        <v>0</v>
      </c>
      <c r="AT18" s="129">
        <f t="shared" si="34"/>
        <v>0</v>
      </c>
    </row>
    <row r="19" spans="1:46" s="1" customFormat="1" x14ac:dyDescent="0.25">
      <c r="A19" s="4" t="str">
        <f>PLANTILLA!A18</f>
        <v>#14</v>
      </c>
      <c r="B19" s="4" t="str">
        <f>PLANTILLA!B18</f>
        <v>EXT</v>
      </c>
      <c r="C19" s="75" t="str">
        <f>PLANTILLA!D18</f>
        <v>G. Piscaer</v>
      </c>
      <c r="D19" s="54">
        <f>PLANTILLA!E18</f>
        <v>28</v>
      </c>
      <c r="E19" s="55">
        <f ca="1">PLANTILLA!F18</f>
        <v>53</v>
      </c>
      <c r="F19" s="70" t="str">
        <f>PLANTILLA!G18</f>
        <v>IMP</v>
      </c>
      <c r="G19" s="238">
        <f>PLANTILLA!H18</f>
        <v>1</v>
      </c>
      <c r="H19" s="56">
        <f>PLANTILLA!I18</f>
        <v>9</v>
      </c>
      <c r="I19" s="140">
        <f>PLANTILLA!X18</f>
        <v>0</v>
      </c>
      <c r="J19" s="140">
        <f>PLANTILLA!Y18</f>
        <v>9.25</v>
      </c>
      <c r="K19" s="140">
        <f>PLANTILLA!Z18</f>
        <v>15</v>
      </c>
      <c r="L19" s="140">
        <f>PLANTILLA!AA18</f>
        <v>3</v>
      </c>
      <c r="M19" s="140">
        <f>PLANTILLA!AB18</f>
        <v>2</v>
      </c>
      <c r="N19" s="140">
        <f>PLANTILLA!AC18</f>
        <v>9.25</v>
      </c>
      <c r="O19" s="140">
        <f>PLANTILLA!AD18</f>
        <v>18.666666666666668</v>
      </c>
      <c r="P19" s="69">
        <f t="shared" si="17"/>
        <v>28</v>
      </c>
      <c r="Q19" s="119">
        <f t="shared" ca="1" si="18"/>
        <v>60</v>
      </c>
      <c r="R19" s="77">
        <f t="shared" si="19"/>
        <v>9</v>
      </c>
      <c r="S19" s="155">
        <f t="shared" si="20"/>
        <v>0</v>
      </c>
      <c r="T19" s="155">
        <f t="shared" si="21"/>
        <v>9.25</v>
      </c>
      <c r="U19" s="155">
        <f t="shared" si="22"/>
        <v>15</v>
      </c>
      <c r="V19" s="155">
        <f t="shared" si="23"/>
        <v>3</v>
      </c>
      <c r="W19" s="155">
        <f t="shared" si="24"/>
        <v>2</v>
      </c>
      <c r="X19" s="155">
        <f t="shared" si="25"/>
        <v>9.25</v>
      </c>
      <c r="Y19" s="155">
        <f t="shared" si="26"/>
        <v>18.666666666666668</v>
      </c>
      <c r="Z19" s="124">
        <f t="shared" si="27"/>
        <v>0</v>
      </c>
      <c r="AA19" s="124">
        <f t="shared" si="28"/>
        <v>0</v>
      </c>
      <c r="AB19" s="124">
        <f t="shared" si="29"/>
        <v>0</v>
      </c>
      <c r="AC19" s="124">
        <f t="shared" si="30"/>
        <v>0</v>
      </c>
      <c r="AD19" s="124">
        <f t="shared" si="31"/>
        <v>0</v>
      </c>
      <c r="AE19" s="124">
        <f t="shared" si="32"/>
        <v>0</v>
      </c>
      <c r="AF19" s="124">
        <f t="shared" si="33"/>
        <v>0</v>
      </c>
      <c r="AH19" s="125" t="s">
        <v>168</v>
      </c>
      <c r="AI19" s="84"/>
      <c r="AJ19" s="127">
        <v>0</v>
      </c>
      <c r="AK19" s="127">
        <v>0</v>
      </c>
      <c r="AL19" s="127">
        <v>0</v>
      </c>
      <c r="AM19" s="127">
        <v>0</v>
      </c>
      <c r="AN19" s="127">
        <f>AC19*0.588</f>
        <v>0</v>
      </c>
      <c r="AO19" s="127">
        <v>0</v>
      </c>
      <c r="AP19" s="127">
        <v>0</v>
      </c>
      <c r="AQ19" s="129">
        <f>AQ5</f>
        <v>0</v>
      </c>
      <c r="AR19" s="129">
        <f>AR5</f>
        <v>0</v>
      </c>
      <c r="AS19" s="129">
        <f>((T19+1)+(W19+1)*2)/8</f>
        <v>2.03125</v>
      </c>
      <c r="AT19" s="129">
        <f>((AA19)+(AD19)*2)/8</f>
        <v>0</v>
      </c>
    </row>
    <row r="20" spans="1:46" x14ac:dyDescent="0.25">
      <c r="A20" s="4" t="str">
        <f>PLANTILLA!A19</f>
        <v>#9</v>
      </c>
      <c r="B20" s="4" t="str">
        <f>PLANTILLA!B19</f>
        <v>EXT</v>
      </c>
      <c r="C20" s="75" t="str">
        <f>PLANTILLA!D19</f>
        <v>M. Bondarewski</v>
      </c>
      <c r="D20" s="54">
        <f>PLANTILLA!E19</f>
        <v>28</v>
      </c>
      <c r="E20" s="55">
        <f ca="1">PLANTILLA!F19</f>
        <v>53</v>
      </c>
      <c r="F20" s="70"/>
      <c r="G20" s="238">
        <f>PLANTILLA!H19</f>
        <v>1</v>
      </c>
      <c r="H20" s="56">
        <f>PLANTILLA!I19</f>
        <v>9</v>
      </c>
      <c r="I20" s="140">
        <f>PLANTILLA!X19</f>
        <v>0</v>
      </c>
      <c r="J20" s="140">
        <f>PLANTILLA!Y19</f>
        <v>8</v>
      </c>
      <c r="K20" s="140">
        <f>PLANTILLA!Z19</f>
        <v>14.846153846153847</v>
      </c>
      <c r="L20" s="140">
        <f>PLANTILLA!AA19</f>
        <v>5</v>
      </c>
      <c r="M20" s="140">
        <f>PLANTILLA!AB19</f>
        <v>4</v>
      </c>
      <c r="N20" s="140">
        <f>PLANTILLA!AC19</f>
        <v>9.125</v>
      </c>
      <c r="O20" s="140">
        <f>PLANTILLA!AD19</f>
        <v>20.166666666666668</v>
      </c>
      <c r="P20" s="69">
        <f t="shared" si="17"/>
        <v>28</v>
      </c>
      <c r="Q20" s="119">
        <f t="shared" ca="1" si="18"/>
        <v>60</v>
      </c>
      <c r="R20" s="77">
        <f t="shared" si="19"/>
        <v>9</v>
      </c>
      <c r="S20" s="155">
        <f t="shared" si="20"/>
        <v>0</v>
      </c>
      <c r="T20" s="155">
        <f t="shared" si="21"/>
        <v>8</v>
      </c>
      <c r="U20" s="155">
        <f t="shared" si="22"/>
        <v>14.846153846153847</v>
      </c>
      <c r="V20" s="155">
        <f t="shared" si="23"/>
        <v>5</v>
      </c>
      <c r="W20" s="155">
        <f t="shared" si="24"/>
        <v>4</v>
      </c>
      <c r="X20" s="155">
        <f t="shared" si="25"/>
        <v>9.125</v>
      </c>
      <c r="Y20" s="155">
        <f t="shared" si="26"/>
        <v>20.166666666666668</v>
      </c>
      <c r="Z20" s="124">
        <f t="shared" si="27"/>
        <v>0</v>
      </c>
      <c r="AA20" s="124">
        <f t="shared" si="28"/>
        <v>0</v>
      </c>
      <c r="AB20" s="124">
        <f t="shared" si="29"/>
        <v>0</v>
      </c>
      <c r="AC20" s="124">
        <f t="shared" si="30"/>
        <v>0</v>
      </c>
      <c r="AD20" s="124">
        <f t="shared" si="31"/>
        <v>0</v>
      </c>
      <c r="AE20" s="124">
        <f t="shared" si="32"/>
        <v>0</v>
      </c>
      <c r="AF20" s="124">
        <f t="shared" si="33"/>
        <v>0</v>
      </c>
      <c r="AH20" s="126" t="s">
        <v>388</v>
      </c>
      <c r="AI20" s="4"/>
      <c r="AJ20" s="127">
        <v>0</v>
      </c>
      <c r="AK20" s="127">
        <v>0</v>
      </c>
      <c r="AL20" s="127">
        <v>0</v>
      </c>
      <c r="AM20" s="128">
        <v>0</v>
      </c>
      <c r="AN20" s="128">
        <f>(AD22*0.142)+(AC22*0.221)+(AE22*0.26)</f>
        <v>0</v>
      </c>
      <c r="AO20" s="127">
        <f>AN20</f>
        <v>0</v>
      </c>
      <c r="AP20" s="128">
        <f>(AD22*0.369)+(AE22*1)</f>
        <v>0</v>
      </c>
      <c r="AQ20" s="130">
        <f>(0.5*AE22+0.3*AF22)/10</f>
        <v>0</v>
      </c>
      <c r="AR20" s="130">
        <f>(0.4*AA22+0.3*AF22)/10</f>
        <v>0</v>
      </c>
      <c r="AS20" s="129">
        <f>((T22+1)+(W22+1)*2)/8</f>
        <v>0.375</v>
      </c>
      <c r="AT20" s="129">
        <f>((AA22)+(AD22)*2)/8</f>
        <v>0</v>
      </c>
    </row>
    <row r="21" spans="1:46" s="65" customFormat="1" x14ac:dyDescent="0.25">
      <c r="A21" s="4">
        <f>PLANTILLA!A20</f>
        <v>0</v>
      </c>
      <c r="B21" s="4">
        <f>PLANTILLA!B20</f>
        <v>0</v>
      </c>
      <c r="C21" s="75">
        <f>PLANTILLA!D20</f>
        <v>0</v>
      </c>
      <c r="D21" s="54">
        <f>PLANTILLA!E20</f>
        <v>0</v>
      </c>
      <c r="E21" s="55">
        <f>PLANTILLA!F20</f>
        <v>0</v>
      </c>
      <c r="F21" s="70">
        <f>PLANTILLA!G20</f>
        <v>0</v>
      </c>
      <c r="G21" s="238">
        <f>PLANTILLA!H20</f>
        <v>0</v>
      </c>
      <c r="H21" s="56">
        <f>PLANTILLA!I20</f>
        <v>0</v>
      </c>
      <c r="I21" s="140">
        <f>PLANTILLA!X20</f>
        <v>0</v>
      </c>
      <c r="J21" s="140">
        <f>PLANTILLA!Y20</f>
        <v>0</v>
      </c>
      <c r="K21" s="140">
        <f>PLANTILLA!Z20</f>
        <v>0</v>
      </c>
      <c r="L21" s="140">
        <f>PLANTILLA!AA20</f>
        <v>0</v>
      </c>
      <c r="M21" s="140">
        <f>PLANTILLA!AB20</f>
        <v>0</v>
      </c>
      <c r="N21" s="140">
        <f>PLANTILLA!AC20</f>
        <v>0</v>
      </c>
      <c r="O21" s="140">
        <f>PLANTILLA!AD20</f>
        <v>0</v>
      </c>
      <c r="P21" s="69">
        <f t="shared" si="17"/>
        <v>0</v>
      </c>
      <c r="Q21" s="119">
        <f t="shared" si="18"/>
        <v>7</v>
      </c>
      <c r="R21" s="77">
        <f t="shared" si="19"/>
        <v>0</v>
      </c>
      <c r="S21" s="155">
        <f t="shared" si="20"/>
        <v>0</v>
      </c>
      <c r="T21" s="155">
        <f t="shared" si="21"/>
        <v>0</v>
      </c>
      <c r="U21" s="155">
        <f t="shared" si="22"/>
        <v>0</v>
      </c>
      <c r="V21" s="155">
        <f t="shared" si="23"/>
        <v>0</v>
      </c>
      <c r="W21" s="155">
        <f t="shared" si="24"/>
        <v>0</v>
      </c>
      <c r="X21" s="155">
        <f t="shared" si="25"/>
        <v>0</v>
      </c>
      <c r="Y21" s="155">
        <f t="shared" si="26"/>
        <v>0</v>
      </c>
      <c r="Z21" s="124">
        <f t="shared" si="27"/>
        <v>0</v>
      </c>
      <c r="AA21" s="124">
        <f t="shared" si="28"/>
        <v>0</v>
      </c>
      <c r="AB21" s="124">
        <f t="shared" si="29"/>
        <v>0</v>
      </c>
      <c r="AC21" s="124">
        <f t="shared" si="30"/>
        <v>0</v>
      </c>
      <c r="AD21" s="124">
        <f t="shared" si="31"/>
        <v>0</v>
      </c>
      <c r="AE21" s="124">
        <f t="shared" si="32"/>
        <v>0</v>
      </c>
      <c r="AF21" s="124">
        <f t="shared" si="33"/>
        <v>0</v>
      </c>
      <c r="AH21" s="126" t="s">
        <v>388</v>
      </c>
      <c r="AI21" s="4"/>
      <c r="AJ21" s="127">
        <v>0</v>
      </c>
      <c r="AK21" s="127">
        <v>0</v>
      </c>
      <c r="AL21" s="127">
        <v>0</v>
      </c>
      <c r="AM21" s="128">
        <v>0</v>
      </c>
      <c r="AN21" s="128">
        <v>0</v>
      </c>
      <c r="AO21" s="128">
        <f>AC8*0.588</f>
        <v>0</v>
      </c>
      <c r="AP21" s="128">
        <v>0</v>
      </c>
      <c r="AQ21" s="130">
        <f>AQ5</f>
        <v>0</v>
      </c>
      <c r="AR21" s="130">
        <f>AR5</f>
        <v>0</v>
      </c>
      <c r="AS21" s="130">
        <f>AS5</f>
        <v>2.03125</v>
      </c>
      <c r="AT21" s="130">
        <f>AT5</f>
        <v>0</v>
      </c>
    </row>
    <row r="22" spans="1:46" s="65" customFormat="1" x14ac:dyDescent="0.25">
      <c r="A22" s="4">
        <f>PLANTILLA!A21</f>
        <v>0</v>
      </c>
      <c r="B22" s="4">
        <f>PLANTILLA!B21</f>
        <v>0</v>
      </c>
      <c r="C22" s="75">
        <f>PLANTILLA!D21</f>
        <v>0</v>
      </c>
      <c r="D22" s="54">
        <f>PLANTILLA!E21</f>
        <v>0</v>
      </c>
      <c r="E22" s="55">
        <f>PLANTILLA!F21</f>
        <v>0</v>
      </c>
      <c r="F22" s="70"/>
      <c r="G22" s="238">
        <f>PLANTILLA!H21</f>
        <v>0</v>
      </c>
      <c r="H22" s="56">
        <f>PLANTILLA!I21</f>
        <v>0</v>
      </c>
      <c r="I22" s="140">
        <f>PLANTILLA!X21</f>
        <v>0</v>
      </c>
      <c r="J22" s="140">
        <f>PLANTILLA!Y21</f>
        <v>0</v>
      </c>
      <c r="K22" s="140">
        <f>PLANTILLA!Z21</f>
        <v>0</v>
      </c>
      <c r="L22" s="140">
        <f>PLANTILLA!AA21</f>
        <v>0</v>
      </c>
      <c r="M22" s="140">
        <f>PLANTILLA!AB21</f>
        <v>0</v>
      </c>
      <c r="N22" s="140">
        <f>PLANTILLA!AC21</f>
        <v>0</v>
      </c>
      <c r="O22" s="140">
        <f>PLANTILLA!AD21</f>
        <v>0</v>
      </c>
      <c r="P22" s="69">
        <f t="shared" si="17"/>
        <v>0</v>
      </c>
      <c r="Q22" s="119">
        <f t="shared" si="18"/>
        <v>7</v>
      </c>
      <c r="R22" s="77">
        <f t="shared" si="19"/>
        <v>0</v>
      </c>
      <c r="S22" s="155">
        <f t="shared" si="20"/>
        <v>0</v>
      </c>
      <c r="T22" s="155">
        <f t="shared" si="21"/>
        <v>0</v>
      </c>
      <c r="U22" s="155">
        <f t="shared" si="22"/>
        <v>0</v>
      </c>
      <c r="V22" s="155">
        <f t="shared" si="23"/>
        <v>0</v>
      </c>
      <c r="W22" s="155">
        <f t="shared" si="24"/>
        <v>0</v>
      </c>
      <c r="X22" s="155">
        <f t="shared" si="25"/>
        <v>0</v>
      </c>
      <c r="Y22" s="155">
        <f t="shared" si="26"/>
        <v>0</v>
      </c>
      <c r="Z22" s="124">
        <f t="shared" si="27"/>
        <v>0</v>
      </c>
      <c r="AA22" s="124">
        <f t="shared" si="28"/>
        <v>0</v>
      </c>
      <c r="AB22" s="124">
        <f t="shared" si="29"/>
        <v>0</v>
      </c>
      <c r="AC22" s="124">
        <f t="shared" si="30"/>
        <v>0</v>
      </c>
      <c r="AD22" s="124">
        <f t="shared" si="31"/>
        <v>0</v>
      </c>
      <c r="AE22" s="124">
        <f t="shared" si="32"/>
        <v>0</v>
      </c>
      <c r="AF22" s="124">
        <f t="shared" si="33"/>
        <v>0</v>
      </c>
      <c r="AH22" s="126" t="s">
        <v>388</v>
      </c>
      <c r="AI22" s="84"/>
      <c r="AJ22" s="127">
        <v>0</v>
      </c>
      <c r="AK22" s="127">
        <v>0</v>
      </c>
      <c r="AL22" s="127">
        <v>0</v>
      </c>
      <c r="AM22" s="127">
        <v>0</v>
      </c>
      <c r="AN22" s="127" t="e">
        <f t="shared" ref="AN22:AT28" si="35">AN8</f>
        <v>#REF!</v>
      </c>
      <c r="AO22" s="127">
        <f t="shared" si="35"/>
        <v>0</v>
      </c>
      <c r="AP22" s="127" t="e">
        <f t="shared" si="35"/>
        <v>#REF!</v>
      </c>
      <c r="AQ22" s="129" t="e">
        <f t="shared" si="35"/>
        <v>#REF!</v>
      </c>
      <c r="AR22" s="129" t="e">
        <f t="shared" si="35"/>
        <v>#REF!</v>
      </c>
      <c r="AS22" s="129">
        <f t="shared" si="35"/>
        <v>0</v>
      </c>
      <c r="AT22" s="129">
        <f t="shared" si="35"/>
        <v>0</v>
      </c>
    </row>
    <row r="23" spans="1:46" s="1" customFormat="1" x14ac:dyDescent="0.25">
      <c r="A23" s="4">
        <f>PLANTILLA!A22</f>
        <v>0</v>
      </c>
      <c r="B23" s="4">
        <f>PLANTILLA!B22</f>
        <v>0</v>
      </c>
      <c r="C23" s="75">
        <f>PLANTILLA!D22</f>
        <v>0</v>
      </c>
      <c r="D23" s="54">
        <f>PLANTILLA!E22</f>
        <v>0</v>
      </c>
      <c r="E23" s="55">
        <f>PLANTILLA!F22</f>
        <v>0</v>
      </c>
      <c r="F23" s="70">
        <f>PLANTILLA!G22</f>
        <v>0</v>
      </c>
      <c r="G23" s="238">
        <f>PLANTILLA!H22</f>
        <v>0</v>
      </c>
      <c r="H23" s="56">
        <f>PLANTILLA!I22</f>
        <v>0</v>
      </c>
      <c r="I23" s="140">
        <f>PLANTILLA!X22</f>
        <v>0</v>
      </c>
      <c r="J23" s="140">
        <f>PLANTILLA!Y22</f>
        <v>0</v>
      </c>
      <c r="K23" s="140">
        <f>PLANTILLA!Z22</f>
        <v>0</v>
      </c>
      <c r="L23" s="140">
        <f>PLANTILLA!AA22</f>
        <v>0</v>
      </c>
      <c r="M23" s="140">
        <f>PLANTILLA!AB22</f>
        <v>0</v>
      </c>
      <c r="N23" s="140">
        <f>PLANTILLA!AC22</f>
        <v>0</v>
      </c>
      <c r="O23" s="140">
        <f>PLANTILLA!AD22</f>
        <v>0</v>
      </c>
      <c r="P23" s="69">
        <f t="shared" si="17"/>
        <v>0</v>
      </c>
      <c r="Q23" s="119">
        <f t="shared" si="18"/>
        <v>7</v>
      </c>
      <c r="R23" s="77">
        <f t="shared" si="19"/>
        <v>0</v>
      </c>
      <c r="S23" s="155">
        <f t="shared" si="20"/>
        <v>0</v>
      </c>
      <c r="T23" s="155">
        <f t="shared" si="21"/>
        <v>0</v>
      </c>
      <c r="U23" s="155">
        <f t="shared" si="22"/>
        <v>0</v>
      </c>
      <c r="V23" s="155">
        <f t="shared" si="23"/>
        <v>0</v>
      </c>
      <c r="W23" s="155">
        <f t="shared" si="24"/>
        <v>0</v>
      </c>
      <c r="X23" s="155">
        <f t="shared" si="25"/>
        <v>0</v>
      </c>
      <c r="Y23" s="155">
        <f t="shared" si="26"/>
        <v>0</v>
      </c>
      <c r="Z23" s="124">
        <f t="shared" si="27"/>
        <v>0</v>
      </c>
      <c r="AA23" s="124">
        <f t="shared" si="28"/>
        <v>0</v>
      </c>
      <c r="AB23" s="124">
        <f t="shared" si="29"/>
        <v>0</v>
      </c>
      <c r="AC23" s="124">
        <f t="shared" si="30"/>
        <v>0</v>
      </c>
      <c r="AD23" s="124">
        <f t="shared" si="31"/>
        <v>0</v>
      </c>
      <c r="AE23" s="124">
        <f t="shared" si="32"/>
        <v>0</v>
      </c>
      <c r="AF23" s="124">
        <f t="shared" si="33"/>
        <v>0</v>
      </c>
      <c r="AH23" s="125" t="s">
        <v>168</v>
      </c>
      <c r="AI23" s="4"/>
      <c r="AJ23" s="127">
        <v>0</v>
      </c>
      <c r="AK23" s="127">
        <v>0</v>
      </c>
      <c r="AL23" s="127">
        <v>0</v>
      </c>
      <c r="AM23" s="128">
        <v>0</v>
      </c>
      <c r="AN23" s="128">
        <f t="shared" si="35"/>
        <v>0</v>
      </c>
      <c r="AO23" s="128">
        <f t="shared" si="35"/>
        <v>0</v>
      </c>
      <c r="AP23" s="128">
        <f t="shared" si="35"/>
        <v>0</v>
      </c>
      <c r="AQ23" s="130">
        <f t="shared" si="35"/>
        <v>0</v>
      </c>
      <c r="AR23" s="130">
        <f t="shared" si="35"/>
        <v>0</v>
      </c>
      <c r="AS23" s="130">
        <f t="shared" si="35"/>
        <v>0</v>
      </c>
      <c r="AT23" s="130">
        <f t="shared" si="35"/>
        <v>0</v>
      </c>
    </row>
    <row r="24" spans="1:46" s="1" customFormat="1" x14ac:dyDescent="0.25">
      <c r="A24" s="4">
        <f>PLANTILLA!A23</f>
        <v>0</v>
      </c>
      <c r="B24" s="4">
        <f>PLANTILLA!B23</f>
        <v>0</v>
      </c>
      <c r="C24" s="75">
        <f>PLANTILLA!D23</f>
        <v>0</v>
      </c>
      <c r="D24" s="54">
        <f>PLANTILLA!E23</f>
        <v>0</v>
      </c>
      <c r="E24" s="55">
        <f>PLANTILLA!F23</f>
        <v>0</v>
      </c>
      <c r="F24" s="70"/>
      <c r="G24" s="238">
        <f>PLANTILLA!H23</f>
        <v>0</v>
      </c>
      <c r="H24" s="56">
        <f>PLANTILLA!I23</f>
        <v>0</v>
      </c>
      <c r="I24" s="140">
        <f>PLANTILLA!X23</f>
        <v>0</v>
      </c>
      <c r="J24" s="140">
        <f>PLANTILLA!Y23</f>
        <v>0</v>
      </c>
      <c r="K24" s="140">
        <f>PLANTILLA!Z23</f>
        <v>0</v>
      </c>
      <c r="L24" s="140">
        <f>PLANTILLA!AA23</f>
        <v>0</v>
      </c>
      <c r="M24" s="140">
        <f>PLANTILLA!AB23</f>
        <v>0</v>
      </c>
      <c r="N24" s="140">
        <f>PLANTILLA!AC23</f>
        <v>0</v>
      </c>
      <c r="O24" s="140">
        <f>PLANTILLA!AD23</f>
        <v>0</v>
      </c>
      <c r="P24" s="69">
        <f t="shared" si="17"/>
        <v>0</v>
      </c>
      <c r="Q24" s="119">
        <f t="shared" si="18"/>
        <v>7</v>
      </c>
      <c r="R24" s="77">
        <f t="shared" si="19"/>
        <v>0</v>
      </c>
      <c r="S24" s="155">
        <f t="shared" si="20"/>
        <v>0</v>
      </c>
      <c r="T24" s="155">
        <f t="shared" si="21"/>
        <v>0</v>
      </c>
      <c r="U24" s="155">
        <f t="shared" si="22"/>
        <v>0</v>
      </c>
      <c r="V24" s="155">
        <f t="shared" si="23"/>
        <v>0</v>
      </c>
      <c r="W24" s="155">
        <f t="shared" si="24"/>
        <v>0</v>
      </c>
      <c r="X24" s="155">
        <f t="shared" si="25"/>
        <v>0</v>
      </c>
      <c r="Y24" s="155">
        <f t="shared" si="26"/>
        <v>0</v>
      </c>
      <c r="Z24" s="124">
        <f t="shared" si="27"/>
        <v>0</v>
      </c>
      <c r="AA24" s="124">
        <f t="shared" si="28"/>
        <v>0</v>
      </c>
      <c r="AB24" s="124">
        <f t="shared" si="29"/>
        <v>0</v>
      </c>
      <c r="AC24" s="124">
        <f t="shared" si="30"/>
        <v>0</v>
      </c>
      <c r="AD24" s="124">
        <f t="shared" si="31"/>
        <v>0</v>
      </c>
      <c r="AE24" s="124">
        <f t="shared" si="32"/>
        <v>0</v>
      </c>
      <c r="AF24" s="124">
        <f t="shared" si="33"/>
        <v>0</v>
      </c>
      <c r="AH24" s="126" t="s">
        <v>122</v>
      </c>
      <c r="AI24" s="4" t="str">
        <f t="shared" ref="AI24:AM28" si="36">AI9</f>
        <v>S. Kariuki</v>
      </c>
      <c r="AJ24" s="128">
        <f t="shared" si="36"/>
        <v>0</v>
      </c>
      <c r="AK24" s="128">
        <f t="shared" si="36"/>
        <v>0</v>
      </c>
      <c r="AL24" s="128">
        <f t="shared" si="36"/>
        <v>0</v>
      </c>
      <c r="AM24" s="128">
        <f t="shared" si="36"/>
        <v>0</v>
      </c>
      <c r="AN24" s="128">
        <f t="shared" si="35"/>
        <v>0</v>
      </c>
      <c r="AO24" s="128">
        <f t="shared" si="35"/>
        <v>0</v>
      </c>
      <c r="AP24" s="128">
        <f t="shared" si="35"/>
        <v>0</v>
      </c>
      <c r="AQ24" s="130">
        <f t="shared" si="35"/>
        <v>0</v>
      </c>
      <c r="AR24" s="130">
        <f t="shared" si="35"/>
        <v>0</v>
      </c>
      <c r="AS24" s="130">
        <f t="shared" si="35"/>
        <v>0</v>
      </c>
      <c r="AT24" s="130">
        <f t="shared" si="35"/>
        <v>0</v>
      </c>
    </row>
    <row r="25" spans="1:46" x14ac:dyDescent="0.25">
      <c r="A25" s="4">
        <f>PLANTILLA!A24</f>
        <v>0</v>
      </c>
      <c r="B25" s="4">
        <f>PLANTILLA!B24</f>
        <v>0</v>
      </c>
      <c r="C25" s="75">
        <f>PLANTILLA!D24</f>
        <v>0</v>
      </c>
      <c r="D25" s="54">
        <f>PLANTILLA!E24</f>
        <v>0</v>
      </c>
      <c r="E25" s="55">
        <f>PLANTILLA!F24</f>
        <v>0</v>
      </c>
      <c r="F25" s="70">
        <f>PLANTILLA!G24</f>
        <v>0</v>
      </c>
      <c r="G25" s="238">
        <f>PLANTILLA!H24</f>
        <v>0</v>
      </c>
      <c r="H25" s="56">
        <f>PLANTILLA!I24</f>
        <v>0</v>
      </c>
      <c r="I25" s="140">
        <f>PLANTILLA!X24</f>
        <v>0</v>
      </c>
      <c r="J25" s="140">
        <f>PLANTILLA!Y24</f>
        <v>0</v>
      </c>
      <c r="K25" s="140">
        <f>PLANTILLA!Z24</f>
        <v>0</v>
      </c>
      <c r="L25" s="140">
        <f>PLANTILLA!AA24</f>
        <v>0</v>
      </c>
      <c r="M25" s="140">
        <f>PLANTILLA!AB24</f>
        <v>0</v>
      </c>
      <c r="N25" s="140">
        <f>PLANTILLA!AC24</f>
        <v>0</v>
      </c>
      <c r="O25" s="140">
        <f>PLANTILLA!AD24</f>
        <v>0</v>
      </c>
      <c r="P25" s="69">
        <f t="shared" si="17"/>
        <v>0</v>
      </c>
      <c r="Q25" s="119">
        <f t="shared" si="18"/>
        <v>7</v>
      </c>
      <c r="R25" s="77">
        <f t="shared" si="19"/>
        <v>0</v>
      </c>
      <c r="S25" s="155">
        <f t="shared" si="20"/>
        <v>0</v>
      </c>
      <c r="T25" s="155">
        <f t="shared" si="21"/>
        <v>0</v>
      </c>
      <c r="U25" s="155">
        <f t="shared" si="22"/>
        <v>0</v>
      </c>
      <c r="V25" s="155">
        <f t="shared" si="23"/>
        <v>0</v>
      </c>
      <c r="W25" s="155">
        <f t="shared" si="24"/>
        <v>0</v>
      </c>
      <c r="X25" s="155">
        <f t="shared" si="25"/>
        <v>0</v>
      </c>
      <c r="Y25" s="155">
        <f t="shared" si="26"/>
        <v>0</v>
      </c>
      <c r="Z25" s="124">
        <f t="shared" si="27"/>
        <v>0</v>
      </c>
      <c r="AA25" s="124">
        <f t="shared" si="28"/>
        <v>0</v>
      </c>
      <c r="AB25" s="124">
        <f t="shared" si="29"/>
        <v>0</v>
      </c>
      <c r="AC25" s="124">
        <f t="shared" si="30"/>
        <v>0</v>
      </c>
      <c r="AD25" s="124">
        <f t="shared" si="31"/>
        <v>0</v>
      </c>
      <c r="AE25" s="124">
        <f t="shared" si="32"/>
        <v>0</v>
      </c>
      <c r="AF25" s="124">
        <f t="shared" si="33"/>
        <v>0</v>
      </c>
      <c r="AH25" s="126" t="s">
        <v>389</v>
      </c>
      <c r="AI25" s="4" t="str">
        <f t="shared" si="36"/>
        <v>I. Stone</v>
      </c>
      <c r="AJ25" s="128">
        <f t="shared" si="36"/>
        <v>0</v>
      </c>
      <c r="AK25" s="128">
        <f t="shared" si="36"/>
        <v>0</v>
      </c>
      <c r="AL25" s="128">
        <f t="shared" si="36"/>
        <v>0</v>
      </c>
      <c r="AM25" s="128">
        <f t="shared" si="36"/>
        <v>0</v>
      </c>
      <c r="AN25" s="128">
        <f t="shared" si="35"/>
        <v>0</v>
      </c>
      <c r="AO25" s="128">
        <f t="shared" si="35"/>
        <v>0</v>
      </c>
      <c r="AP25" s="128">
        <f t="shared" si="35"/>
        <v>0</v>
      </c>
      <c r="AQ25" s="130">
        <f t="shared" si="35"/>
        <v>0</v>
      </c>
      <c r="AR25" s="130">
        <f t="shared" si="35"/>
        <v>0</v>
      </c>
      <c r="AS25" s="130">
        <f t="shared" si="35"/>
        <v>0</v>
      </c>
      <c r="AT25" s="130">
        <f t="shared" si="35"/>
        <v>0</v>
      </c>
    </row>
    <row r="26" spans="1:46" s="1" customFormat="1" ht="14.25" customHeight="1" x14ac:dyDescent="0.25">
      <c r="A26" s="4">
        <f>PLANTILLA!A25</f>
        <v>0</v>
      </c>
      <c r="B26" s="4">
        <f>PLANTILLA!B25</f>
        <v>0</v>
      </c>
      <c r="C26" s="75">
        <f>PLANTILLA!D25</f>
        <v>0</v>
      </c>
      <c r="D26" s="54">
        <f>PLANTILLA!E25</f>
        <v>0</v>
      </c>
      <c r="E26" s="55">
        <f>PLANTILLA!F25</f>
        <v>0</v>
      </c>
      <c r="F26" s="70"/>
      <c r="G26" s="238">
        <f>PLANTILLA!H25</f>
        <v>0</v>
      </c>
      <c r="H26" s="56">
        <f>PLANTILLA!I25</f>
        <v>0</v>
      </c>
      <c r="I26" s="140">
        <f>PLANTILLA!X25</f>
        <v>0</v>
      </c>
      <c r="J26" s="140">
        <f>PLANTILLA!Y25</f>
        <v>0</v>
      </c>
      <c r="K26" s="140">
        <f>PLANTILLA!Z25</f>
        <v>0</v>
      </c>
      <c r="L26" s="140">
        <f>PLANTILLA!AA25</f>
        <v>0</v>
      </c>
      <c r="M26" s="140">
        <f>PLANTILLA!AB25</f>
        <v>0</v>
      </c>
      <c r="N26" s="140">
        <f>PLANTILLA!AC25</f>
        <v>0</v>
      </c>
      <c r="O26" s="140">
        <f>PLANTILLA!AD25</f>
        <v>0</v>
      </c>
      <c r="P26" s="69">
        <f t="shared" si="17"/>
        <v>0</v>
      </c>
      <c r="Q26" s="119">
        <f t="shared" si="18"/>
        <v>7</v>
      </c>
      <c r="R26" s="77">
        <f t="shared" si="19"/>
        <v>0</v>
      </c>
      <c r="S26" s="155">
        <f t="shared" si="20"/>
        <v>0</v>
      </c>
      <c r="T26" s="155">
        <f t="shared" si="21"/>
        <v>0</v>
      </c>
      <c r="U26" s="155">
        <f t="shared" si="22"/>
        <v>0</v>
      </c>
      <c r="V26" s="155">
        <f t="shared" si="23"/>
        <v>0</v>
      </c>
      <c r="W26" s="155">
        <f t="shared" si="24"/>
        <v>0</v>
      </c>
      <c r="X26" s="155">
        <f t="shared" si="25"/>
        <v>0</v>
      </c>
      <c r="Y26" s="155">
        <f t="shared" si="26"/>
        <v>0</v>
      </c>
      <c r="Z26" s="124">
        <f t="shared" si="27"/>
        <v>0</v>
      </c>
      <c r="AA26" s="124">
        <f t="shared" si="28"/>
        <v>0</v>
      </c>
      <c r="AB26" s="124">
        <f t="shared" si="29"/>
        <v>0</v>
      </c>
      <c r="AC26" s="124">
        <f t="shared" si="30"/>
        <v>0</v>
      </c>
      <c r="AD26" s="124">
        <f t="shared" si="31"/>
        <v>0</v>
      </c>
      <c r="AE26" s="124">
        <f t="shared" si="32"/>
        <v>0</v>
      </c>
      <c r="AF26" s="124">
        <f t="shared" si="33"/>
        <v>0</v>
      </c>
      <c r="AH26" s="126" t="s">
        <v>122</v>
      </c>
      <c r="AI26" s="4" t="str">
        <f t="shared" si="36"/>
        <v>R. Forsyth</v>
      </c>
      <c r="AJ26" s="128">
        <f t="shared" si="36"/>
        <v>0</v>
      </c>
      <c r="AK26" s="128">
        <f t="shared" si="36"/>
        <v>0</v>
      </c>
      <c r="AL26" s="128">
        <f t="shared" si="36"/>
        <v>0</v>
      </c>
      <c r="AM26" s="128">
        <f t="shared" si="36"/>
        <v>0</v>
      </c>
      <c r="AN26" s="128">
        <f t="shared" si="35"/>
        <v>0</v>
      </c>
      <c r="AO26" s="128">
        <f t="shared" si="35"/>
        <v>0</v>
      </c>
      <c r="AP26" s="128">
        <f t="shared" si="35"/>
        <v>0</v>
      </c>
      <c r="AQ26" s="130">
        <f t="shared" si="35"/>
        <v>0</v>
      </c>
      <c r="AR26" s="130">
        <f t="shared" si="35"/>
        <v>0</v>
      </c>
      <c r="AS26" s="130">
        <f t="shared" si="35"/>
        <v>0</v>
      </c>
      <c r="AT26" s="130">
        <f t="shared" si="35"/>
        <v>0</v>
      </c>
    </row>
    <row r="27" spans="1:46" x14ac:dyDescent="0.25">
      <c r="A27" s="4">
        <f>PLANTILLA!A26</f>
        <v>0</v>
      </c>
      <c r="B27" s="4">
        <f>PLANTILLA!B26</f>
        <v>0</v>
      </c>
      <c r="C27" s="75">
        <f>PLANTILLA!D26</f>
        <v>0</v>
      </c>
      <c r="D27" s="54">
        <f>PLANTILLA!E26</f>
        <v>0</v>
      </c>
      <c r="E27" s="55">
        <f>PLANTILLA!F26</f>
        <v>0</v>
      </c>
      <c r="F27" s="70">
        <f>PLANTILLA!G26</f>
        <v>0</v>
      </c>
      <c r="G27" s="238">
        <f>PLANTILLA!H26</f>
        <v>0</v>
      </c>
      <c r="H27" s="56">
        <f>PLANTILLA!I26</f>
        <v>0</v>
      </c>
      <c r="I27" s="140">
        <f>PLANTILLA!X26</f>
        <v>0</v>
      </c>
      <c r="J27" s="140">
        <f>PLANTILLA!Y26</f>
        <v>0</v>
      </c>
      <c r="K27" s="140">
        <f>PLANTILLA!Z26</f>
        <v>0</v>
      </c>
      <c r="L27" s="140">
        <f>PLANTILLA!AA26</f>
        <v>0</v>
      </c>
      <c r="M27" s="140">
        <f>PLANTILLA!AB26</f>
        <v>0</v>
      </c>
      <c r="N27" s="140">
        <f>PLANTILLA!AC26</f>
        <v>0</v>
      </c>
      <c r="O27" s="140">
        <f>PLANTILLA!AD26</f>
        <v>0</v>
      </c>
      <c r="P27" s="69">
        <f t="shared" si="17"/>
        <v>0</v>
      </c>
      <c r="Q27" s="119">
        <f t="shared" si="18"/>
        <v>7</v>
      </c>
      <c r="R27" s="77">
        <f t="shared" si="19"/>
        <v>0</v>
      </c>
      <c r="S27" s="155">
        <f t="shared" si="20"/>
        <v>0</v>
      </c>
      <c r="T27" s="155">
        <f t="shared" si="21"/>
        <v>0</v>
      </c>
      <c r="U27" s="155">
        <f t="shared" si="22"/>
        <v>0</v>
      </c>
      <c r="V27" s="155">
        <f t="shared" si="23"/>
        <v>0</v>
      </c>
      <c r="W27" s="155">
        <f t="shared" si="24"/>
        <v>0</v>
      </c>
      <c r="X27" s="155">
        <f t="shared" si="25"/>
        <v>0</v>
      </c>
      <c r="Y27" s="155">
        <f t="shared" si="26"/>
        <v>0</v>
      </c>
      <c r="Z27" s="124">
        <f t="shared" si="27"/>
        <v>0</v>
      </c>
      <c r="AA27" s="124">
        <f t="shared" si="28"/>
        <v>0</v>
      </c>
      <c r="AB27" s="124">
        <f t="shared" si="29"/>
        <v>0</v>
      </c>
      <c r="AC27" s="124">
        <f t="shared" si="30"/>
        <v>0</v>
      </c>
      <c r="AD27" s="124">
        <f t="shared" si="31"/>
        <v>0</v>
      </c>
      <c r="AE27" s="124">
        <f t="shared" si="32"/>
        <v>0</v>
      </c>
      <c r="AF27" s="124">
        <f t="shared" si="33"/>
        <v>0</v>
      </c>
      <c r="AH27" s="126" t="s">
        <v>390</v>
      </c>
      <c r="AI27" s="4" t="str">
        <f t="shared" si="36"/>
        <v>Dusty Ware</v>
      </c>
      <c r="AJ27" s="128">
        <f t="shared" si="36"/>
        <v>0</v>
      </c>
      <c r="AK27" s="128">
        <f t="shared" si="36"/>
        <v>0</v>
      </c>
      <c r="AL27" s="128">
        <f t="shared" si="36"/>
        <v>0</v>
      </c>
      <c r="AM27" s="128">
        <f t="shared" si="36"/>
        <v>0</v>
      </c>
      <c r="AN27" s="127">
        <f t="shared" si="35"/>
        <v>0</v>
      </c>
      <c r="AO27" s="127">
        <f t="shared" si="35"/>
        <v>0</v>
      </c>
      <c r="AP27" s="127">
        <f t="shared" si="35"/>
        <v>0</v>
      </c>
      <c r="AQ27" s="177">
        <f t="shared" si="35"/>
        <v>0</v>
      </c>
      <c r="AR27" s="177">
        <f t="shared" si="35"/>
        <v>0</v>
      </c>
      <c r="AS27" s="129">
        <f t="shared" si="35"/>
        <v>0</v>
      </c>
      <c r="AT27" s="129">
        <f t="shared" si="35"/>
        <v>0</v>
      </c>
    </row>
    <row r="28" spans="1:46" x14ac:dyDescent="0.25">
      <c r="A28" s="4"/>
      <c r="B28" s="4"/>
      <c r="C28" s="75"/>
      <c r="D28" s="54"/>
      <c r="E28" s="55"/>
      <c r="F28" s="70"/>
      <c r="G28" s="238"/>
      <c r="H28" s="56"/>
      <c r="I28" s="140"/>
      <c r="J28" s="140"/>
      <c r="K28" s="140"/>
      <c r="L28" s="140"/>
      <c r="M28" s="140"/>
      <c r="N28" s="140"/>
      <c r="O28" s="140"/>
      <c r="P28" s="69"/>
      <c r="Q28" s="119"/>
      <c r="R28" s="77"/>
      <c r="S28" s="155"/>
      <c r="T28" s="155"/>
      <c r="U28" s="155"/>
      <c r="V28" s="155"/>
      <c r="W28" s="155"/>
      <c r="X28" s="155"/>
      <c r="Y28" s="155"/>
      <c r="Z28" s="124"/>
      <c r="AA28" s="124"/>
      <c r="AB28" s="124"/>
      <c r="AC28" s="124"/>
      <c r="AD28" s="124"/>
      <c r="AE28" s="124"/>
      <c r="AF28" s="124"/>
      <c r="AH28" s="126" t="s">
        <v>390</v>
      </c>
      <c r="AI28" s="4" t="str">
        <f t="shared" si="36"/>
        <v>K. Polyukhov</v>
      </c>
      <c r="AJ28" s="128">
        <f t="shared" si="36"/>
        <v>0</v>
      </c>
      <c r="AK28" s="128">
        <f t="shared" si="36"/>
        <v>0</v>
      </c>
      <c r="AL28" s="128">
        <f t="shared" si="36"/>
        <v>0</v>
      </c>
      <c r="AM28" s="128">
        <f t="shared" si="36"/>
        <v>0</v>
      </c>
      <c r="AN28" s="128">
        <f t="shared" si="35"/>
        <v>0</v>
      </c>
      <c r="AO28" s="128">
        <f t="shared" si="35"/>
        <v>0</v>
      </c>
      <c r="AP28" s="128">
        <f t="shared" si="35"/>
        <v>0</v>
      </c>
      <c r="AQ28" s="129">
        <f t="shared" si="35"/>
        <v>0</v>
      </c>
      <c r="AR28" s="129">
        <f t="shared" si="35"/>
        <v>0</v>
      </c>
      <c r="AS28" s="129">
        <f t="shared" si="35"/>
        <v>0</v>
      </c>
      <c r="AT28" s="129">
        <f t="shared" si="35"/>
        <v>0</v>
      </c>
    </row>
    <row r="29" spans="1:46" x14ac:dyDescent="0.25">
      <c r="A29" s="4"/>
      <c r="B29" s="4"/>
      <c r="C29" s="75"/>
      <c r="D29" s="54"/>
      <c r="E29" s="55"/>
      <c r="F29" s="70"/>
      <c r="G29" s="238"/>
      <c r="H29" s="56"/>
      <c r="I29" s="140"/>
      <c r="J29" s="140"/>
      <c r="K29" s="140"/>
      <c r="L29" s="140"/>
      <c r="M29" s="140"/>
      <c r="N29" s="140"/>
      <c r="O29" s="140"/>
      <c r="P29" s="69"/>
      <c r="Q29" s="119"/>
      <c r="R29" s="77"/>
      <c r="S29" s="155"/>
      <c r="T29" s="155"/>
      <c r="U29" s="155"/>
      <c r="V29" s="155"/>
      <c r="W29" s="155"/>
      <c r="X29" s="155"/>
      <c r="Y29" s="155"/>
      <c r="Z29" s="124"/>
      <c r="AA29" s="124"/>
      <c r="AB29" s="124"/>
      <c r="AC29" s="124"/>
      <c r="AD29" s="124"/>
      <c r="AE29" s="124"/>
      <c r="AF29" s="124"/>
      <c r="AH29" s="2"/>
    </row>
    <row r="30" spans="1:46" x14ac:dyDescent="0.25">
      <c r="S30" s="48"/>
      <c r="T30" s="48"/>
      <c r="U30" s="48"/>
      <c r="V30" s="48"/>
      <c r="W30" s="48"/>
      <c r="X30" s="48"/>
      <c r="Y30" s="48"/>
    </row>
    <row r="31" spans="1:46" x14ac:dyDescent="0.25">
      <c r="S31" s="48"/>
      <c r="T31" s="48"/>
      <c r="U31" s="48"/>
      <c r="V31" s="48"/>
      <c r="W31" s="48"/>
      <c r="X31" s="48"/>
      <c r="Y31" s="48"/>
    </row>
    <row r="32" spans="1:46" x14ac:dyDescent="0.25">
      <c r="S32" s="48"/>
      <c r="T32" s="48"/>
      <c r="U32" s="48"/>
      <c r="V32" s="48"/>
      <c r="W32" s="48"/>
      <c r="X32" s="48"/>
      <c r="Y32" s="48"/>
    </row>
    <row r="33" spans="19:25" x14ac:dyDescent="0.25">
      <c r="S33" s="48"/>
      <c r="T33" s="48"/>
      <c r="U33" s="48"/>
      <c r="V33" s="48"/>
      <c r="W33" s="48"/>
      <c r="X33" s="48"/>
      <c r="Y33" s="48"/>
    </row>
  </sheetData>
  <mergeCells count="4">
    <mergeCell ref="AH1:AT1"/>
    <mergeCell ref="D2:F2"/>
    <mergeCell ref="AH3:AI3"/>
    <mergeCell ref="AH17:AI17"/>
  </mergeCells>
  <conditionalFormatting sqref="AJ18:AL23">
    <cfRule type="cellIs" dxfId="18" priority="1" operator="greaterThan">
      <formula>0</formula>
    </cfRule>
  </conditionalFormatting>
  <conditionalFormatting sqref="S4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J24:AP24 AJ25:AM28">
    <cfRule type="cellIs" dxfId="7" priority="13" operator="greaterThan">
      <formula>0</formula>
    </cfRule>
  </conditionalFormatting>
  <conditionalFormatting sqref="AJ4:AP13 AJ14:AL14">
    <cfRule type="cellIs" dxfId="6" priority="14" operator="greaterThan">
      <formula>0</formula>
    </cfRule>
  </conditionalFormatting>
  <conditionalFormatting sqref="Z4:AF29">
    <cfRule type="cellIs" dxfId="5" priority="15" operator="greaterThan">
      <formula>0</formula>
    </cfRule>
  </conditionalFormatting>
  <conditionalFormatting sqref="I4:O29">
    <cfRule type="cellIs" dxfId="4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7" customWidth="1"/>
    <col min="2" max="2" width="14.28515625" style="57" customWidth="1"/>
    <col min="3" max="10" width="8.28515625" style="57" customWidth="1"/>
    <col min="11" max="11" width="9.28515625" style="57" customWidth="1"/>
    <col min="12" max="12" width="8.28515625" style="57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39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2" t="s">
        <v>391</v>
      </c>
      <c r="C1" s="184">
        <f t="shared" ref="C1:L1" si="0">MAX(C3:C27)</f>
        <v>7.6541020779221203E-2</v>
      </c>
      <c r="D1" s="184">
        <f t="shared" si="0"/>
        <v>9.5167093706293476E-2</v>
      </c>
      <c r="E1" s="184">
        <f t="shared" si="0"/>
        <v>0.10114897692307692</v>
      </c>
      <c r="F1" s="184">
        <f t="shared" si="0"/>
        <v>5.254696863959811E-2</v>
      </c>
      <c r="G1" s="184">
        <f t="shared" si="0"/>
        <v>5.2239892473118131E-2</v>
      </c>
      <c r="H1" s="184">
        <f t="shared" si="0"/>
        <v>8.0176190476190193E-2</v>
      </c>
      <c r="I1" s="184">
        <f t="shared" si="0"/>
        <v>5.7961761904761842E-2</v>
      </c>
      <c r="J1" s="184">
        <f t="shared" si="0"/>
        <v>0</v>
      </c>
      <c r="K1" s="184">
        <f t="shared" si="0"/>
        <v>3.6222627372627401E-2</v>
      </c>
      <c r="L1" s="184">
        <f t="shared" si="0"/>
        <v>0.16964285714285698</v>
      </c>
      <c r="N1" s="57"/>
      <c r="O1" s="57"/>
      <c r="P1" s="156"/>
      <c r="Q1" s="156"/>
      <c r="R1" s="156"/>
      <c r="S1" s="156"/>
      <c r="T1" s="156"/>
      <c r="U1" s="156"/>
      <c r="V1" s="156"/>
      <c r="W1" s="156"/>
      <c r="X1" s="156"/>
      <c r="Y1" s="213"/>
      <c r="Z1" s="156"/>
      <c r="AA1" s="156"/>
      <c r="AB1" s="156"/>
      <c r="AC1" s="156"/>
      <c r="AD1" s="156"/>
      <c r="AE1" s="156"/>
      <c r="AF1" s="156"/>
      <c r="AG1" s="156"/>
    </row>
    <row r="2" spans="1:33" x14ac:dyDescent="0.25">
      <c r="A2" s="208" t="s">
        <v>392</v>
      </c>
      <c r="B2" s="209" t="s">
        <v>393</v>
      </c>
      <c r="C2" s="92" t="s">
        <v>379</v>
      </c>
      <c r="D2" s="159" t="s">
        <v>380</v>
      </c>
      <c r="E2" s="159" t="s">
        <v>381</v>
      </c>
      <c r="F2" s="159" t="s">
        <v>382</v>
      </c>
      <c r="G2" s="159" t="s">
        <v>383</v>
      </c>
      <c r="H2" s="159" t="s">
        <v>384</v>
      </c>
      <c r="I2" s="159" t="s">
        <v>385</v>
      </c>
      <c r="J2" s="159" t="s">
        <v>386</v>
      </c>
      <c r="K2" s="159" t="s">
        <v>387</v>
      </c>
      <c r="L2" s="159" t="s">
        <v>274</v>
      </c>
      <c r="N2" s="208" t="s">
        <v>392</v>
      </c>
      <c r="O2" s="209" t="s">
        <v>393</v>
      </c>
      <c r="P2" s="92" t="s">
        <v>379</v>
      </c>
      <c r="Q2" s="159" t="s">
        <v>394</v>
      </c>
      <c r="R2" s="159" t="s">
        <v>380</v>
      </c>
      <c r="S2" s="159" t="s">
        <v>394</v>
      </c>
      <c r="T2" s="159" t="s">
        <v>381</v>
      </c>
      <c r="U2" s="159" t="s">
        <v>394</v>
      </c>
      <c r="V2" s="159" t="s">
        <v>382</v>
      </c>
      <c r="W2" s="159" t="s">
        <v>394</v>
      </c>
      <c r="X2" s="159" t="s">
        <v>383</v>
      </c>
      <c r="Y2" s="159" t="s">
        <v>394</v>
      </c>
      <c r="Z2" s="159" t="s">
        <v>384</v>
      </c>
      <c r="AA2" s="159" t="s">
        <v>394</v>
      </c>
      <c r="AB2" s="159" t="s">
        <v>385</v>
      </c>
      <c r="AC2" s="159" t="s">
        <v>394</v>
      </c>
      <c r="AD2" s="181" t="s">
        <v>386</v>
      </c>
      <c r="AE2" s="181" t="s">
        <v>394</v>
      </c>
      <c r="AF2" s="181" t="s">
        <v>387</v>
      </c>
      <c r="AG2" s="181" t="s">
        <v>394</v>
      </c>
    </row>
    <row r="3" spans="1:33" x14ac:dyDescent="0.25">
      <c r="A3" s="158" t="s">
        <v>395</v>
      </c>
      <c r="B3" s="157" t="s">
        <v>396</v>
      </c>
      <c r="C3" s="167"/>
      <c r="D3" s="168"/>
      <c r="E3" s="168"/>
      <c r="F3" s="168"/>
      <c r="G3" s="168"/>
      <c r="H3" s="168"/>
      <c r="I3" s="168"/>
      <c r="J3" s="168"/>
      <c r="K3" s="168"/>
      <c r="L3" s="168"/>
      <c r="N3" s="69" t="s">
        <v>395</v>
      </c>
      <c r="O3" s="157" t="s">
        <v>396</v>
      </c>
      <c r="P3" s="170">
        <f>C3/$C$4</f>
        <v>0</v>
      </c>
      <c r="Q3" s="221" t="e">
        <f>1/C3</f>
        <v>#DIV/0!</v>
      </c>
      <c r="R3" s="170">
        <f>D3/D1</f>
        <v>0</v>
      </c>
      <c r="S3" s="221" t="e">
        <f>1/D3</f>
        <v>#DIV/0!</v>
      </c>
      <c r="T3" s="170">
        <f>E3/E1</f>
        <v>0</v>
      </c>
      <c r="U3" s="221" t="e">
        <f>1/E3</f>
        <v>#DIV/0!</v>
      </c>
      <c r="V3" s="171"/>
      <c r="W3" s="171"/>
      <c r="X3" s="171"/>
      <c r="Y3" s="214"/>
      <c r="Z3" s="171"/>
      <c r="AA3" s="171"/>
      <c r="AB3" s="171"/>
      <c r="AC3" s="171"/>
      <c r="AD3" s="171"/>
      <c r="AE3" s="171"/>
      <c r="AF3" s="171">
        <f>K3/K1</f>
        <v>0</v>
      </c>
      <c r="AG3" s="214"/>
    </row>
    <row r="4" spans="1:33" x14ac:dyDescent="0.25">
      <c r="A4" s="566" t="s">
        <v>397</v>
      </c>
      <c r="B4" s="165" t="s">
        <v>189</v>
      </c>
      <c r="C4" s="185">
        <v>5.9340247552447697E-2</v>
      </c>
      <c r="D4" s="180">
        <v>6.8999559240759498E-2</v>
      </c>
      <c r="E4" s="180">
        <v>7.5579372027972047E-2</v>
      </c>
      <c r="F4" s="180"/>
      <c r="G4" s="180"/>
      <c r="H4" s="180"/>
      <c r="I4" s="180"/>
      <c r="J4" s="180">
        <v>0</v>
      </c>
      <c r="K4" s="180">
        <v>3.6222627372627401E-2</v>
      </c>
      <c r="L4" s="180"/>
      <c r="N4" s="566" t="s">
        <v>397</v>
      </c>
      <c r="O4" s="165" t="s">
        <v>189</v>
      </c>
      <c r="P4" s="172">
        <f>C4/$C$1</f>
        <v>0.77527379369046712</v>
      </c>
      <c r="Q4" s="215">
        <f>1/C4</f>
        <v>16.851968794301929</v>
      </c>
      <c r="R4" s="173">
        <f>D4/$D$1</f>
        <v>0.72503589795131573</v>
      </c>
      <c r="S4" s="215">
        <f>1/D4</f>
        <v>14.492846200809916</v>
      </c>
      <c r="T4" s="173">
        <f>E4/$E$1</f>
        <v>0.74720846742176761</v>
      </c>
      <c r="U4" s="215">
        <f>1/E4</f>
        <v>13.231123429153373</v>
      </c>
      <c r="V4" s="173"/>
      <c r="W4" s="173"/>
      <c r="X4" s="172"/>
      <c r="Y4" s="215"/>
      <c r="Z4" s="173"/>
      <c r="AA4" s="173"/>
      <c r="AB4" s="173"/>
      <c r="AC4" s="173"/>
      <c r="AD4" s="172"/>
      <c r="AE4" s="172"/>
      <c r="AF4" s="172">
        <f>K4/K1</f>
        <v>1</v>
      </c>
      <c r="AG4" s="219"/>
    </row>
    <row r="5" spans="1:33" x14ac:dyDescent="0.25">
      <c r="A5" s="566"/>
      <c r="B5" s="165" t="s">
        <v>190</v>
      </c>
      <c r="C5" s="182"/>
      <c r="D5" s="169"/>
      <c r="E5" s="169"/>
      <c r="F5" s="169">
        <v>5.254696863959811E-2</v>
      </c>
      <c r="G5" s="169"/>
      <c r="H5" s="169"/>
      <c r="I5" s="169"/>
      <c r="J5" s="169"/>
      <c r="K5" s="169"/>
      <c r="L5" s="169"/>
      <c r="N5" s="566"/>
      <c r="O5" s="165" t="s">
        <v>190</v>
      </c>
      <c r="P5" s="174"/>
      <c r="Q5" s="216"/>
      <c r="R5" s="161"/>
      <c r="S5" s="216"/>
      <c r="T5" s="161"/>
      <c r="U5" s="216"/>
      <c r="V5" s="161">
        <f>F5/F1</f>
        <v>1</v>
      </c>
      <c r="W5" s="216">
        <f>1/F5</f>
        <v>19.03059350309362</v>
      </c>
      <c r="X5" s="174"/>
      <c r="Y5" s="216"/>
      <c r="Z5" s="161"/>
      <c r="AA5" s="161"/>
      <c r="AB5" s="161"/>
      <c r="AC5" s="161"/>
      <c r="AD5" s="174"/>
      <c r="AE5" s="174"/>
      <c r="AF5" s="174"/>
      <c r="AG5" s="218"/>
    </row>
    <row r="6" spans="1:33" x14ac:dyDescent="0.25">
      <c r="A6" s="566"/>
      <c r="B6" s="165" t="s">
        <v>398</v>
      </c>
      <c r="C6" s="182"/>
      <c r="D6" s="169"/>
      <c r="E6" s="169"/>
      <c r="F6" s="169"/>
      <c r="G6" s="169">
        <v>3.9584999999999822E-2</v>
      </c>
      <c r="H6" s="169">
        <v>6.3542692307692147E-2</v>
      </c>
      <c r="I6" s="169">
        <v>0</v>
      </c>
      <c r="J6" s="169"/>
      <c r="K6" s="169"/>
      <c r="L6" s="169"/>
      <c r="N6" s="566"/>
      <c r="O6" s="165" t="s">
        <v>398</v>
      </c>
      <c r="P6" s="174"/>
      <c r="Q6" s="216"/>
      <c r="R6" s="161"/>
      <c r="S6" s="216"/>
      <c r="T6" s="161"/>
      <c r="U6" s="216"/>
      <c r="V6" s="161"/>
      <c r="W6" s="216"/>
      <c r="X6" s="174">
        <f>G6/$G$1</f>
        <v>0.75775423964300215</v>
      </c>
      <c r="Y6" s="216">
        <f>1/G6</f>
        <v>25.262094227611584</v>
      </c>
      <c r="Z6" s="161">
        <f>H6/$H$1</f>
        <v>0.79253818284821509</v>
      </c>
      <c r="AA6" s="216">
        <f>1/H6</f>
        <v>15.737450896126811</v>
      </c>
      <c r="AB6" s="161">
        <f>I6/$I$1</f>
        <v>0</v>
      </c>
      <c r="AC6" s="161"/>
      <c r="AD6" s="174"/>
      <c r="AE6" s="174"/>
      <c r="AF6" s="174"/>
      <c r="AG6" s="218"/>
    </row>
    <row r="7" spans="1:33" x14ac:dyDescent="0.25">
      <c r="A7" s="566"/>
      <c r="B7" s="165" t="s">
        <v>399</v>
      </c>
      <c r="C7" s="182"/>
      <c r="D7" s="169"/>
      <c r="E7" s="169"/>
      <c r="F7" s="169"/>
      <c r="G7" s="169">
        <v>3.3714285714285648E-2</v>
      </c>
      <c r="H7" s="169">
        <v>3.433928571428569E-2</v>
      </c>
      <c r="I7" s="169">
        <v>4.9198011904761835E-2</v>
      </c>
      <c r="J7" s="169"/>
      <c r="K7" s="169"/>
      <c r="L7" s="169"/>
      <c r="N7" s="566"/>
      <c r="O7" s="165" t="s">
        <v>399</v>
      </c>
      <c r="P7" s="174"/>
      <c r="Q7" s="216"/>
      <c r="R7" s="161"/>
      <c r="S7" s="216"/>
      <c r="T7" s="161"/>
      <c r="U7" s="216"/>
      <c r="V7" s="161"/>
      <c r="W7" s="216"/>
      <c r="X7" s="174">
        <f>G7/$G$1</f>
        <v>0.64537433210902029</v>
      </c>
      <c r="Y7" s="216">
        <f>1/G7</f>
        <v>29.6610169491526</v>
      </c>
      <c r="Z7" s="161">
        <f>H7/$H$1</f>
        <v>0.42829779651957123</v>
      </c>
      <c r="AA7" s="216">
        <f>1/H7</f>
        <v>29.121164846593885</v>
      </c>
      <c r="AB7" s="161">
        <f>I7/$I$1</f>
        <v>0.84880118008835026</v>
      </c>
      <c r="AC7" s="216">
        <f>1/I7</f>
        <v>20.326024594973742</v>
      </c>
      <c r="AD7" s="174"/>
      <c r="AE7" s="174"/>
      <c r="AF7" s="174"/>
      <c r="AG7" s="218"/>
    </row>
    <row r="8" spans="1:33" x14ac:dyDescent="0.25">
      <c r="A8" s="566"/>
      <c r="B8" s="165" t="s">
        <v>170</v>
      </c>
      <c r="C8" s="182"/>
      <c r="D8" s="169"/>
      <c r="E8" s="169"/>
      <c r="F8" s="169"/>
      <c r="G8" s="169"/>
      <c r="H8" s="169"/>
      <c r="I8" s="169"/>
      <c r="J8" s="169"/>
      <c r="K8" s="169"/>
      <c r="L8" s="169"/>
      <c r="N8" s="566"/>
      <c r="O8" s="165" t="s">
        <v>170</v>
      </c>
      <c r="P8" s="174"/>
      <c r="Q8" s="216"/>
      <c r="R8" s="161"/>
      <c r="S8" s="216"/>
      <c r="T8" s="161"/>
      <c r="U8" s="216"/>
      <c r="V8" s="161"/>
      <c r="W8" s="216"/>
      <c r="X8" s="174"/>
      <c r="Y8" s="216"/>
      <c r="Z8" s="161"/>
      <c r="AA8" s="216"/>
      <c r="AB8" s="161"/>
      <c r="AC8" s="216"/>
      <c r="AD8" s="174"/>
      <c r="AE8" s="218"/>
      <c r="AF8" s="174"/>
      <c r="AG8" s="218"/>
    </row>
    <row r="9" spans="1:33" x14ac:dyDescent="0.25">
      <c r="A9" s="566"/>
      <c r="B9" s="165" t="s">
        <v>171</v>
      </c>
      <c r="C9" s="183"/>
      <c r="D9" s="160"/>
      <c r="E9" s="160"/>
      <c r="F9" s="160"/>
      <c r="G9" s="160"/>
      <c r="H9" s="160"/>
      <c r="I9" s="160"/>
      <c r="J9" s="160"/>
      <c r="K9" s="160"/>
      <c r="L9" s="160"/>
      <c r="N9" s="566"/>
      <c r="O9" s="165" t="s">
        <v>171</v>
      </c>
      <c r="P9" s="175"/>
      <c r="Q9" s="217"/>
      <c r="R9" s="162"/>
      <c r="S9" s="217"/>
      <c r="T9" s="162"/>
      <c r="U9" s="217"/>
      <c r="V9" s="162"/>
      <c r="W9" s="217"/>
      <c r="X9" s="175"/>
      <c r="Y9" s="217"/>
      <c r="Z9" s="162"/>
      <c r="AA9" s="162"/>
      <c r="AB9" s="162"/>
      <c r="AC9" s="162"/>
      <c r="AD9" s="175" t="e">
        <f>J9/$J$1</f>
        <v>#DIV/0!</v>
      </c>
      <c r="AE9" s="220" t="e">
        <f>1/J9</f>
        <v>#DIV/0!</v>
      </c>
      <c r="AF9" s="175">
        <f>K9/$K$1</f>
        <v>0</v>
      </c>
      <c r="AG9" s="220" t="e">
        <f>1/K9</f>
        <v>#DIV/0!</v>
      </c>
    </row>
    <row r="10" spans="1:33" x14ac:dyDescent="0.25">
      <c r="A10" s="565" t="s">
        <v>400</v>
      </c>
      <c r="B10" s="166" t="s">
        <v>189</v>
      </c>
      <c r="C10" s="185">
        <v>4.0980247552447772E-2</v>
      </c>
      <c r="D10" s="180">
        <v>7.0304873926074096E-2</v>
      </c>
      <c r="E10" s="180">
        <v>4.057937202797221E-2</v>
      </c>
      <c r="F10" s="180"/>
      <c r="G10" s="180"/>
      <c r="H10" s="180"/>
      <c r="I10" s="180"/>
      <c r="J10" s="180">
        <v>0</v>
      </c>
      <c r="K10" s="180">
        <v>3.0871978021978067E-2</v>
      </c>
      <c r="L10" s="180"/>
      <c r="N10" s="565" t="s">
        <v>400</v>
      </c>
      <c r="O10" s="166" t="s">
        <v>189</v>
      </c>
      <c r="P10" s="174">
        <f>C10/$C$1</f>
        <v>0.53540241736066307</v>
      </c>
      <c r="Q10" s="215">
        <f>1/C10</f>
        <v>24.401999981092587</v>
      </c>
      <c r="R10" s="173">
        <f>D10/$D$1</f>
        <v>0.73875192766788023</v>
      </c>
      <c r="S10" s="215">
        <f>1/D10</f>
        <v>14.223764927755999</v>
      </c>
      <c r="T10" s="173">
        <f>E10/$E$1</f>
        <v>0.40118420632996155</v>
      </c>
      <c r="U10" s="215">
        <f>1/E10</f>
        <v>24.643062472989456</v>
      </c>
      <c r="V10" s="161"/>
      <c r="W10" s="216"/>
      <c r="X10" s="174"/>
      <c r="Y10" s="216"/>
      <c r="Z10" s="161"/>
      <c r="AA10" s="161"/>
      <c r="AB10" s="161"/>
      <c r="AC10" s="161"/>
      <c r="AD10" s="174"/>
      <c r="AE10" s="161"/>
      <c r="AF10" s="161">
        <f>K10/K1</f>
        <v>0.85228433885796218</v>
      </c>
      <c r="AG10" s="216"/>
    </row>
    <row r="11" spans="1:33" x14ac:dyDescent="0.25">
      <c r="A11" s="566"/>
      <c r="B11" s="165" t="s">
        <v>190</v>
      </c>
      <c r="C11" s="182"/>
      <c r="D11" s="169"/>
      <c r="E11" s="169"/>
      <c r="F11" s="169">
        <v>5.1022557865187314E-2</v>
      </c>
      <c r="G11" s="169"/>
      <c r="H11" s="169"/>
      <c r="I11" s="169"/>
      <c r="J11" s="169"/>
      <c r="K11" s="169"/>
      <c r="L11" s="169"/>
      <c r="N11" s="566"/>
      <c r="O11" s="165" t="s">
        <v>190</v>
      </c>
      <c r="P11" s="174"/>
      <c r="Q11" s="216"/>
      <c r="R11" s="161"/>
      <c r="S11" s="216"/>
      <c r="T11" s="161"/>
      <c r="U11" s="216"/>
      <c r="V11" s="161">
        <f>F11/F1</f>
        <v>0.97098955822045196</v>
      </c>
      <c r="W11" s="216">
        <f>1/F11</f>
        <v>19.599174205303804</v>
      </c>
      <c r="X11" s="174"/>
      <c r="Y11" s="216"/>
      <c r="Z11" s="161"/>
      <c r="AA11" s="161"/>
      <c r="AB11" s="161"/>
      <c r="AC11" s="161"/>
      <c r="AD11" s="174"/>
      <c r="AE11" s="161"/>
      <c r="AF11" s="161"/>
      <c r="AG11" s="216"/>
    </row>
    <row r="12" spans="1:33" x14ac:dyDescent="0.25">
      <c r="A12" s="566"/>
      <c r="B12" s="165" t="s">
        <v>398</v>
      </c>
      <c r="C12" s="182"/>
      <c r="D12" s="169"/>
      <c r="E12" s="169"/>
      <c r="F12" s="169"/>
      <c r="G12" s="169">
        <v>4.221595238095216E-2</v>
      </c>
      <c r="H12" s="169">
        <v>6.617364468864452E-2</v>
      </c>
      <c r="I12" s="169">
        <v>0</v>
      </c>
      <c r="J12" s="169"/>
      <c r="K12" s="169"/>
      <c r="L12" s="169"/>
      <c r="N12" s="566"/>
      <c r="O12" s="165" t="s">
        <v>398</v>
      </c>
      <c r="P12" s="174"/>
      <c r="Q12" s="216"/>
      <c r="R12" s="161"/>
      <c r="S12" s="216"/>
      <c r="T12" s="161"/>
      <c r="U12" s="216"/>
      <c r="V12" s="161"/>
      <c r="W12" s="216"/>
      <c r="X12" s="174">
        <f>G12/$G$1</f>
        <v>0.80811713773484239</v>
      </c>
      <c r="Y12" s="216">
        <f>1/G12</f>
        <v>23.687728064881938</v>
      </c>
      <c r="Z12" s="161">
        <f>H12/$H$1</f>
        <v>0.82535281728427856</v>
      </c>
      <c r="AA12" s="216">
        <f>1/H12</f>
        <v>15.111756420628305</v>
      </c>
      <c r="AB12" s="161">
        <f>I12/$I$1</f>
        <v>0</v>
      </c>
      <c r="AC12" s="216"/>
      <c r="AD12" s="174"/>
      <c r="AE12" s="161"/>
      <c r="AF12" s="161"/>
      <c r="AG12" s="216"/>
    </row>
    <row r="13" spans="1:33" x14ac:dyDescent="0.25">
      <c r="A13" s="566"/>
      <c r="B13" s="165" t="s">
        <v>399</v>
      </c>
      <c r="C13" s="182"/>
      <c r="D13" s="169"/>
      <c r="E13" s="169"/>
      <c r="F13" s="169"/>
      <c r="G13" s="169">
        <v>3.8151785714285645E-2</v>
      </c>
      <c r="H13" s="169">
        <v>3.8776785714285687E-2</v>
      </c>
      <c r="I13" s="169">
        <v>5.7961761904761842E-2</v>
      </c>
      <c r="J13" s="169"/>
      <c r="K13" s="169"/>
      <c r="L13" s="169"/>
      <c r="N13" s="566"/>
      <c r="O13" s="165" t="s">
        <v>399</v>
      </c>
      <c r="P13" s="174"/>
      <c r="Q13" s="216"/>
      <c r="R13" s="161"/>
      <c r="S13" s="216"/>
      <c r="T13" s="161"/>
      <c r="U13" s="216"/>
      <c r="V13" s="161"/>
      <c r="W13" s="216"/>
      <c r="X13" s="174">
        <f>G13/$G$1</f>
        <v>0.73031899393586974</v>
      </c>
      <c r="Y13" s="216">
        <f>1/G13</f>
        <v>26.211092908963305</v>
      </c>
      <c r="Z13" s="161">
        <f>H13/$H$1</f>
        <v>0.48364465166003584</v>
      </c>
      <c r="AA13" s="216">
        <f>1/H13</f>
        <v>25.788625374165342</v>
      </c>
      <c r="AB13" s="161">
        <f>I13/$I$1</f>
        <v>1</v>
      </c>
      <c r="AC13" s="216">
        <f>1/I13</f>
        <v>17.252753662718543</v>
      </c>
      <c r="AD13" s="174"/>
      <c r="AE13" s="161"/>
      <c r="AF13" s="161"/>
      <c r="AG13" s="216"/>
    </row>
    <row r="14" spans="1:33" x14ac:dyDescent="0.25">
      <c r="A14" s="566"/>
      <c r="B14" s="165" t="s">
        <v>170</v>
      </c>
      <c r="C14" s="182"/>
      <c r="D14" s="169"/>
      <c r="E14" s="169"/>
      <c r="F14" s="169"/>
      <c r="G14" s="169"/>
      <c r="H14" s="169"/>
      <c r="I14" s="169"/>
      <c r="J14" s="169"/>
      <c r="K14" s="169"/>
      <c r="L14" s="169"/>
      <c r="N14" s="566"/>
      <c r="O14" s="165" t="s">
        <v>170</v>
      </c>
      <c r="P14" s="174"/>
      <c r="Q14" s="216"/>
      <c r="R14" s="161"/>
      <c r="S14" s="216"/>
      <c r="T14" s="161"/>
      <c r="U14" s="216"/>
      <c r="V14" s="161"/>
      <c r="W14" s="216"/>
      <c r="X14" s="174"/>
      <c r="Y14" s="216"/>
      <c r="Z14" s="161"/>
      <c r="AA14" s="216"/>
      <c r="AB14" s="161"/>
      <c r="AC14" s="216"/>
      <c r="AD14" s="174"/>
      <c r="AE14" s="218"/>
      <c r="AF14" s="174"/>
      <c r="AG14" s="218"/>
    </row>
    <row r="15" spans="1:33" x14ac:dyDescent="0.25">
      <c r="A15" s="566"/>
      <c r="B15" s="165" t="s">
        <v>171</v>
      </c>
      <c r="C15" s="183"/>
      <c r="D15" s="160"/>
      <c r="E15" s="160"/>
      <c r="F15" s="160"/>
      <c r="G15" s="160"/>
      <c r="H15" s="160"/>
      <c r="I15" s="160"/>
      <c r="J15" s="160"/>
      <c r="K15" s="160"/>
      <c r="L15" s="160"/>
      <c r="N15" s="566"/>
      <c r="O15" s="165" t="s">
        <v>171</v>
      </c>
      <c r="P15" s="175"/>
      <c r="Q15" s="217"/>
      <c r="R15" s="162"/>
      <c r="S15" s="217"/>
      <c r="T15" s="162"/>
      <c r="U15" s="217"/>
      <c r="V15" s="162"/>
      <c r="W15" s="217"/>
      <c r="X15" s="175"/>
      <c r="Y15" s="217"/>
      <c r="Z15" s="162"/>
      <c r="AA15" s="162"/>
      <c r="AB15" s="162"/>
      <c r="AC15" s="162"/>
      <c r="AD15" s="175" t="e">
        <f>J15/$J$1</f>
        <v>#DIV/0!</v>
      </c>
      <c r="AE15" s="220" t="e">
        <f>1/J15</f>
        <v>#DIV/0!</v>
      </c>
      <c r="AF15" s="175">
        <f>K15/$K$1</f>
        <v>0</v>
      </c>
      <c r="AG15" s="220" t="e">
        <f>1/K15</f>
        <v>#DIV/0!</v>
      </c>
    </row>
    <row r="16" spans="1:33" x14ac:dyDescent="0.25">
      <c r="A16" s="565" t="s">
        <v>401</v>
      </c>
      <c r="B16" s="166" t="s">
        <v>189</v>
      </c>
      <c r="C16" s="182">
        <v>5.8181020779221264E-2</v>
      </c>
      <c r="D16" s="169">
        <v>7.6807093706293572E-2</v>
      </c>
      <c r="E16" s="169">
        <v>6.614897692307703E-2</v>
      </c>
      <c r="F16" s="169"/>
      <c r="G16" s="169"/>
      <c r="H16" s="169"/>
      <c r="I16" s="169"/>
      <c r="J16" s="169">
        <v>0</v>
      </c>
      <c r="K16" s="169">
        <v>2.9990859140859208E-2</v>
      </c>
      <c r="L16" s="169">
        <v>4.1477272727272967E-2</v>
      </c>
      <c r="N16" s="565" t="s">
        <v>401</v>
      </c>
      <c r="O16" s="166" t="s">
        <v>189</v>
      </c>
      <c r="P16" s="174">
        <f>C16/$C$1</f>
        <v>0.76012862367019574</v>
      </c>
      <c r="Q16" s="215">
        <f>1/C16</f>
        <v>17.18773556405424</v>
      </c>
      <c r="R16" s="173">
        <f>D16/$D$1</f>
        <v>0.80707617218339256</v>
      </c>
      <c r="S16" s="215">
        <f>1/D16</f>
        <v>13.019630762543226</v>
      </c>
      <c r="T16" s="173">
        <f>E16/$E$1</f>
        <v>0.65397573890819338</v>
      </c>
      <c r="U16" s="215">
        <f>1/E16</f>
        <v>15.117391780115884</v>
      </c>
      <c r="V16" s="161"/>
      <c r="W16" s="216"/>
      <c r="X16" s="161"/>
      <c r="Y16" s="216"/>
      <c r="Z16" s="161"/>
      <c r="AA16" s="161"/>
      <c r="AB16" s="161"/>
      <c r="AC16" s="161"/>
      <c r="AD16" s="161"/>
      <c r="AE16" s="161"/>
      <c r="AF16" s="161">
        <f>K16/K1</f>
        <v>0.827959243053766</v>
      </c>
      <c r="AG16" s="216"/>
    </row>
    <row r="17" spans="1:33" x14ac:dyDescent="0.25">
      <c r="A17" s="566"/>
      <c r="B17" s="165" t="s">
        <v>190</v>
      </c>
      <c r="C17" s="182"/>
      <c r="D17" s="169"/>
      <c r="E17" s="169"/>
      <c r="F17" s="169">
        <v>4.2273232055429683E-2</v>
      </c>
      <c r="G17" s="169"/>
      <c r="H17" s="169"/>
      <c r="I17" s="169"/>
      <c r="J17" s="169"/>
      <c r="K17" s="169"/>
      <c r="L17" s="169"/>
      <c r="N17" s="566"/>
      <c r="O17" s="165" t="s">
        <v>190</v>
      </c>
      <c r="P17" s="174"/>
      <c r="Q17" s="216"/>
      <c r="R17" s="161"/>
      <c r="S17" s="216"/>
      <c r="T17" s="161"/>
      <c r="U17" s="216"/>
      <c r="V17" s="161">
        <f>F17/F1</f>
        <v>0.80448469530882905</v>
      </c>
      <c r="W17" s="216">
        <f>1/F17</f>
        <v>23.655631504323487</v>
      </c>
      <c r="X17" s="161"/>
      <c r="Y17" s="216"/>
      <c r="Z17" s="161"/>
      <c r="AA17" s="161"/>
      <c r="AB17" s="161"/>
      <c r="AC17" s="161"/>
      <c r="AD17" s="161"/>
      <c r="AE17" s="161"/>
      <c r="AF17" s="161"/>
      <c r="AG17" s="216"/>
    </row>
    <row r="18" spans="1:33" x14ac:dyDescent="0.25">
      <c r="A18" s="566"/>
      <c r="B18" s="165" t="s">
        <v>398</v>
      </c>
      <c r="C18" s="182"/>
      <c r="D18" s="169"/>
      <c r="E18" s="169"/>
      <c r="F18" s="169"/>
      <c r="G18" s="169">
        <v>5.2239892473118131E-2</v>
      </c>
      <c r="H18" s="169">
        <v>8.0176190476190193E-2</v>
      </c>
      <c r="I18" s="169">
        <v>0</v>
      </c>
      <c r="J18" s="169"/>
      <c r="K18" s="169"/>
      <c r="L18" s="169"/>
      <c r="N18" s="566"/>
      <c r="O18" s="165" t="s">
        <v>398</v>
      </c>
      <c r="P18" s="174"/>
      <c r="Q18" s="216"/>
      <c r="R18" s="161"/>
      <c r="S18" s="216"/>
      <c r="T18" s="161"/>
      <c r="U18" s="216"/>
      <c r="V18" s="161"/>
      <c r="W18" s="216"/>
      <c r="X18" s="161">
        <f>G18/$G$1</f>
        <v>1</v>
      </c>
      <c r="Y18" s="216">
        <f>1/G18</f>
        <v>19.142459003233689</v>
      </c>
      <c r="Z18" s="161">
        <f>H18/$H$1</f>
        <v>1</v>
      </c>
      <c r="AA18" s="216">
        <f>1/H18</f>
        <v>12.472530735879358</v>
      </c>
      <c r="AB18" s="161">
        <f>I18/$I$1</f>
        <v>0</v>
      </c>
      <c r="AC18" s="216"/>
      <c r="AD18" s="161"/>
      <c r="AE18" s="161"/>
      <c r="AF18" s="161"/>
      <c r="AG18" s="216"/>
    </row>
    <row r="19" spans="1:33" x14ac:dyDescent="0.25">
      <c r="A19" s="566"/>
      <c r="B19" s="165" t="s">
        <v>399</v>
      </c>
      <c r="C19" s="182"/>
      <c r="D19" s="169"/>
      <c r="E19" s="169"/>
      <c r="F19" s="169"/>
      <c r="G19" s="169">
        <v>2.5968749999999964E-2</v>
      </c>
      <c r="H19" s="169">
        <v>2.5281250000000002E-2</v>
      </c>
      <c r="I19" s="169">
        <v>3.0639083333333317E-2</v>
      </c>
      <c r="J19" s="169"/>
      <c r="K19" s="169"/>
      <c r="L19" s="169">
        <v>0.1339285714285714</v>
      </c>
      <c r="M19" s="224">
        <f>1/L19</f>
        <v>7.4666666666666686</v>
      </c>
      <c r="N19" s="566"/>
      <c r="O19" s="165" t="s">
        <v>399</v>
      </c>
      <c r="P19" s="174"/>
      <c r="Q19" s="216"/>
      <c r="R19" s="161"/>
      <c r="S19" s="216"/>
      <c r="T19" s="161"/>
      <c r="U19" s="216"/>
      <c r="V19" s="161"/>
      <c r="W19" s="216"/>
      <c r="X19" s="161">
        <f>G19/$G$1</f>
        <v>0.4971057322402242</v>
      </c>
      <c r="Y19" s="216">
        <f>1/G19</f>
        <v>38.507821901323759</v>
      </c>
      <c r="Z19" s="161">
        <f>H19/$H$1</f>
        <v>0.31532116766645002</v>
      </c>
      <c r="AA19" s="216">
        <f>1/H19</f>
        <v>39.555006180469711</v>
      </c>
      <c r="AB19" s="161">
        <f>I19/$I$1</f>
        <v>0.52860855720150501</v>
      </c>
      <c r="AC19" s="216">
        <f>1/I19</f>
        <v>32.63805216104705</v>
      </c>
      <c r="AD19" s="161"/>
      <c r="AE19" s="161"/>
      <c r="AF19" s="161"/>
      <c r="AG19" s="216"/>
    </row>
    <row r="20" spans="1:33" x14ac:dyDescent="0.25">
      <c r="A20" s="566"/>
      <c r="B20" s="165" t="s">
        <v>170</v>
      </c>
      <c r="C20" s="182"/>
      <c r="D20" s="169"/>
      <c r="E20" s="169"/>
      <c r="F20" s="169"/>
      <c r="G20" s="169"/>
      <c r="H20" s="169"/>
      <c r="I20" s="169"/>
      <c r="J20" s="169"/>
      <c r="K20" s="169"/>
      <c r="L20" s="169"/>
      <c r="N20" s="566"/>
      <c r="O20" s="165" t="s">
        <v>170</v>
      </c>
      <c r="P20" s="174"/>
      <c r="Q20" s="216"/>
      <c r="R20" s="161"/>
      <c r="S20" s="216"/>
      <c r="T20" s="161"/>
      <c r="U20" s="216"/>
      <c r="V20" s="161"/>
      <c r="W20" s="216"/>
      <c r="X20" s="161"/>
      <c r="Y20" s="216"/>
      <c r="Z20" s="161"/>
      <c r="AA20" s="216"/>
      <c r="AB20" s="161"/>
      <c r="AC20" s="216"/>
      <c r="AD20" s="161"/>
      <c r="AE20" s="218"/>
      <c r="AF20" s="174"/>
      <c r="AG20" s="218"/>
    </row>
    <row r="21" spans="1:33" x14ac:dyDescent="0.25">
      <c r="A21" s="566"/>
      <c r="B21" s="165" t="s">
        <v>171</v>
      </c>
      <c r="C21" s="182"/>
      <c r="D21" s="169"/>
      <c r="E21" s="169"/>
      <c r="F21" s="169"/>
      <c r="G21" s="169"/>
      <c r="H21" s="169"/>
      <c r="I21" s="169"/>
      <c r="J21" s="169"/>
      <c r="K21" s="169"/>
      <c r="L21" s="169"/>
      <c r="N21" s="566"/>
      <c r="O21" s="165" t="s">
        <v>171</v>
      </c>
      <c r="P21" s="175"/>
      <c r="Q21" s="217"/>
      <c r="R21" s="162"/>
      <c r="S21" s="217"/>
      <c r="T21" s="162"/>
      <c r="U21" s="217"/>
      <c r="V21" s="162"/>
      <c r="W21" s="217"/>
      <c r="X21" s="162"/>
      <c r="Y21" s="217"/>
      <c r="Z21" s="162"/>
      <c r="AA21" s="162"/>
      <c r="AB21" s="162"/>
      <c r="AC21" s="161"/>
      <c r="AD21" s="161" t="e">
        <f>J21/$J$1</f>
        <v>#DIV/0!</v>
      </c>
      <c r="AE21" s="220" t="e">
        <f>1/J21</f>
        <v>#DIV/0!</v>
      </c>
      <c r="AF21" s="175">
        <f>K21/$K$1</f>
        <v>0</v>
      </c>
      <c r="AG21" s="220" t="e">
        <f>1/K21</f>
        <v>#DIV/0!</v>
      </c>
    </row>
    <row r="22" spans="1:33" x14ac:dyDescent="0.25">
      <c r="A22" s="565" t="s">
        <v>402</v>
      </c>
      <c r="B22" s="178" t="s">
        <v>189</v>
      </c>
      <c r="C22" s="185">
        <v>7.6541020779221203E-2</v>
      </c>
      <c r="D22" s="180">
        <v>9.5167093706293476E-2</v>
      </c>
      <c r="E22" s="180">
        <v>0.10114897692307692</v>
      </c>
      <c r="F22" s="180"/>
      <c r="G22" s="180"/>
      <c r="H22" s="180"/>
      <c r="I22" s="180"/>
      <c r="J22" s="180">
        <v>0</v>
      </c>
      <c r="K22" s="180">
        <v>3.3705144855144906E-2</v>
      </c>
      <c r="L22" s="180">
        <v>5.9334415584415767E-2</v>
      </c>
      <c r="N22" s="565" t="s">
        <v>402</v>
      </c>
      <c r="O22" s="166" t="s">
        <v>189</v>
      </c>
      <c r="P22" s="174">
        <f>C22/$C$1</f>
        <v>1</v>
      </c>
      <c r="Q22" s="215">
        <f>1/C22</f>
        <v>13.064889778311823</v>
      </c>
      <c r="R22" s="173">
        <f>D22/$D$1</f>
        <v>1</v>
      </c>
      <c r="S22" s="215">
        <f>1/D22</f>
        <v>10.507833759074531</v>
      </c>
      <c r="T22" s="173">
        <f>E22/$E$1</f>
        <v>1</v>
      </c>
      <c r="U22" s="222">
        <f>1/E22</f>
        <v>9.8864074597659339</v>
      </c>
      <c r="V22" s="210"/>
      <c r="W22" s="219"/>
      <c r="X22" s="174"/>
      <c r="Y22" s="216"/>
      <c r="Z22" s="161"/>
      <c r="AA22" s="161"/>
      <c r="AB22" s="174"/>
      <c r="AC22" s="172"/>
      <c r="AD22" s="172"/>
      <c r="AE22" s="161"/>
      <c r="AF22" s="161">
        <f>K22/K1</f>
        <v>0.93049972627372413</v>
      </c>
      <c r="AG22" s="216"/>
    </row>
    <row r="23" spans="1:33" x14ac:dyDescent="0.25">
      <c r="A23" s="566"/>
      <c r="B23" s="179" t="s">
        <v>190</v>
      </c>
      <c r="C23" s="182"/>
      <c r="D23" s="169"/>
      <c r="E23" s="169"/>
      <c r="F23" s="169">
        <v>4.3797642829840472E-2</v>
      </c>
      <c r="G23" s="169"/>
      <c r="H23" s="169"/>
      <c r="I23" s="169"/>
      <c r="J23" s="169"/>
      <c r="K23" s="169"/>
      <c r="L23" s="169"/>
      <c r="N23" s="566"/>
      <c r="O23" s="165" t="s">
        <v>190</v>
      </c>
      <c r="P23" s="174"/>
      <c r="Q23" s="216"/>
      <c r="R23" s="161"/>
      <c r="S23" s="216"/>
      <c r="T23" s="161"/>
      <c r="U23" s="213"/>
      <c r="V23" s="211">
        <f>F23/F1</f>
        <v>0.83349513708837697</v>
      </c>
      <c r="W23" s="218">
        <f>1/F23</f>
        <v>22.832278985541066</v>
      </c>
      <c r="X23" s="174"/>
      <c r="Y23" s="216"/>
      <c r="Z23" s="161"/>
      <c r="AA23" s="161"/>
      <c r="AB23" s="174"/>
      <c r="AC23" s="174"/>
      <c r="AD23" s="174"/>
      <c r="AE23" s="161"/>
      <c r="AF23" s="161"/>
      <c r="AG23" s="216"/>
    </row>
    <row r="24" spans="1:33" x14ac:dyDescent="0.25">
      <c r="A24" s="566"/>
      <c r="B24" s="179" t="s">
        <v>398</v>
      </c>
      <c r="C24" s="182"/>
      <c r="D24" s="169"/>
      <c r="E24" s="169"/>
      <c r="F24" s="169"/>
      <c r="G24" s="169">
        <v>4.8379892473118219E-2</v>
      </c>
      <c r="H24" s="169">
        <v>7.5159999999999713E-2</v>
      </c>
      <c r="I24" s="169">
        <v>0</v>
      </c>
      <c r="J24" s="169"/>
      <c r="K24" s="169"/>
      <c r="L24" s="169"/>
      <c r="N24" s="566"/>
      <c r="O24" s="165" t="s">
        <v>398</v>
      </c>
      <c r="P24" s="174"/>
      <c r="Q24" s="216"/>
      <c r="R24" s="161"/>
      <c r="S24" s="216"/>
      <c r="T24" s="161"/>
      <c r="U24" s="213"/>
      <c r="V24" s="211"/>
      <c r="W24" s="218"/>
      <c r="X24" s="174">
        <f>G24/$G$1</f>
        <v>0.9261101082475196</v>
      </c>
      <c r="Y24" s="216">
        <f>1/G24</f>
        <v>20.669744161908575</v>
      </c>
      <c r="Z24" s="161">
        <f>H24/$H$1</f>
        <v>0.93743541010868892</v>
      </c>
      <c r="AA24" s="216">
        <f>1/H24</f>
        <v>13.304949441192175</v>
      </c>
      <c r="AB24" s="161">
        <f>I24/$I$1</f>
        <v>0</v>
      </c>
      <c r="AC24" s="218"/>
      <c r="AD24" s="174"/>
      <c r="AE24" s="161"/>
      <c r="AF24" s="161"/>
      <c r="AG24" s="216"/>
    </row>
    <row r="25" spans="1:33" x14ac:dyDescent="0.25">
      <c r="A25" s="566"/>
      <c r="B25" s="179" t="s">
        <v>399</v>
      </c>
      <c r="C25" s="182"/>
      <c r="D25" s="169"/>
      <c r="E25" s="169"/>
      <c r="F25" s="169"/>
      <c r="G25" s="169">
        <v>2.3874999999999962E-2</v>
      </c>
      <c r="H25" s="169">
        <v>2.31875E-2</v>
      </c>
      <c r="I25" s="169">
        <v>2.7005333333333322E-2</v>
      </c>
      <c r="J25" s="169"/>
      <c r="K25" s="169"/>
      <c r="L25" s="169">
        <v>0.16964285714285698</v>
      </c>
      <c r="M25" s="224">
        <f>1/L25</f>
        <v>5.894736842105269</v>
      </c>
      <c r="N25" s="566"/>
      <c r="O25" s="165" t="s">
        <v>399</v>
      </c>
      <c r="P25" s="174"/>
      <c r="Q25" s="216"/>
      <c r="R25" s="161"/>
      <c r="S25" s="216"/>
      <c r="T25" s="161"/>
      <c r="U25" s="213"/>
      <c r="V25" s="211"/>
      <c r="W25" s="218"/>
      <c r="X25" s="174">
        <f>G25/$G$1</f>
        <v>0.45702620870220362</v>
      </c>
      <c r="Y25" s="216">
        <f>1/G25</f>
        <v>41.884816753926771</v>
      </c>
      <c r="Z25" s="161">
        <f>H25/$H$1</f>
        <v>0.28920680643820262</v>
      </c>
      <c r="AA25" s="216">
        <f>1/H25</f>
        <v>43.126684636118597</v>
      </c>
      <c r="AB25" s="161">
        <f>I25/$I$1</f>
        <v>0.46591636357960164</v>
      </c>
      <c r="AC25" s="218">
        <f>1/I25</f>
        <v>37.0297225239459</v>
      </c>
      <c r="AD25" s="174"/>
      <c r="AE25" s="161"/>
      <c r="AF25" s="161"/>
      <c r="AG25" s="216"/>
    </row>
    <row r="26" spans="1:33" x14ac:dyDescent="0.25">
      <c r="A26" s="566"/>
      <c r="B26" s="179" t="s">
        <v>170</v>
      </c>
      <c r="C26" s="182"/>
      <c r="D26" s="169"/>
      <c r="E26" s="169"/>
      <c r="F26" s="169"/>
      <c r="G26" s="169"/>
      <c r="H26" s="169"/>
      <c r="I26" s="169"/>
      <c r="J26" s="169"/>
      <c r="K26" s="169"/>
      <c r="L26" s="169"/>
      <c r="N26" s="566"/>
      <c r="O26" s="165" t="s">
        <v>170</v>
      </c>
      <c r="P26" s="174"/>
      <c r="Q26" s="216"/>
      <c r="R26" s="161"/>
      <c r="S26" s="216"/>
      <c r="T26" s="161"/>
      <c r="U26" s="213"/>
      <c r="V26" s="211"/>
      <c r="W26" s="174"/>
      <c r="X26" s="174"/>
      <c r="Y26" s="216"/>
      <c r="Z26" s="161"/>
      <c r="AA26" s="216"/>
      <c r="AB26" s="161"/>
      <c r="AC26" s="218"/>
      <c r="AD26" s="174"/>
      <c r="AE26" s="218"/>
      <c r="AF26" s="174"/>
      <c r="AG26" s="218"/>
    </row>
    <row r="27" spans="1:33" x14ac:dyDescent="0.25">
      <c r="A27" s="566"/>
      <c r="B27" s="165" t="s">
        <v>171</v>
      </c>
      <c r="C27" s="183"/>
      <c r="D27" s="160"/>
      <c r="E27" s="160"/>
      <c r="F27" s="160"/>
      <c r="G27" s="160"/>
      <c r="H27" s="160"/>
      <c r="I27" s="160"/>
      <c r="J27" s="160"/>
      <c r="K27" s="160"/>
      <c r="L27" s="160"/>
      <c r="N27" s="566"/>
      <c r="O27" s="165" t="s">
        <v>171</v>
      </c>
      <c r="P27" s="175"/>
      <c r="Q27" s="217"/>
      <c r="R27" s="162"/>
      <c r="S27" s="217"/>
      <c r="T27" s="162"/>
      <c r="U27" s="223"/>
      <c r="V27" s="212"/>
      <c r="W27" s="175"/>
      <c r="X27" s="175"/>
      <c r="Y27" s="217"/>
      <c r="Z27" s="162"/>
      <c r="AA27" s="162"/>
      <c r="AB27" s="175"/>
      <c r="AC27" s="175"/>
      <c r="AD27" s="175" t="e">
        <f>J27/$J$1</f>
        <v>#DIV/0!</v>
      </c>
      <c r="AE27" s="220" t="e">
        <f>1/J27</f>
        <v>#DIV/0!</v>
      </c>
      <c r="AF27" s="175">
        <f>K27/$K$1</f>
        <v>0</v>
      </c>
      <c r="AG27" s="220" t="e">
        <f>1/K27</f>
        <v>#DIV/0!</v>
      </c>
    </row>
    <row r="28" spans="1:33" x14ac:dyDescent="0.25">
      <c r="Q28" s="139"/>
      <c r="S28" s="139"/>
      <c r="U28" s="139"/>
    </row>
    <row r="29" spans="1:33" x14ac:dyDescent="0.25">
      <c r="Q29" s="139"/>
      <c r="S29" s="139"/>
      <c r="U29" s="139"/>
    </row>
    <row r="30" spans="1:33" x14ac:dyDescent="0.25">
      <c r="B30" s="163" t="s">
        <v>165</v>
      </c>
      <c r="Q30" s="139"/>
      <c r="S30" s="139"/>
      <c r="U30" s="139"/>
    </row>
    <row r="31" spans="1:33" x14ac:dyDescent="0.25">
      <c r="B31" s="164">
        <v>42724</v>
      </c>
      <c r="Q31" s="139"/>
      <c r="S31" s="139"/>
    </row>
    <row r="32" spans="1:33" x14ac:dyDescent="0.25">
      <c r="Q32" s="139"/>
    </row>
    <row r="33" spans="17:17" x14ac:dyDescent="0.25">
      <c r="Q33" s="139"/>
    </row>
    <row r="34" spans="17:17" x14ac:dyDescent="0.25">
      <c r="Q34" s="139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6" t="s">
        <v>83</v>
      </c>
      <c r="C2" s="146" t="s">
        <v>84</v>
      </c>
      <c r="D2" s="146" t="s">
        <v>186</v>
      </c>
      <c r="E2" s="146" t="s">
        <v>14</v>
      </c>
      <c r="F2" s="146" t="s">
        <v>37</v>
      </c>
      <c r="G2" s="146" t="s">
        <v>167</v>
      </c>
      <c r="H2" s="146" t="s">
        <v>30</v>
      </c>
      <c r="I2" s="146" t="s">
        <v>169</v>
      </c>
      <c r="J2" s="146" t="s">
        <v>170</v>
      </c>
      <c r="K2" s="146" t="s">
        <v>171</v>
      </c>
      <c r="M2" s="90">
        <v>352</v>
      </c>
      <c r="N2" s="57" t="s">
        <v>403</v>
      </c>
      <c r="O2" s="45" t="s">
        <v>262</v>
      </c>
      <c r="P2" s="45" t="s">
        <v>404</v>
      </c>
      <c r="Q2" s="45" t="s">
        <v>262</v>
      </c>
      <c r="R2" s="45" t="s">
        <v>28</v>
      </c>
      <c r="S2" s="45" t="s">
        <v>264</v>
      </c>
      <c r="T2" s="45" t="s">
        <v>265</v>
      </c>
      <c r="U2" s="45" t="s">
        <v>264</v>
      </c>
      <c r="V2" s="45" t="s">
        <v>259</v>
      </c>
      <c r="W2" s="45" t="s">
        <v>405</v>
      </c>
      <c r="X2" s="45" t="s">
        <v>406</v>
      </c>
    </row>
    <row r="3" spans="2:25" x14ac:dyDescent="0.25">
      <c r="B3" t="s">
        <v>14</v>
      </c>
      <c r="C3" t="str">
        <f>Evaluacion!A3</f>
        <v>D. Gehmacher</v>
      </c>
      <c r="D3" s="57"/>
      <c r="E3" s="71">
        <f>Evaluacion!K3</f>
        <v>3.95</v>
      </c>
      <c r="F3" s="71">
        <f>Evaluacion!L3</f>
        <v>0</v>
      </c>
      <c r="G3" s="71">
        <f>Evaluacion!M3</f>
        <v>0</v>
      </c>
      <c r="H3" s="71">
        <f>Evaluacion!N3</f>
        <v>0</v>
      </c>
      <c r="I3" s="71">
        <f>Evaluacion!O3</f>
        <v>0</v>
      </c>
      <c r="J3" s="71">
        <f>Evaluacion!P3</f>
        <v>0</v>
      </c>
      <c r="K3" s="71">
        <f>Evaluacion!Q3</f>
        <v>8</v>
      </c>
      <c r="M3" t="s">
        <v>14</v>
      </c>
      <c r="N3" s="188">
        <v>1</v>
      </c>
      <c r="O3" s="130">
        <f ca="1">Evaluacion!X3</f>
        <v>4.8820527030961838</v>
      </c>
      <c r="P3" s="130">
        <f ca="1">Evaluacion!Y3</f>
        <v>7.1530692894583883</v>
      </c>
      <c r="Q3" s="130">
        <f ca="1">Evaluacion!Z3</f>
        <v>4.8820527030961838</v>
      </c>
      <c r="R3" s="130">
        <v>0</v>
      </c>
      <c r="S3" s="130">
        <v>0</v>
      </c>
      <c r="T3" s="130">
        <v>0</v>
      </c>
      <c r="U3" s="130">
        <v>0</v>
      </c>
      <c r="V3" s="130">
        <v>0</v>
      </c>
      <c r="W3" s="130">
        <f>Evaluacion!T3</f>
        <v>0.24</v>
      </c>
      <c r="X3" s="130">
        <f>Evaluacion!U3</f>
        <v>0.24</v>
      </c>
      <c r="Y3" s="192"/>
    </row>
    <row r="4" spans="2:25" x14ac:dyDescent="0.25">
      <c r="B4" t="s">
        <v>407</v>
      </c>
      <c r="C4" t="e">
        <f>Evaluacion!A6</f>
        <v>#REF!</v>
      </c>
      <c r="D4" s="57"/>
      <c r="E4" s="71" t="e">
        <f>Evaluacion!K6</f>
        <v>#REF!</v>
      </c>
      <c r="F4" s="71" t="e">
        <f>Evaluacion!L6</f>
        <v>#REF!</v>
      </c>
      <c r="G4" s="71" t="e">
        <f>Evaluacion!M6</f>
        <v>#REF!</v>
      </c>
      <c r="H4" s="71" t="e">
        <f>Evaluacion!N6</f>
        <v>#REF!</v>
      </c>
      <c r="I4" s="71" t="e">
        <f>Evaluacion!O6</f>
        <v>#REF!</v>
      </c>
      <c r="J4" s="71" t="e">
        <f>Evaluacion!P6</f>
        <v>#REF!</v>
      </c>
      <c r="K4" s="71" t="e">
        <f>Evaluacion!Q6</f>
        <v>#REF!</v>
      </c>
      <c r="M4" t="s">
        <v>407</v>
      </c>
      <c r="N4" s="188">
        <v>1</v>
      </c>
      <c r="O4" s="130" t="e">
        <f>Evaluacion!AI6</f>
        <v>#REF!</v>
      </c>
      <c r="P4" s="130" t="e">
        <f>Evaluacion!AJ6</f>
        <v>#REF!</v>
      </c>
      <c r="Q4" s="130">
        <v>0</v>
      </c>
      <c r="R4" s="130" t="e">
        <f>Evaluacion!AK6</f>
        <v>#REF!</v>
      </c>
      <c r="S4" s="130" t="e">
        <f>Evaluacion!AL6</f>
        <v>#REF!</v>
      </c>
      <c r="T4" s="130">
        <v>0</v>
      </c>
      <c r="U4" s="130">
        <v>0</v>
      </c>
      <c r="V4" s="130" t="e">
        <f>Evaluacion!R6</f>
        <v>#REF!</v>
      </c>
      <c r="W4" s="130" t="e">
        <f>Evaluacion!T6</f>
        <v>#REF!</v>
      </c>
      <c r="X4" s="130" t="e">
        <f>Evaluacion!U6</f>
        <v>#REF!</v>
      </c>
    </row>
    <row r="5" spans="2:25" x14ac:dyDescent="0.25">
      <c r="B5" t="s">
        <v>408</v>
      </c>
      <c r="C5" t="str">
        <f>Evaluacion!A14</f>
        <v>S. Kariuki</v>
      </c>
      <c r="D5" s="57"/>
      <c r="E5" s="71">
        <f>Evaluacion!K14</f>
        <v>0</v>
      </c>
      <c r="F5" s="71">
        <f>Evaluacion!L14</f>
        <v>13</v>
      </c>
      <c r="G5" s="71">
        <f>Evaluacion!M14</f>
        <v>14</v>
      </c>
      <c r="H5" s="71">
        <f>Evaluacion!N14</f>
        <v>2</v>
      </c>
      <c r="I5" s="71">
        <f>Evaluacion!O14</f>
        <v>2</v>
      </c>
      <c r="J5" s="71">
        <f>Evaluacion!P14</f>
        <v>7</v>
      </c>
      <c r="K5" s="71">
        <f>Evaluacion!Q14</f>
        <v>19</v>
      </c>
      <c r="M5" t="s">
        <v>408</v>
      </c>
      <c r="N5" s="188">
        <v>1</v>
      </c>
      <c r="O5" s="130">
        <f ca="1">(Evaluacion!AA14+Evaluacion!AC14)/2</f>
        <v>5.6728661877250541</v>
      </c>
      <c r="P5" s="130">
        <f ca="1">Evaluacion!AB14</f>
        <v>14.658568960529855</v>
      </c>
      <c r="Q5" s="130">
        <f ca="1">O5</f>
        <v>5.6728661877250541</v>
      </c>
      <c r="R5" s="130">
        <f ca="1">Evaluacion!AD14</f>
        <v>3.7267394126061055</v>
      </c>
      <c r="S5" s="130">
        <v>0</v>
      </c>
      <c r="T5" s="130">
        <v>0</v>
      </c>
      <c r="U5" s="130">
        <v>0</v>
      </c>
      <c r="V5" s="130">
        <f>Evaluacion!R14</f>
        <v>2.5</v>
      </c>
      <c r="W5" s="130">
        <f>Evaluacion!T14</f>
        <v>0.91999999999999993</v>
      </c>
      <c r="X5" s="130">
        <f>Evaluacion!U14</f>
        <v>1.0900000000000001</v>
      </c>
    </row>
    <row r="6" spans="2:25" x14ac:dyDescent="0.25">
      <c r="B6" t="s">
        <v>407</v>
      </c>
      <c r="C6" t="str">
        <f>Evaluacion!A9</f>
        <v>E. Deus</v>
      </c>
      <c r="D6" s="57" t="str">
        <f>Evaluacion!D9</f>
        <v>IMP</v>
      </c>
      <c r="E6" s="71">
        <f>Evaluacion!K9</f>
        <v>0</v>
      </c>
      <c r="F6" s="71">
        <f>Evaluacion!L9</f>
        <v>14</v>
      </c>
      <c r="G6" s="71">
        <f>Evaluacion!M9</f>
        <v>9.125</v>
      </c>
      <c r="H6" s="71">
        <f>Evaluacion!N9</f>
        <v>1</v>
      </c>
      <c r="I6" s="71">
        <f>Evaluacion!O9</f>
        <v>6</v>
      </c>
      <c r="J6" s="71">
        <f>Evaluacion!P9</f>
        <v>6.4</v>
      </c>
      <c r="K6" s="71">
        <f>Evaluacion!Q9</f>
        <v>19.2</v>
      </c>
      <c r="M6" t="s">
        <v>407</v>
      </c>
      <c r="N6" s="188">
        <v>1</v>
      </c>
      <c r="O6" s="130">
        <v>0</v>
      </c>
      <c r="P6" s="130">
        <f ca="1">Evaluacion!AJ9</f>
        <v>6.6764941180878701</v>
      </c>
      <c r="Q6" s="130">
        <f ca="1">Evaluacion!AI9</f>
        <v>14.836653595750823</v>
      </c>
      <c r="R6" s="130">
        <f ca="1">Evaluacion!AK9</f>
        <v>1.8790501635765078</v>
      </c>
      <c r="S6" s="130">
        <v>0</v>
      </c>
      <c r="T6" s="130">
        <f>0</f>
        <v>0</v>
      </c>
      <c r="U6" s="130">
        <f ca="1">Evaluacion!AL9</f>
        <v>1.8385568633711773</v>
      </c>
      <c r="V6" s="130">
        <f>Evaluacion!R9</f>
        <v>3.625</v>
      </c>
      <c r="W6" s="130">
        <f>Evaluacion!T9</f>
        <v>0.89600000000000013</v>
      </c>
      <c r="X6" s="130">
        <f>Evaluacion!U9</f>
        <v>1.1359999999999999</v>
      </c>
    </row>
    <row r="7" spans="2:25" x14ac:dyDescent="0.25">
      <c r="B7" t="s">
        <v>251</v>
      </c>
      <c r="C7" t="str">
        <f>Evaluacion!A12</f>
        <v>R. Forsyth</v>
      </c>
      <c r="D7" s="57" t="str">
        <f>Evaluacion!D12</f>
        <v>POT</v>
      </c>
      <c r="E7" s="71">
        <f>Evaluacion!K12</f>
        <v>0</v>
      </c>
      <c r="F7" s="71">
        <f>Evaluacion!L12</f>
        <v>11.692307692307692</v>
      </c>
      <c r="G7" s="71">
        <f>Evaluacion!M12</f>
        <v>14.692307692307692</v>
      </c>
      <c r="H7" s="71">
        <f>Evaluacion!N12</f>
        <v>3</v>
      </c>
      <c r="I7" s="71">
        <f>Evaluacion!O12</f>
        <v>4</v>
      </c>
      <c r="J7" s="71">
        <f>Evaluacion!P12</f>
        <v>7.5</v>
      </c>
      <c r="K7" s="71">
        <f>Evaluacion!Q12</f>
        <v>19</v>
      </c>
      <c r="M7" t="s">
        <v>251</v>
      </c>
      <c r="N7" s="188">
        <v>0.82499999999999984</v>
      </c>
      <c r="O7" s="130">
        <f ca="1">Evaluacion!BE12*N7</f>
        <v>3.3361848740668893</v>
      </c>
      <c r="P7" s="130">
        <f ca="1">Evaluacion!BF12*N7</f>
        <v>3.9896643854820533</v>
      </c>
      <c r="Q7" s="130">
        <v>0</v>
      </c>
      <c r="R7" s="130">
        <f ca="1">Evaluacion!BG12*N7</f>
        <v>12.280746044855427</v>
      </c>
      <c r="S7" s="130">
        <f ca="1">Evaluacion!BH12*N7</f>
        <v>4.0767066982794207</v>
      </c>
      <c r="T7" s="130">
        <f ca="1">Evaluacion!BI12*N7</f>
        <v>1.233534155551564</v>
      </c>
      <c r="U7" s="130">
        <v>0</v>
      </c>
      <c r="V7" s="130">
        <v>0</v>
      </c>
      <c r="W7" s="130">
        <f>Evaluacion!T12*N7</f>
        <v>0.77962499999999979</v>
      </c>
      <c r="X7" s="130">
        <f>Evaluacion!U12*N7</f>
        <v>0.85609615384615367</v>
      </c>
    </row>
    <row r="8" spans="2:25" x14ac:dyDescent="0.25">
      <c r="B8" t="s">
        <v>122</v>
      </c>
      <c r="C8" t="str">
        <f>Evaluacion!A15</f>
        <v>K. Polyukhov</v>
      </c>
      <c r="D8" s="57"/>
      <c r="E8" s="71">
        <f>Evaluacion!K15</f>
        <v>0</v>
      </c>
      <c r="F8" s="71">
        <f>Evaluacion!L15</f>
        <v>14.454545454545455</v>
      </c>
      <c r="G8" s="71">
        <f>Evaluacion!M15</f>
        <v>13</v>
      </c>
      <c r="H8" s="71">
        <f>Evaluacion!N15</f>
        <v>1</v>
      </c>
      <c r="I8" s="71">
        <f>Evaluacion!O15</f>
        <v>9</v>
      </c>
      <c r="J8" s="71">
        <f>Evaluacion!P15</f>
        <v>9</v>
      </c>
      <c r="K8" s="71">
        <f>Evaluacion!Q15</f>
        <v>16</v>
      </c>
      <c r="M8" t="s">
        <v>122</v>
      </c>
      <c r="N8" s="188">
        <v>0.82499999999999984</v>
      </c>
      <c r="O8" s="130">
        <f ca="1">((Evaluacion!AX15+Evaluacion!AZ15)/2)*N8</f>
        <v>1.9142787012405824</v>
      </c>
      <c r="P8" s="130">
        <f ca="1">Evaluacion!AY15*N8</f>
        <v>5.4018446595854188</v>
      </c>
      <c r="Q8" s="130">
        <f ca="1">O8</f>
        <v>1.9142787012405824</v>
      </c>
      <c r="R8" s="130">
        <f ca="1">Evaluacion!BA15*N8</f>
        <v>12.304611648963546</v>
      </c>
      <c r="S8" s="130">
        <f ca="1">((Evaluacion!BB15+Evaluacion!BD15)/2)*N8</f>
        <v>1.7086250603908328</v>
      </c>
      <c r="T8" s="130">
        <f ca="1">Evaluacion!BC15*N8</f>
        <v>4.9615410185789139</v>
      </c>
      <c r="U8" s="130">
        <f ca="1">S8</f>
        <v>1.7086250603908328</v>
      </c>
      <c r="V8" s="130">
        <v>0</v>
      </c>
      <c r="W8" s="130">
        <f>Evaluacion!T15*N8</f>
        <v>0.76724999999999988</v>
      </c>
      <c r="X8" s="130">
        <f>Evaluacion!U15*N8</f>
        <v>0.87299999999999978</v>
      </c>
    </row>
    <row r="9" spans="2:25" x14ac:dyDescent="0.25">
      <c r="B9" t="s">
        <v>251</v>
      </c>
      <c r="C9" t="str">
        <f>Evaluacion!A13</f>
        <v>Dusty Ware</v>
      </c>
      <c r="D9" s="57" t="str">
        <f>Evaluacion!D13</f>
        <v>POT</v>
      </c>
      <c r="E9" s="71">
        <f>Evaluacion!K13</f>
        <v>0</v>
      </c>
      <c r="F9" s="71">
        <f>Evaluacion!L13</f>
        <v>11.307692307692308</v>
      </c>
      <c r="G9" s="71">
        <f>Evaluacion!M13</f>
        <v>15</v>
      </c>
      <c r="H9" s="71">
        <f>Evaluacion!N13</f>
        <v>4</v>
      </c>
      <c r="I9" s="71">
        <f>Evaluacion!O13</f>
        <v>3</v>
      </c>
      <c r="J9" s="71">
        <f>Evaluacion!P13</f>
        <v>9</v>
      </c>
      <c r="K9" s="71">
        <f>Evaluacion!Q13</f>
        <v>18.25</v>
      </c>
      <c r="M9" t="s">
        <v>251</v>
      </c>
      <c r="N9" s="188">
        <v>0.82499999999999984</v>
      </c>
      <c r="O9" s="130">
        <v>0</v>
      </c>
      <c r="P9" s="130">
        <f ca="1">Evaluacion!BF13*N9</f>
        <v>3.8988224941518346</v>
      </c>
      <c r="Q9" s="130">
        <f ca="1">Evaluacion!BE13*N9</f>
        <v>3.2602222580407578</v>
      </c>
      <c r="R9" s="130">
        <f ca="1">Evaluacion!BG13*N9</f>
        <v>12.553956415897648</v>
      </c>
      <c r="S9" s="130">
        <v>0</v>
      </c>
      <c r="T9" s="130">
        <f ca="1">Evaluacion!BI13*N9</f>
        <v>1.0482696892523649</v>
      </c>
      <c r="U9" s="130">
        <f ca="1">Evaluacion!BH13*N9</f>
        <v>4.3404037499807151</v>
      </c>
      <c r="V9" s="130">
        <v>0</v>
      </c>
      <c r="W9" s="130">
        <f>Evaluacion!T13*N9</f>
        <v>0.82293749999999977</v>
      </c>
      <c r="X9" s="130">
        <f>Evaluacion!U13*N9</f>
        <v>0.82484134615384597</v>
      </c>
    </row>
    <row r="10" spans="2:25" x14ac:dyDescent="0.25">
      <c r="B10" t="s">
        <v>254</v>
      </c>
      <c r="C10" t="e">
        <f>#REF!</f>
        <v>#REF!</v>
      </c>
      <c r="D10" s="57" t="e">
        <f>#REF!</f>
        <v>#REF!</v>
      </c>
      <c r="E10" s="71" t="e">
        <f>#REF!</f>
        <v>#REF!</v>
      </c>
      <c r="F10" s="71" t="e">
        <f>#REF!</f>
        <v>#REF!</v>
      </c>
      <c r="G10" s="71" t="e">
        <f>#REF!</f>
        <v>#REF!</v>
      </c>
      <c r="H10" s="71" t="e">
        <f>#REF!</f>
        <v>#REF!</v>
      </c>
      <c r="I10" s="71" t="e">
        <f>#REF!</f>
        <v>#REF!</v>
      </c>
      <c r="J10" s="71" t="e">
        <f>#REF!</f>
        <v>#REF!</v>
      </c>
      <c r="K10" s="71" t="e">
        <f>#REF!</f>
        <v>#REF!</v>
      </c>
      <c r="M10" t="s">
        <v>254</v>
      </c>
      <c r="N10" s="188">
        <v>1</v>
      </c>
      <c r="O10" s="130" t="e">
        <f>#REF!</f>
        <v>#REF!</v>
      </c>
      <c r="P10" s="130" t="e">
        <f>#REF!</f>
        <v>#REF!</v>
      </c>
      <c r="Q10" s="130">
        <v>0</v>
      </c>
      <c r="R10" s="130" t="e">
        <f>#REF!</f>
        <v>#REF!</v>
      </c>
      <c r="S10" s="130" t="e">
        <f>#REF!</f>
        <v>#REF!</v>
      </c>
      <c r="T10" s="130" t="e">
        <f>#REF!</f>
        <v>#REF!</v>
      </c>
      <c r="U10" s="130">
        <v>0</v>
      </c>
      <c r="V10" s="130">
        <v>0</v>
      </c>
      <c r="W10" s="130" t="e">
        <f>#REF!*N10</f>
        <v>#REF!</v>
      </c>
      <c r="X10" s="130" t="e">
        <f>#REF!*N10</f>
        <v>#REF!</v>
      </c>
    </row>
    <row r="11" spans="2:25" x14ac:dyDescent="0.25">
      <c r="B11" t="s">
        <v>254</v>
      </c>
      <c r="C11" t="str">
        <f>Evaluacion!A10</f>
        <v>M.A. Balbinot</v>
      </c>
      <c r="D11" s="57" t="str">
        <f>Evaluacion!D10</f>
        <v>RAP</v>
      </c>
      <c r="E11" s="71">
        <f>Evaluacion!K10</f>
        <v>0</v>
      </c>
      <c r="F11" s="71">
        <f>Evaluacion!L10</f>
        <v>9.375</v>
      </c>
      <c r="G11" s="71">
        <f>Evaluacion!M10</f>
        <v>14</v>
      </c>
      <c r="H11" s="71">
        <f>Evaluacion!N10</f>
        <v>7</v>
      </c>
      <c r="I11" s="71">
        <f>Evaluacion!O10</f>
        <v>7.95</v>
      </c>
      <c r="J11" s="71">
        <f>Evaluacion!P10</f>
        <v>9.0625</v>
      </c>
      <c r="K11" s="71">
        <f>Evaluacion!Q10</f>
        <v>16</v>
      </c>
      <c r="M11" t="s">
        <v>254</v>
      </c>
      <c r="N11" s="188">
        <v>1</v>
      </c>
      <c r="O11" s="130">
        <v>0</v>
      </c>
      <c r="P11" s="130">
        <f ca="1">Evaluacion!BU10</f>
        <v>2.8702997535714756</v>
      </c>
      <c r="Q11" s="130">
        <f ca="1">Evaluacion!BT10</f>
        <v>3.3408406967799142</v>
      </c>
      <c r="R11" s="130">
        <f ca="1">Evaluacion!BV10</f>
        <v>7.456778228995991</v>
      </c>
      <c r="S11" s="130">
        <v>0</v>
      </c>
      <c r="T11" s="130">
        <f ca="1">Evaluacion!BX10</f>
        <v>1.2509613532055268</v>
      </c>
      <c r="U11" s="130">
        <f ca="1">Evaluacion!BW10</f>
        <v>10.63428412687375</v>
      </c>
      <c r="V11" s="130">
        <v>0</v>
      </c>
      <c r="W11" s="130">
        <f>Evaluacion!T10*N11</f>
        <v>0.93312500000000009</v>
      </c>
      <c r="X11" s="130">
        <f>Evaluacion!U10*N11</f>
        <v>0.85500000000000009</v>
      </c>
    </row>
    <row r="12" spans="2:25" x14ac:dyDescent="0.25">
      <c r="B12" t="s">
        <v>21</v>
      </c>
      <c r="C12" t="str">
        <f>Evaluacion!A18</f>
        <v>G. Piscaer</v>
      </c>
      <c r="D12" s="57" t="str">
        <f>Evaluacion!D18</f>
        <v>IMP</v>
      </c>
      <c r="E12" s="71">
        <f>Evaluacion!K18</f>
        <v>0</v>
      </c>
      <c r="F12" s="71">
        <f>Evaluacion!L18</f>
        <v>9.25</v>
      </c>
      <c r="G12" s="71">
        <f>Evaluacion!M18</f>
        <v>15</v>
      </c>
      <c r="H12" s="71">
        <f>Evaluacion!N18</f>
        <v>3</v>
      </c>
      <c r="I12" s="71">
        <f>Evaluacion!O18</f>
        <v>2</v>
      </c>
      <c r="J12" s="71">
        <f>Evaluacion!P18</f>
        <v>9.25</v>
      </c>
      <c r="K12" s="71">
        <f>Evaluacion!Q18</f>
        <v>18.666666666666668</v>
      </c>
      <c r="M12" t="s">
        <v>21</v>
      </c>
      <c r="N12" s="188">
        <v>0.94499999999999995</v>
      </c>
      <c r="O12" s="130">
        <v>0</v>
      </c>
      <c r="P12" s="130">
        <v>0</v>
      </c>
      <c r="Q12" s="130">
        <v>0</v>
      </c>
      <c r="R12" s="130">
        <f ca="1">N12*Evaluacion!CK18</f>
        <v>4.0805863904733872</v>
      </c>
      <c r="S12" s="130">
        <f ca="1">N12*Evaluacion!CH18</f>
        <v>4.5054362850596803</v>
      </c>
      <c r="T12" s="130">
        <f ca="1">N12*Evaluacion!CI18</f>
        <v>12.378376074232268</v>
      </c>
      <c r="U12" s="130">
        <f ca="1">S12</f>
        <v>4.5054362850596803</v>
      </c>
      <c r="V12" s="130">
        <v>0</v>
      </c>
      <c r="W12" s="130">
        <f>Evaluacion!T18*N12</f>
        <v>0.96626250000000014</v>
      </c>
      <c r="X12" s="130">
        <f>Evaluacion!U18*N12</f>
        <v>0.87885000000000002</v>
      </c>
    </row>
    <row r="13" spans="2:25" x14ac:dyDescent="0.25">
      <c r="B13" t="s">
        <v>123</v>
      </c>
      <c r="C13" t="str">
        <f>Evaluacion!A19</f>
        <v>M. Bondarewski</v>
      </c>
      <c r="D13" s="57" t="str">
        <f>Evaluacion!D19</f>
        <v>RAP</v>
      </c>
      <c r="E13" s="71">
        <f>Evaluacion!K19</f>
        <v>0</v>
      </c>
      <c r="F13" s="71">
        <f>Evaluacion!L19</f>
        <v>8</v>
      </c>
      <c r="G13" s="71">
        <f>Evaluacion!M19</f>
        <v>14.846153846153847</v>
      </c>
      <c r="H13" s="71">
        <f>Evaluacion!N19</f>
        <v>5</v>
      </c>
      <c r="I13" s="71">
        <f>Evaluacion!O19</f>
        <v>4</v>
      </c>
      <c r="J13" s="71">
        <f>Evaluacion!P19</f>
        <v>9.125</v>
      </c>
      <c r="K13" s="71">
        <f>Evaluacion!Q19</f>
        <v>20.166666666666668</v>
      </c>
      <c r="M13" t="s">
        <v>123</v>
      </c>
      <c r="N13" s="188">
        <f>1-0.055</f>
        <v>0.94499999999999995</v>
      </c>
      <c r="O13" s="130">
        <v>0</v>
      </c>
      <c r="P13" s="130">
        <v>0</v>
      </c>
      <c r="Q13" s="130">
        <v>0</v>
      </c>
      <c r="R13" s="130">
        <f ca="1">N13*Evaluacion!CD19</f>
        <v>6.5678461442826279</v>
      </c>
      <c r="S13" s="130">
        <f ca="1">N13*Evaluacion!CE19</f>
        <v>3.8393039127465394</v>
      </c>
      <c r="T13" s="130">
        <f ca="1">N13*Evaluacion!CF19</f>
        <v>9.4977329776921344</v>
      </c>
      <c r="U13" s="130">
        <f ca="1">S13</f>
        <v>3.8393039127465394</v>
      </c>
      <c r="V13" s="130">
        <v>0</v>
      </c>
      <c r="W13" s="130">
        <f>Evaluacion!T19*N13</f>
        <v>1.0028812499999999</v>
      </c>
      <c r="X13" s="130">
        <f>Evaluacion!U19*N13</f>
        <v>0.87412500000000004</v>
      </c>
    </row>
    <row r="14" spans="2:25" x14ac:dyDescent="0.25">
      <c r="N14" s="57"/>
      <c r="O14" s="189" t="e">
        <f t="shared" ref="O14:X14" ca="1" si="0">SUM(O3:O13)</f>
        <v>#REF!</v>
      </c>
      <c r="P14" s="189" t="e">
        <f t="shared" ca="1" si="0"/>
        <v>#REF!</v>
      </c>
      <c r="Q14" s="189">
        <f t="shared" ca="1" si="0"/>
        <v>33.906914142633319</v>
      </c>
      <c r="R14" s="189" t="e">
        <f t="shared" si="0"/>
        <v>#REF!</v>
      </c>
      <c r="S14" s="189" t="e">
        <f t="shared" si="0"/>
        <v>#REF!</v>
      </c>
      <c r="T14" s="189" t="e">
        <f t="shared" ca="1" si="0"/>
        <v>#REF!</v>
      </c>
      <c r="U14" s="189">
        <f t="shared" ca="1" si="0"/>
        <v>26.866609998422696</v>
      </c>
      <c r="V14" s="189" t="e">
        <f t="shared" si="0"/>
        <v>#REF!</v>
      </c>
      <c r="W14" s="189" t="e">
        <f t="shared" si="0"/>
        <v>#REF!</v>
      </c>
      <c r="X14" s="189" t="e">
        <f t="shared" si="0"/>
        <v>#REF!</v>
      </c>
    </row>
    <row r="15" spans="2:25" ht="15.75" x14ac:dyDescent="0.25">
      <c r="N15" t="s">
        <v>409</v>
      </c>
      <c r="O15" s="191" t="e">
        <f ca="1">O14*0.34</f>
        <v>#REF!</v>
      </c>
      <c r="P15" s="191" t="e">
        <f ca="1">P14*0.245</f>
        <v>#REF!</v>
      </c>
      <c r="Q15" s="191">
        <f ca="1">Q14*0.34</f>
        <v>11.528350808495329</v>
      </c>
      <c r="R15" s="191" t="e">
        <f>R14*0.125</f>
        <v>#REF!</v>
      </c>
      <c r="S15" s="191" t="e">
        <f>S14*0.25</f>
        <v>#REF!</v>
      </c>
      <c r="T15" s="191" t="e">
        <f ca="1">T14*0.19</f>
        <v>#REF!</v>
      </c>
      <c r="U15" s="191">
        <f ca="1">U14*0.25</f>
        <v>6.716652499605674</v>
      </c>
    </row>
    <row r="16" spans="2:25" ht="15.75" x14ac:dyDescent="0.25">
      <c r="N16" t="s">
        <v>410</v>
      </c>
      <c r="O16" s="196" t="e">
        <f ca="1">O15*1.2/1.05</f>
        <v>#REF!</v>
      </c>
      <c r="P16" s="196" t="e">
        <f ca="1">P15*1.2/1.05</f>
        <v>#REF!</v>
      </c>
      <c r="Q16" s="196">
        <f ca="1">Q15*1.2/1.05</f>
        <v>13.175258066851804</v>
      </c>
      <c r="R16" s="196" t="e">
        <f>R15</f>
        <v>#REF!</v>
      </c>
      <c r="S16" s="196" t="e">
        <f>S15*0.925/1.05</f>
        <v>#REF!</v>
      </c>
      <c r="T16" s="196" t="e">
        <f ca="1">T15*0.925/1.05</f>
        <v>#REF!</v>
      </c>
      <c r="U16" s="196">
        <f ca="1">U15*0.925/1.05</f>
        <v>5.9170510115573789</v>
      </c>
    </row>
    <row r="17" spans="14:21" ht="15.75" x14ac:dyDescent="0.25">
      <c r="N17" t="s">
        <v>411</v>
      </c>
      <c r="O17" s="196" t="e">
        <f ca="1">O15*0.925/1.05</f>
        <v>#REF!</v>
      </c>
      <c r="P17" s="196" t="e">
        <f ca="1">P15*0.925/1.05</f>
        <v>#REF!</v>
      </c>
      <c r="Q17" s="196">
        <f ca="1">Q15*0.925/1.05</f>
        <v>10.155928093198266</v>
      </c>
      <c r="R17" s="196" t="e">
        <f>R16</f>
        <v>#REF!</v>
      </c>
      <c r="S17" s="196" t="e">
        <f>S15*1.135/1.05</f>
        <v>#REF!</v>
      </c>
      <c r="T17" s="196" t="e">
        <f ca="1">T15*1.135/1.05</f>
        <v>#REF!</v>
      </c>
      <c r="U17" s="196">
        <f ca="1">U15*1.135/1.05</f>
        <v>7.2603815114785135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6" t="s">
        <v>83</v>
      </c>
      <c r="B1" s="146" t="s">
        <v>84</v>
      </c>
      <c r="C1" s="146" t="s">
        <v>186</v>
      </c>
      <c r="D1" s="146" t="s">
        <v>14</v>
      </c>
      <c r="E1" s="146" t="s">
        <v>37</v>
      </c>
      <c r="F1" s="146" t="s">
        <v>167</v>
      </c>
      <c r="G1" s="146" t="s">
        <v>30</v>
      </c>
      <c r="H1" s="146" t="s">
        <v>169</v>
      </c>
      <c r="I1" s="146" t="s">
        <v>170</v>
      </c>
      <c r="J1" s="146" t="s">
        <v>171</v>
      </c>
      <c r="L1" s="90">
        <v>541</v>
      </c>
      <c r="M1" s="57" t="s">
        <v>403</v>
      </c>
      <c r="N1" s="45" t="s">
        <v>262</v>
      </c>
      <c r="O1" s="45" t="s">
        <v>404</v>
      </c>
      <c r="P1" s="45" t="s">
        <v>262</v>
      </c>
      <c r="Q1" s="45" t="s">
        <v>28</v>
      </c>
      <c r="R1" s="45" t="s">
        <v>264</v>
      </c>
      <c r="S1" s="45" t="s">
        <v>265</v>
      </c>
      <c r="T1" s="45" t="s">
        <v>264</v>
      </c>
      <c r="U1" s="45" t="s">
        <v>259</v>
      </c>
      <c r="V1" s="45" t="s">
        <v>405</v>
      </c>
      <c r="W1" s="45" t="s">
        <v>406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1">
        <f>Evaluacion!K3</f>
        <v>3.95</v>
      </c>
      <c r="E2" s="71">
        <f>Evaluacion!L3</f>
        <v>0</v>
      </c>
      <c r="F2" s="71">
        <f>Evaluacion!M3</f>
        <v>0</v>
      </c>
      <c r="G2" s="71">
        <f>Evaluacion!N3</f>
        <v>0</v>
      </c>
      <c r="H2" s="71">
        <f>Evaluacion!O3</f>
        <v>0</v>
      </c>
      <c r="I2" s="71">
        <f>Evaluacion!P3</f>
        <v>0</v>
      </c>
      <c r="J2" s="71">
        <f>Evaluacion!Q3</f>
        <v>8</v>
      </c>
      <c r="L2" t="str">
        <f t="shared" ref="L2:L12" si="0">A2</f>
        <v>POR</v>
      </c>
      <c r="M2" s="188">
        <v>1</v>
      </c>
      <c r="N2" s="130">
        <f ca="1">Evaluacion!X3</f>
        <v>4.8820527030961838</v>
      </c>
      <c r="O2" s="130">
        <f ca="1">Evaluacion!Y3</f>
        <v>7.1530692894583883</v>
      </c>
      <c r="P2" s="130">
        <f ca="1">Evaluacion!Z3</f>
        <v>4.8820527030961838</v>
      </c>
      <c r="Q2" s="130">
        <v>0</v>
      </c>
      <c r="R2" s="130">
        <v>0</v>
      </c>
      <c r="S2" s="130">
        <v>0</v>
      </c>
      <c r="T2" s="130">
        <v>0</v>
      </c>
      <c r="U2" s="130">
        <v>0</v>
      </c>
      <c r="V2" s="130">
        <f>Evaluacion!T3</f>
        <v>0.24</v>
      </c>
      <c r="W2" s="130">
        <f>Evaluacion!U3</f>
        <v>0.24</v>
      </c>
      <c r="AA2" s="49"/>
    </row>
    <row r="3" spans="1:27" x14ac:dyDescent="0.25">
      <c r="A3" t="s">
        <v>407</v>
      </c>
      <c r="B3" t="str">
        <f>Evaluacion!A9</f>
        <v>E. Deus</v>
      </c>
      <c r="C3" t="str">
        <f>Evaluacion!D9</f>
        <v>IMP</v>
      </c>
      <c r="D3" s="71">
        <f>Evaluacion!K9</f>
        <v>0</v>
      </c>
      <c r="E3" s="71">
        <f>Evaluacion!L9</f>
        <v>14</v>
      </c>
      <c r="F3" s="71">
        <f>Evaluacion!M9</f>
        <v>9.125</v>
      </c>
      <c r="G3" s="71">
        <f>Evaluacion!N9</f>
        <v>1</v>
      </c>
      <c r="H3" s="71">
        <f>Evaluacion!O9</f>
        <v>6</v>
      </c>
      <c r="I3" s="71">
        <f>Evaluacion!P9</f>
        <v>6.4</v>
      </c>
      <c r="J3" s="71">
        <f>Evaluacion!Q9</f>
        <v>19.2</v>
      </c>
      <c r="L3" t="str">
        <f t="shared" si="0"/>
        <v>LATN</v>
      </c>
      <c r="M3" s="188">
        <v>1</v>
      </c>
      <c r="N3" s="130">
        <f ca="1">Evaluacion!AI9</f>
        <v>14.836653595750823</v>
      </c>
      <c r="O3" s="130">
        <f ca="1">Evaluacion!AJ9</f>
        <v>6.6764941180878701</v>
      </c>
      <c r="P3" s="130">
        <v>0</v>
      </c>
      <c r="Q3" s="130">
        <f ca="1">Evaluacion!AK9</f>
        <v>1.8790501635765078</v>
      </c>
      <c r="R3" s="130">
        <f ca="1">Evaluacion!AL9</f>
        <v>1.8385568633711773</v>
      </c>
      <c r="S3" s="130">
        <v>0</v>
      </c>
      <c r="T3" s="130">
        <v>0</v>
      </c>
      <c r="U3" s="130">
        <f>Evaluacion!R9</f>
        <v>3.625</v>
      </c>
      <c r="V3" s="130">
        <f>Evaluacion!T9</f>
        <v>0.89600000000000013</v>
      </c>
      <c r="W3" s="130">
        <f>Evaluacion!U9</f>
        <v>1.1359999999999999</v>
      </c>
      <c r="AA3" s="49"/>
    </row>
    <row r="4" spans="1:27" x14ac:dyDescent="0.25">
      <c r="A4" t="s">
        <v>412</v>
      </c>
      <c r="B4" t="str">
        <f>Evaluacion!A7</f>
        <v>S. Swärdborn</v>
      </c>
      <c r="C4" t="str">
        <f>Evaluacion!D7</f>
        <v>IMP</v>
      </c>
      <c r="D4" s="71">
        <f>Evaluacion!K7</f>
        <v>0</v>
      </c>
      <c r="E4" s="71">
        <f>Evaluacion!L7</f>
        <v>14.75</v>
      </c>
      <c r="F4" s="71">
        <f>Evaluacion!M7</f>
        <v>9.7142857142857135</v>
      </c>
      <c r="G4" s="71">
        <f>Evaluacion!N7</f>
        <v>1</v>
      </c>
      <c r="H4" s="71">
        <f>Evaluacion!O7</f>
        <v>3</v>
      </c>
      <c r="I4" s="71">
        <f>Evaluacion!P7</f>
        <v>7.833333333333333</v>
      </c>
      <c r="J4" s="71">
        <f>Evaluacion!Q7</f>
        <v>18.75</v>
      </c>
      <c r="L4" t="str">
        <f t="shared" si="0"/>
        <v>DCHL</v>
      </c>
      <c r="M4" s="188">
        <v>0.9</v>
      </c>
      <c r="N4" s="130">
        <f ca="1">M4*Evaluacion!AM7</f>
        <v>11.50506582023031</v>
      </c>
      <c r="O4" s="130">
        <f ca="1">M4*Evaluacion!AN7</f>
        <v>10.803165252948356</v>
      </c>
      <c r="P4" s="130">
        <v>0</v>
      </c>
      <c r="Q4" s="130">
        <f ca="1">M4*Evaluacion!AO7</f>
        <v>3.1494042333931858</v>
      </c>
      <c r="R4" s="130">
        <f ca="1">M4*Evaluacion!AP7</f>
        <v>1.3408078995044157</v>
      </c>
      <c r="S4" s="130">
        <v>0</v>
      </c>
      <c r="T4" s="130">
        <v>0</v>
      </c>
      <c r="U4" s="130">
        <f>Evaluacion!R7</f>
        <v>2.96875</v>
      </c>
      <c r="V4" s="130">
        <f>Evaluacion!T7*M4</f>
        <v>0.85875000000000001</v>
      </c>
      <c r="W4" s="130">
        <f>Evaluacion!U7*M4</f>
        <v>1.03725</v>
      </c>
      <c r="AA4" s="49"/>
    </row>
    <row r="5" spans="1:27" x14ac:dyDescent="0.25">
      <c r="A5" t="s">
        <v>121</v>
      </c>
      <c r="B5" t="e">
        <f>Evaluacion!A6</f>
        <v>#REF!</v>
      </c>
      <c r="C5" t="e">
        <f>Evaluacion!D6</f>
        <v>#REF!</v>
      </c>
      <c r="D5" s="71" t="e">
        <f>Evaluacion!K6</f>
        <v>#REF!</v>
      </c>
      <c r="E5" s="71" t="e">
        <f>Evaluacion!L6</f>
        <v>#REF!</v>
      </c>
      <c r="F5" s="71" t="e">
        <f>Evaluacion!M6</f>
        <v>#REF!</v>
      </c>
      <c r="G5" s="71" t="e">
        <f>Evaluacion!N6</f>
        <v>#REF!</v>
      </c>
      <c r="H5" s="71" t="e">
        <f>Evaluacion!O6</f>
        <v>#REF!</v>
      </c>
      <c r="I5" s="71" t="e">
        <f>Evaluacion!P6</f>
        <v>#REF!</v>
      </c>
      <c r="J5" s="71" t="e">
        <f>Evaluacion!Q6</f>
        <v>#REF!</v>
      </c>
      <c r="L5" t="str">
        <f t="shared" si="0"/>
        <v>DCN</v>
      </c>
      <c r="M5" s="188">
        <v>0.9</v>
      </c>
      <c r="N5" s="130" t="e">
        <f>M5*(Evaluacion!AA6+Evaluacion!AC6)/2</f>
        <v>#REF!</v>
      </c>
      <c r="O5" s="130" t="e">
        <f>M5*Evaluacion!AB6</f>
        <v>#REF!</v>
      </c>
      <c r="P5" s="130" t="e">
        <f>N5</f>
        <v>#REF!</v>
      </c>
      <c r="Q5" s="130" t="e">
        <f>M5*Evaluacion!AD6</f>
        <v>#REF!</v>
      </c>
      <c r="R5" s="130">
        <v>0</v>
      </c>
      <c r="S5" s="130">
        <f>0</f>
        <v>0</v>
      </c>
      <c r="T5" s="130">
        <v>0</v>
      </c>
      <c r="U5" s="130" t="e">
        <f>Evaluacion!R6</f>
        <v>#REF!</v>
      </c>
      <c r="V5" s="130" t="e">
        <f>Evaluacion!T6*M5</f>
        <v>#REF!</v>
      </c>
      <c r="W5" s="130" t="e">
        <f>Evaluacion!U6*M5</f>
        <v>#REF!</v>
      </c>
      <c r="AA5" s="49"/>
    </row>
    <row r="6" spans="1:27" x14ac:dyDescent="0.25">
      <c r="A6" t="s">
        <v>412</v>
      </c>
      <c r="B6" t="str">
        <f>Evaluacion!A5</f>
        <v>V. Gardner</v>
      </c>
      <c r="C6">
        <f>Evaluacion!D5</f>
        <v>0</v>
      </c>
      <c r="D6" s="71">
        <f>Evaluacion!K5</f>
        <v>0</v>
      </c>
      <c r="E6" s="71">
        <f>Evaluacion!L5</f>
        <v>15</v>
      </c>
      <c r="F6" s="71">
        <f>Evaluacion!M5</f>
        <v>8.125</v>
      </c>
      <c r="G6" s="71">
        <f>Evaluacion!N5</f>
        <v>3</v>
      </c>
      <c r="H6" s="71">
        <f>Evaluacion!O5</f>
        <v>5</v>
      </c>
      <c r="I6" s="71">
        <f>Evaluacion!P5</f>
        <v>7.333333333333333</v>
      </c>
      <c r="J6" s="71">
        <f>Evaluacion!Q5</f>
        <v>19</v>
      </c>
      <c r="L6" t="str">
        <f t="shared" si="0"/>
        <v>DCHL</v>
      </c>
      <c r="M6" s="188">
        <v>0.9</v>
      </c>
      <c r="N6" s="130">
        <v>0</v>
      </c>
      <c r="O6" s="130">
        <f ca="1">M6*Evaluacion!AN5</f>
        <v>10.913195294796113</v>
      </c>
      <c r="P6" s="130">
        <f ca="1">M6*Evaluacion!AM5</f>
        <v>11.622244706604901</v>
      </c>
      <c r="Q6" s="130">
        <f ca="1">M6*Evaluacion!AO5</f>
        <v>3.1753576472188576</v>
      </c>
      <c r="R6" s="130">
        <v>0</v>
      </c>
      <c r="S6" s="130">
        <v>0</v>
      </c>
      <c r="T6" s="130">
        <f ca="1">M6*Evaluacion!AP5</f>
        <v>1.458465882628927</v>
      </c>
      <c r="U6" s="130">
        <f>Evaluacion!R5</f>
        <v>3.5</v>
      </c>
      <c r="V6" s="130">
        <f>Evaluacion!T5*M6</f>
        <v>0.84300000000000008</v>
      </c>
      <c r="W6" s="130">
        <f>Evaluacion!U5*M6</f>
        <v>1.0529999999999999</v>
      </c>
      <c r="AA6" s="49"/>
    </row>
    <row r="7" spans="1:27" x14ac:dyDescent="0.25">
      <c r="A7" t="s">
        <v>407</v>
      </c>
      <c r="B7" t="e">
        <f>#REF!</f>
        <v>#REF!</v>
      </c>
      <c r="C7" t="e">
        <f>#REF!</f>
        <v>#REF!</v>
      </c>
      <c r="D7" s="71" t="e">
        <f>#REF!</f>
        <v>#REF!</v>
      </c>
      <c r="E7" s="71" t="e">
        <f>#REF!</f>
        <v>#REF!</v>
      </c>
      <c r="F7" s="71" t="e">
        <f>#REF!</f>
        <v>#REF!</v>
      </c>
      <c r="G7" s="71" t="e">
        <f>#REF!</f>
        <v>#REF!</v>
      </c>
      <c r="H7" s="71" t="e">
        <f>#REF!</f>
        <v>#REF!</v>
      </c>
      <c r="I7" s="71" t="e">
        <f>#REF!</f>
        <v>#REF!</v>
      </c>
      <c r="J7" s="71" t="e">
        <f>#REF!</f>
        <v>#REF!</v>
      </c>
      <c r="L7" t="str">
        <f t="shared" si="0"/>
        <v>LATN</v>
      </c>
      <c r="M7" s="188">
        <v>1</v>
      </c>
      <c r="N7" s="130">
        <v>0</v>
      </c>
      <c r="O7" s="130" t="e">
        <f>#REF!</f>
        <v>#REF!</v>
      </c>
      <c r="P7" s="130" t="e">
        <f>#REF!</f>
        <v>#REF!</v>
      </c>
      <c r="Q7" s="130" t="e">
        <f>#REF!</f>
        <v>#REF!</v>
      </c>
      <c r="R7" s="130">
        <v>0</v>
      </c>
      <c r="S7" s="130">
        <v>0</v>
      </c>
      <c r="T7" s="130" t="e">
        <f>#REF!</f>
        <v>#REF!</v>
      </c>
      <c r="U7" s="130" t="e">
        <f>#REF!</f>
        <v>#REF!</v>
      </c>
      <c r="V7" s="130" t="e">
        <f>#REF!</f>
        <v>#REF!</v>
      </c>
      <c r="W7" s="130" t="e">
        <f>#REF!</f>
        <v>#REF!</v>
      </c>
      <c r="AA7" s="49"/>
    </row>
    <row r="8" spans="1:27" x14ac:dyDescent="0.25">
      <c r="A8" t="s">
        <v>251</v>
      </c>
      <c r="B8" t="str">
        <f>Evaluacion!A13</f>
        <v>Dusty Ware</v>
      </c>
      <c r="C8" t="str">
        <f>Evaluacion!D13</f>
        <v>POT</v>
      </c>
      <c r="D8" s="71">
        <f>Evaluacion!K13</f>
        <v>0</v>
      </c>
      <c r="E8" s="71">
        <f>Evaluacion!L13</f>
        <v>11.307692307692308</v>
      </c>
      <c r="F8" s="71">
        <f>Evaluacion!M13</f>
        <v>15</v>
      </c>
      <c r="G8" s="71">
        <f>Evaluacion!N13</f>
        <v>4</v>
      </c>
      <c r="H8" s="71">
        <f>Evaluacion!O13</f>
        <v>3</v>
      </c>
      <c r="I8" s="71">
        <f>Evaluacion!P13</f>
        <v>9</v>
      </c>
      <c r="J8" s="71">
        <f>Evaluacion!Q13</f>
        <v>18.25</v>
      </c>
      <c r="L8" t="str">
        <f t="shared" si="0"/>
        <v>IHL</v>
      </c>
      <c r="M8" s="188">
        <f>1-0.065</f>
        <v>0.93500000000000005</v>
      </c>
      <c r="N8" s="130">
        <f ca="1">M8*Evaluacion!BE13</f>
        <v>3.6949185591128599</v>
      </c>
      <c r="O8" s="130">
        <f ca="1">M8*Evaluacion!BF13</f>
        <v>4.4186654933720799</v>
      </c>
      <c r="P8" s="130">
        <v>0</v>
      </c>
      <c r="Q8" s="130">
        <f ca="1">Evaluacion!BG13*M8</f>
        <v>14.227817271350672</v>
      </c>
      <c r="R8" s="130">
        <f ca="1">Evaluacion!BH13*M8</f>
        <v>4.9191242499781449</v>
      </c>
      <c r="S8" s="130">
        <f ca="1">Evaluacion!BI13*M8</f>
        <v>1.1880389811526804</v>
      </c>
      <c r="T8" s="130">
        <v>0</v>
      </c>
      <c r="U8" s="130">
        <v>0</v>
      </c>
      <c r="V8" s="130">
        <f>Evaluacion!T13*M8</f>
        <v>0.93266249999999995</v>
      </c>
      <c r="W8" s="130">
        <f>Evaluacion!U13*M8</f>
        <v>0.93482019230769231</v>
      </c>
      <c r="AA8" s="49"/>
    </row>
    <row r="9" spans="1:27" x14ac:dyDescent="0.25">
      <c r="A9" t="s">
        <v>251</v>
      </c>
      <c r="B9" t="str">
        <f>Evaluacion!A12</f>
        <v>R. Forsyth</v>
      </c>
      <c r="C9" t="str">
        <f>Evaluacion!D12</f>
        <v>POT</v>
      </c>
      <c r="D9" s="71">
        <f>Evaluacion!K12</f>
        <v>0</v>
      </c>
      <c r="E9" s="71">
        <f>Evaluacion!L12</f>
        <v>11.692307692307692</v>
      </c>
      <c r="F9" s="71">
        <f>Evaluacion!M12</f>
        <v>14.692307692307692</v>
      </c>
      <c r="G9" s="71">
        <f>Evaluacion!N12</f>
        <v>3</v>
      </c>
      <c r="H9" s="71">
        <f>Evaluacion!O12</f>
        <v>4</v>
      </c>
      <c r="I9" s="71">
        <f>Evaluacion!P12</f>
        <v>7.5</v>
      </c>
      <c r="J9" s="71">
        <f>Evaluacion!Q12</f>
        <v>19</v>
      </c>
      <c r="L9" t="str">
        <f t="shared" si="0"/>
        <v>IHL</v>
      </c>
      <c r="M9" s="188">
        <f>1-0.065</f>
        <v>0.93500000000000005</v>
      </c>
      <c r="N9" s="130">
        <v>0</v>
      </c>
      <c r="O9" s="130">
        <f ca="1">M9*Evaluacion!BF12</f>
        <v>4.5216196368796613</v>
      </c>
      <c r="P9" s="130">
        <f ca="1">M9*Evaluacion!BE12</f>
        <v>3.7810095239424757</v>
      </c>
      <c r="Q9" s="130">
        <f ca="1">Evaluacion!BG12*M9</f>
        <v>13.918178850836153</v>
      </c>
      <c r="R9" s="130">
        <v>0</v>
      </c>
      <c r="S9" s="130">
        <f ca="1">Evaluacion!BI12*M9</f>
        <v>1.3980053762917728</v>
      </c>
      <c r="T9" s="130">
        <f ca="1">Evaluacion!BH12*M9</f>
        <v>4.6202675913833442</v>
      </c>
      <c r="U9" s="130">
        <v>0</v>
      </c>
      <c r="V9" s="130">
        <f>Evaluacion!T12*M9</f>
        <v>0.883575</v>
      </c>
      <c r="W9" s="130">
        <f>Evaluacion!U12*M9</f>
        <v>0.97024230769230779</v>
      </c>
      <c r="AA9" s="49"/>
    </row>
    <row r="10" spans="1:27" x14ac:dyDescent="0.25">
      <c r="A10" t="s">
        <v>254</v>
      </c>
      <c r="B10" t="str">
        <f>Evaluacion!A10</f>
        <v>M.A. Balbinot</v>
      </c>
      <c r="C10" t="str">
        <f>Evaluacion!D10</f>
        <v>RAP</v>
      </c>
      <c r="D10" s="71">
        <f>Evaluacion!K10</f>
        <v>0</v>
      </c>
      <c r="E10" s="71">
        <f>Evaluacion!L10</f>
        <v>9.375</v>
      </c>
      <c r="F10" s="71">
        <f>Evaluacion!M10</f>
        <v>14</v>
      </c>
      <c r="G10" s="71">
        <f>Evaluacion!N10</f>
        <v>7</v>
      </c>
      <c r="H10" s="71">
        <f>Evaluacion!O10</f>
        <v>7.95</v>
      </c>
      <c r="I10" s="71">
        <f>Evaluacion!P10</f>
        <v>9.0625</v>
      </c>
      <c r="J10" s="71">
        <f>Evaluacion!Q10</f>
        <v>16</v>
      </c>
      <c r="L10" t="str">
        <f t="shared" si="0"/>
        <v>EXTN</v>
      </c>
      <c r="M10" s="188">
        <v>1</v>
      </c>
      <c r="N10" s="130">
        <f ca="1">Evaluacion!BT10</f>
        <v>3.3408406967799142</v>
      </c>
      <c r="O10" s="130">
        <f ca="1">Evaluacion!BU10</f>
        <v>2.8702997535714756</v>
      </c>
      <c r="P10" s="130">
        <v>0</v>
      </c>
      <c r="Q10" s="130">
        <f ca="1">Evaluacion!BV10</f>
        <v>7.456778228995991</v>
      </c>
      <c r="R10" s="130">
        <f ca="1">Evaluacion!BW10</f>
        <v>10.63428412687375</v>
      </c>
      <c r="S10" s="130">
        <f ca="1">Evaluacion!BX10</f>
        <v>1.2509613532055268</v>
      </c>
      <c r="T10" s="130">
        <v>0</v>
      </c>
      <c r="U10" s="130">
        <v>0</v>
      </c>
      <c r="V10" s="130">
        <f>Evaluacion!T10</f>
        <v>0.93312500000000009</v>
      </c>
      <c r="W10" s="130">
        <f>Evaluacion!U10</f>
        <v>0.85500000000000009</v>
      </c>
      <c r="AA10" s="49"/>
    </row>
    <row r="11" spans="1:27" x14ac:dyDescent="0.25">
      <c r="A11" t="s">
        <v>254</v>
      </c>
      <c r="B11" t="str">
        <f>Evaluacion!A11</f>
        <v>P. Tuderek</v>
      </c>
      <c r="C11" t="str">
        <f>Evaluacion!D11</f>
        <v>CAB</v>
      </c>
      <c r="D11" s="71">
        <f>Evaluacion!K11</f>
        <v>0</v>
      </c>
      <c r="E11" s="71">
        <f>Evaluacion!L11</f>
        <v>11.153846153846153</v>
      </c>
      <c r="F11" s="71">
        <f>Evaluacion!M11</f>
        <v>14.166666666666666</v>
      </c>
      <c r="G11" s="71">
        <f>Evaluacion!N11</f>
        <v>2</v>
      </c>
      <c r="H11" s="71">
        <f>Evaluacion!O11</f>
        <v>3</v>
      </c>
      <c r="I11" s="71">
        <f>Evaluacion!P11</f>
        <v>8</v>
      </c>
      <c r="J11" s="71">
        <f>Evaluacion!Q11</f>
        <v>20.166666666666668</v>
      </c>
      <c r="L11" t="str">
        <f t="shared" si="0"/>
        <v>EXTN</v>
      </c>
      <c r="M11" s="188">
        <v>1</v>
      </c>
      <c r="N11" s="130">
        <v>0</v>
      </c>
      <c r="O11" s="130">
        <f ca="1">Evaluacion!BU11</f>
        <v>3.240477023889766</v>
      </c>
      <c r="P11" s="130">
        <f ca="1">Evaluacion!BT11</f>
        <v>3.7717027655110389</v>
      </c>
      <c r="Q11" s="130">
        <f ca="1">Evaluacion!BV11</f>
        <v>7.4135261442753153</v>
      </c>
      <c r="R11" s="130">
        <v>0</v>
      </c>
      <c r="S11" s="130">
        <f ca="1">Evaluacion!BX11</f>
        <v>0.62034248378896673</v>
      </c>
      <c r="T11" s="130">
        <f ca="1">Evaluacion!BW11</f>
        <v>4.8164915044477281</v>
      </c>
      <c r="U11" s="130">
        <v>0</v>
      </c>
      <c r="V11" s="130">
        <f>Evaluacion!T11</f>
        <v>1.0050000000000001</v>
      </c>
      <c r="W11" s="130">
        <f>Evaluacion!U11</f>
        <v>1.0511538461538461</v>
      </c>
      <c r="AA11" s="49"/>
    </row>
    <row r="12" spans="1:27" x14ac:dyDescent="0.25">
      <c r="A12" t="s">
        <v>123</v>
      </c>
      <c r="B12" t="str">
        <f>Evaluacion!A19</f>
        <v>M. Bondarewski</v>
      </c>
      <c r="C12" t="str">
        <f>Evaluacion!D19</f>
        <v>RAP</v>
      </c>
      <c r="D12" s="71">
        <f>Evaluacion!K19</f>
        <v>0</v>
      </c>
      <c r="E12" s="71">
        <f>Evaluacion!L19</f>
        <v>8</v>
      </c>
      <c r="F12" s="71">
        <f>Evaluacion!M19</f>
        <v>14.846153846153847</v>
      </c>
      <c r="G12" s="71">
        <f>Evaluacion!N19</f>
        <v>5</v>
      </c>
      <c r="H12" s="71">
        <f>Evaluacion!O19</f>
        <v>4</v>
      </c>
      <c r="I12" s="71">
        <f>Evaluacion!P19</f>
        <v>9.125</v>
      </c>
      <c r="J12" s="71">
        <f>Evaluacion!Q19</f>
        <v>20.166666666666668</v>
      </c>
      <c r="L12" t="str">
        <f t="shared" si="0"/>
        <v>DD</v>
      </c>
      <c r="M12" s="188">
        <v>1</v>
      </c>
      <c r="N12" s="130">
        <v>0</v>
      </c>
      <c r="O12" s="130">
        <v>0</v>
      </c>
      <c r="P12" s="130">
        <v>0</v>
      </c>
      <c r="Q12" s="130">
        <f ca="1">M12*Evaluacion!CD19</f>
        <v>6.9501017399816174</v>
      </c>
      <c r="R12" s="130">
        <f ca="1">M12*Evaluacion!CE19</f>
        <v>4.0627554632238514</v>
      </c>
      <c r="S12" s="130">
        <f ca="1">M12*Evaluacion!CF19</f>
        <v>10.050511087504905</v>
      </c>
      <c r="T12" s="130">
        <f ca="1">R12</f>
        <v>4.0627554632238514</v>
      </c>
      <c r="U12" s="130">
        <v>0</v>
      </c>
      <c r="V12" s="130">
        <f>Evaluacion!T19*M12</f>
        <v>1.06125</v>
      </c>
      <c r="W12" s="130">
        <f>Evaluacion!U19*M12</f>
        <v>0.92500000000000004</v>
      </c>
      <c r="AA12" s="49"/>
    </row>
    <row r="13" spans="1:27" x14ac:dyDescent="0.25">
      <c r="M13" s="57"/>
      <c r="N13" s="189" t="e">
        <f t="shared" ref="N13:W13" ca="1" si="1">SUM(N2:N12)</f>
        <v>#REF!</v>
      </c>
      <c r="O13" s="189" t="e">
        <f t="shared" ca="1" si="1"/>
        <v>#REF!</v>
      </c>
      <c r="P13" s="189" t="e">
        <f t="shared" ca="1" si="1"/>
        <v>#REF!</v>
      </c>
      <c r="Q13" s="189" t="e">
        <f t="shared" ca="1" si="1"/>
        <v>#REF!</v>
      </c>
      <c r="R13" s="189">
        <f t="shared" ca="1" si="1"/>
        <v>22.79552860295134</v>
      </c>
      <c r="S13" s="189">
        <f t="shared" ca="1" si="1"/>
        <v>14.507859281943851</v>
      </c>
      <c r="T13" s="189" t="e">
        <f t="shared" ca="1" si="1"/>
        <v>#REF!</v>
      </c>
      <c r="U13" s="190" t="e">
        <f t="shared" si="1"/>
        <v>#REF!</v>
      </c>
      <c r="V13" s="190" t="e">
        <f t="shared" si="1"/>
        <v>#REF!</v>
      </c>
      <c r="W13" s="190" t="e">
        <f t="shared" si="1"/>
        <v>#REF!</v>
      </c>
    </row>
    <row r="14" spans="1:27" ht="15.75" x14ac:dyDescent="0.25">
      <c r="M14" t="s">
        <v>409</v>
      </c>
      <c r="N14" s="191" t="e">
        <f ca="1">N13*0.34</f>
        <v>#REF!</v>
      </c>
      <c r="O14" s="191" t="e">
        <f ca="1">O13*0.245</f>
        <v>#REF!</v>
      </c>
      <c r="P14" s="191" t="e">
        <f ca="1">P13*0.34</f>
        <v>#REF!</v>
      </c>
      <c r="Q14" s="191" t="e">
        <f ca="1">Q13*0.125</f>
        <v>#REF!</v>
      </c>
      <c r="R14" s="191">
        <f ca="1">R13*0.25</f>
        <v>5.6988821507378349</v>
      </c>
      <c r="S14" s="191">
        <f ca="1">S13*0.19</f>
        <v>2.7564932635693316</v>
      </c>
      <c r="T14" s="191" t="e">
        <f ca="1">T13*0.25</f>
        <v>#REF!</v>
      </c>
    </row>
    <row r="15" spans="1:27" ht="15.75" x14ac:dyDescent="0.25">
      <c r="M15" t="s">
        <v>410</v>
      </c>
      <c r="N15" s="196" t="e">
        <f ca="1">N14*1.2/1.05</f>
        <v>#REF!</v>
      </c>
      <c r="O15" s="196" t="e">
        <f ca="1">O14*1.2/1.05</f>
        <v>#REF!</v>
      </c>
      <c r="P15" s="196" t="e">
        <f ca="1">P14*1.2/1.05</f>
        <v>#REF!</v>
      </c>
      <c r="Q15" s="196" t="e">
        <f ca="1">Q14</f>
        <v>#REF!</v>
      </c>
      <c r="R15" s="196">
        <f ca="1">R14*0.925/1.05</f>
        <v>5.0204437994595219</v>
      </c>
      <c r="S15" s="196">
        <f ca="1">S14*0.925/1.05</f>
        <v>2.4283393036206018</v>
      </c>
      <c r="T15" s="196" t="e">
        <f ca="1">T14*0.925/1.05</f>
        <v>#REF!</v>
      </c>
    </row>
    <row r="16" spans="1:27" ht="15.75" x14ac:dyDescent="0.25">
      <c r="M16" t="s">
        <v>411</v>
      </c>
      <c r="N16" s="196" t="e">
        <f ca="1">N14*0.925/1.05</f>
        <v>#REF!</v>
      </c>
      <c r="O16" s="196" t="e">
        <f ca="1">O14*0.925/1.05</f>
        <v>#REF!</v>
      </c>
      <c r="P16" s="196" t="e">
        <f ca="1">P14*0.925/1.05</f>
        <v>#REF!</v>
      </c>
      <c r="Q16" s="196" t="e">
        <f ca="1">Q15</f>
        <v>#REF!</v>
      </c>
      <c r="R16" s="196">
        <f ca="1">R14*1.135/1.05</f>
        <v>6.1602202296070878</v>
      </c>
      <c r="S16" s="196">
        <f ca="1">S14*1.135/1.05</f>
        <v>2.9796379563344675</v>
      </c>
      <c r="T16" s="196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7" customWidth="1"/>
    <col min="13" max="13" width="8.28515625" style="57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413</v>
      </c>
      <c r="AA1" t="s">
        <v>414</v>
      </c>
      <c r="AD1" t="s">
        <v>415</v>
      </c>
    </row>
    <row r="2" spans="1:31" x14ac:dyDescent="0.25">
      <c r="B2" s="73">
        <v>44035</v>
      </c>
      <c r="X2" s="202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7">
        <v>1</v>
      </c>
      <c r="M3" s="79" t="s">
        <v>417</v>
      </c>
      <c r="N3" s="200" t="s">
        <v>14</v>
      </c>
      <c r="O3" s="199" t="s">
        <v>408</v>
      </c>
      <c r="P3" s="198" t="s">
        <v>419</v>
      </c>
      <c r="Q3" s="312" t="s">
        <v>486</v>
      </c>
      <c r="R3" s="198" t="s">
        <v>420</v>
      </c>
      <c r="S3" s="198" t="s">
        <v>122</v>
      </c>
      <c r="T3" s="198" t="s">
        <v>251</v>
      </c>
      <c r="U3" s="198" t="s">
        <v>421</v>
      </c>
      <c r="V3" s="199" t="s">
        <v>123</v>
      </c>
      <c r="W3" s="199" t="s">
        <v>21</v>
      </c>
      <c r="X3" s="200" t="s">
        <v>422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e">
        <f>PLANTILLA!#REF!</f>
        <v>#REF!</v>
      </c>
      <c r="B4" s="309" t="e">
        <f>PLANTILLA!#REF!</f>
        <v>#REF!</v>
      </c>
      <c r="C4" s="4" t="e">
        <f>PLANTILLA!#REF!</f>
        <v>#REF!</v>
      </c>
      <c r="D4" s="264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94">
        <f>1/10</f>
        <v>0.1</v>
      </c>
      <c r="M4" s="94">
        <f t="shared" ref="M4:M15" si="0">L4/6</f>
        <v>1.6666666666666666E-2</v>
      </c>
      <c r="N4" s="114"/>
      <c r="O4" s="114">
        <f>L4*(0.245*1+0.34*0.516+0.34*0.258)/(0.245+0.34)</f>
        <v>8.6864957264957285E-2</v>
      </c>
      <c r="P4" s="114">
        <f>L4*(0.245*0.708+0.34*0.754)/(0.245+0.34)</f>
        <v>7.3473504273504284E-2</v>
      </c>
      <c r="Q4" s="114">
        <f>L4*(0.245*0.479+0.34*1)/(0.245+0.34)</f>
        <v>7.8180341880341897E-2</v>
      </c>
      <c r="R4" s="114">
        <f>L4*(0.245*0.414+0.34*0.919)/(0.245+0.34)</f>
        <v>7.0750427350427358E-2</v>
      </c>
      <c r="S4" s="114"/>
      <c r="T4" s="114"/>
      <c r="U4" s="114"/>
      <c r="V4" s="114"/>
      <c r="W4" s="114"/>
      <c r="X4" s="114">
        <f t="shared" ref="X4:X25" si="1">MAX(N4:U4)</f>
        <v>8.6864957264957285E-2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PLANTILLA!A9</f>
        <v>#4</v>
      </c>
      <c r="B5" s="309" t="str">
        <f>PLANTILLA!D9</f>
        <v>E. Deus</v>
      </c>
      <c r="C5" s="4">
        <f>PLANTILLA!E9</f>
        <v>27</v>
      </c>
      <c r="D5" s="264">
        <f ca="1">PLANTILLA!F9</f>
        <v>89</v>
      </c>
      <c r="E5" s="48">
        <f>PLANTILLA!X9</f>
        <v>0</v>
      </c>
      <c r="F5" s="48">
        <f>PLANTILLA!Y9</f>
        <v>14</v>
      </c>
      <c r="G5" s="48">
        <f>PLANTILLA!Z9</f>
        <v>9.125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1/10</f>
        <v>0.1</v>
      </c>
      <c r="M5" s="94">
        <f t="shared" si="0"/>
        <v>1.6666666666666666E-2</v>
      </c>
      <c r="N5" s="114"/>
      <c r="O5" s="114">
        <f>L5*(0.245*1+0.34*0.516+0.34*0.258)/(0.245+0.34)</f>
        <v>8.6864957264957285E-2</v>
      </c>
      <c r="P5" s="114">
        <f>L5*(0.245*0.708+0.34*0.754)/(0.245+0.34)</f>
        <v>7.3473504273504284E-2</v>
      </c>
      <c r="Q5" s="114">
        <f>L5*(0.245*0.479+0.34*1)/(0.245+0.34)</f>
        <v>7.8180341880341897E-2</v>
      </c>
      <c r="R5" s="114">
        <f>L5*(0.245*0.414+0.34*0.919)/(0.245+0.34)</f>
        <v>7.0750427350427358E-2</v>
      </c>
      <c r="S5" s="114"/>
      <c r="T5" s="114"/>
      <c r="U5" s="114"/>
      <c r="V5" s="114"/>
      <c r="W5" s="114"/>
      <c r="X5" s="114">
        <f t="shared" si="1"/>
        <v>8.6864957264957285E-2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PLANTILLA!A5</f>
        <v>#1</v>
      </c>
      <c r="B6" s="309" t="str">
        <f>PLANTILLA!D5</f>
        <v>L. Guangwei</v>
      </c>
      <c r="C6" s="4">
        <f>PLANTILLA!E5</f>
        <v>29</v>
      </c>
      <c r="D6" s="264">
        <f ca="1">PLANTILLA!F5</f>
        <v>9</v>
      </c>
      <c r="E6" s="48">
        <f>PLANTILLA!X5</f>
        <v>15</v>
      </c>
      <c r="F6" s="48">
        <f>PLANTILLA!Y5</f>
        <v>9.2222222222222214</v>
      </c>
      <c r="G6" s="48">
        <f>PLANTILLA!Z5</f>
        <v>3</v>
      </c>
      <c r="H6" s="48">
        <f>PLANTILLA!AA5</f>
        <v>1</v>
      </c>
      <c r="I6" s="48">
        <f>PLANTILLA!AB5</f>
        <v>5</v>
      </c>
      <c r="J6" s="48">
        <f>PLANTILLA!AC5</f>
        <v>5.5</v>
      </c>
      <c r="K6" s="48">
        <f>PLANTILLA!AD5</f>
        <v>22</v>
      </c>
      <c r="L6" s="94">
        <f>1/4</f>
        <v>0.25</v>
      </c>
      <c r="M6" s="94">
        <f t="shared" si="0"/>
        <v>4.1666666666666664E-2</v>
      </c>
      <c r="N6" s="114">
        <f>L6*(0.245*0.425+0.34*0.276)/(0.245+0.34)</f>
        <v>8.460042735042736E-2</v>
      </c>
      <c r="O6" s="114"/>
      <c r="P6" s="114"/>
      <c r="Q6" s="114"/>
      <c r="R6" s="114"/>
      <c r="S6" s="114"/>
      <c r="T6" s="114"/>
      <c r="U6" s="114"/>
      <c r="V6" s="114"/>
      <c r="W6" s="114"/>
      <c r="X6" s="114">
        <f t="shared" si="1"/>
        <v>8.460042735042736E-2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PLANTILLA!A7</f>
        <v>#2</v>
      </c>
      <c r="B7" s="309" t="str">
        <f>PLANTILLA!D7</f>
        <v>S. Swärdborn</v>
      </c>
      <c r="C7" s="4">
        <f>PLANTILLA!E7</f>
        <v>27</v>
      </c>
      <c r="D7" s="264">
        <f ca="1">PLANTILLA!F7</f>
        <v>38</v>
      </c>
      <c r="E7" s="48">
        <f>PLANTILLA!X7</f>
        <v>0</v>
      </c>
      <c r="F7" s="48">
        <f>PLANTILLA!Y7</f>
        <v>14.75</v>
      </c>
      <c r="G7" s="48">
        <f>PLANTILLA!Z7</f>
        <v>9.7142857142857135</v>
      </c>
      <c r="H7" s="48">
        <f>PLANTILLA!AA7</f>
        <v>1</v>
      </c>
      <c r="I7" s="48">
        <f>PLANTILLA!AB7</f>
        <v>3</v>
      </c>
      <c r="J7" s="48">
        <f>PLANTILLA!AC7</f>
        <v>7.833333333333333</v>
      </c>
      <c r="K7" s="48">
        <f>PLANTILLA!AD7</f>
        <v>18.75</v>
      </c>
      <c r="L7" s="94">
        <f>1/11</f>
        <v>9.0909090909090912E-2</v>
      </c>
      <c r="M7" s="94">
        <f t="shared" si="0"/>
        <v>1.5151515151515152E-2</v>
      </c>
      <c r="N7" s="114"/>
      <c r="O7" s="114">
        <f>L7*(0.245*1+0.34*0.516+0.34*0.258)/(0.245+0.34)</f>
        <v>7.8968142968142974E-2</v>
      </c>
      <c r="P7" s="114">
        <f>L7*(0.245*0.708+0.34*0.754)/(0.245+0.34)</f>
        <v>6.6794094794094788E-2</v>
      </c>
      <c r="Q7" s="114">
        <f>L7*(0.245*0.479+0.34*1)/(0.245+0.34)</f>
        <v>7.1073038073038081E-2</v>
      </c>
      <c r="R7" s="114">
        <f>L7*(0.245*0.414+0.34*0.919)/(0.245+0.34)</f>
        <v>6.4318570318570328E-2</v>
      </c>
      <c r="S7" s="114"/>
      <c r="T7" s="114"/>
      <c r="U7" s="114"/>
      <c r="V7" s="114"/>
      <c r="W7" s="114"/>
      <c r="X7" s="114">
        <f t="shared" si="1"/>
        <v>7.8968142968142974E-2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PLANTILLA!A8</f>
        <v>#19</v>
      </c>
      <c r="B8" s="309" t="str">
        <f>PLANTILLA!D8</f>
        <v>A. Grimaud</v>
      </c>
      <c r="C8" s="4">
        <f>PLANTILLA!E8</f>
        <v>27</v>
      </c>
      <c r="D8" s="264">
        <f ca="1">PLANTILLA!F8</f>
        <v>61</v>
      </c>
      <c r="E8" s="48">
        <f>PLANTILLA!X8</f>
        <v>0</v>
      </c>
      <c r="F8" s="48">
        <f>PLANTILLA!Y8</f>
        <v>14.85</v>
      </c>
      <c r="G8" s="48">
        <f>PLANTILLA!Z8</f>
        <v>9.875</v>
      </c>
      <c r="H8" s="48">
        <f>PLANTILLA!AA8</f>
        <v>3</v>
      </c>
      <c r="I8" s="48">
        <f>PLANTILLA!AB8</f>
        <v>3</v>
      </c>
      <c r="J8" s="48">
        <f>PLANTILLA!AC8</f>
        <v>7.1428571428571432</v>
      </c>
      <c r="K8" s="48">
        <f>PLANTILLA!AD8</f>
        <v>18.2</v>
      </c>
      <c r="L8" s="94">
        <f>1/11</f>
        <v>9.0909090909090912E-2</v>
      </c>
      <c r="M8" s="94">
        <f t="shared" si="0"/>
        <v>1.5151515151515152E-2</v>
      </c>
      <c r="N8" s="114"/>
      <c r="O8" s="114">
        <f>L8*(0.245*1+0.34*0.516+0.34*0.258)/(0.245+0.34)</f>
        <v>7.8968142968142974E-2</v>
      </c>
      <c r="P8" s="114">
        <f>L8*(0.245*0.708+0.34*0.754)/(0.245+0.34)</f>
        <v>6.6794094794094788E-2</v>
      </c>
      <c r="Q8" s="114">
        <f>L8*(0.245*0.479+0.34*1)/(0.245+0.34)</f>
        <v>7.1073038073038081E-2</v>
      </c>
      <c r="R8" s="114">
        <f>L8*(0.245*0.414+0.34*0.919)/(0.245+0.34)</f>
        <v>6.4318570318570328E-2</v>
      </c>
      <c r="S8" s="114"/>
      <c r="T8" s="114"/>
      <c r="U8" s="114"/>
      <c r="V8" s="114"/>
      <c r="W8" s="114"/>
      <c r="X8" s="114">
        <f t="shared" si="1"/>
        <v>7.8968142968142974E-2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str">
        <f>PLANTILLA!A6</f>
        <v>#22</v>
      </c>
      <c r="B9" s="309" t="str">
        <f>PLANTILLA!D6</f>
        <v>V. Gardner</v>
      </c>
      <c r="C9" s="4">
        <f>PLANTILLA!E6</f>
        <v>27</v>
      </c>
      <c r="D9" s="264">
        <f ca="1">PLANTILLA!F6</f>
        <v>50</v>
      </c>
      <c r="E9" s="48">
        <f>PLANTILLA!X6</f>
        <v>0</v>
      </c>
      <c r="F9" s="48">
        <f>PLANTILLA!Y6</f>
        <v>15</v>
      </c>
      <c r="G9" s="48">
        <f>PLANTILLA!Z6</f>
        <v>8.125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4">
        <f>1/11</f>
        <v>9.0909090909090912E-2</v>
      </c>
      <c r="M9" s="94">
        <f t="shared" si="0"/>
        <v>1.5151515151515152E-2</v>
      </c>
      <c r="N9" s="114"/>
      <c r="O9" s="114">
        <f>L9*(0.245*1+0.34*0.516+0.34*0.258)/(0.245+0.34)</f>
        <v>7.8968142968142974E-2</v>
      </c>
      <c r="P9" s="114">
        <f>L9*(0.245*0.708+0.34*0.754)/(0.245+0.34)</f>
        <v>6.6794094794094788E-2</v>
      </c>
      <c r="Q9" s="114">
        <f>L9*(0.245*0.479+0.34*1)/(0.245+0.34)</f>
        <v>7.1073038073038081E-2</v>
      </c>
      <c r="R9" s="114">
        <f>L9*(0.245*0.414+0.34*0.919)/(0.245+0.34)</f>
        <v>6.4318570318570328E-2</v>
      </c>
      <c r="S9" s="114"/>
      <c r="T9" s="114"/>
      <c r="U9" s="114"/>
      <c r="V9" s="114"/>
      <c r="W9" s="114"/>
      <c r="X9" s="114">
        <f t="shared" si="1"/>
        <v>7.8968142968142974E-2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PLANTILLA!A17</f>
        <v>#8</v>
      </c>
      <c r="B10" s="311" t="str">
        <f>PLANTILLA!D17</f>
        <v>I. Stone</v>
      </c>
      <c r="C10" s="4">
        <f>PLANTILLA!E17</f>
        <v>27</v>
      </c>
      <c r="D10" s="264">
        <f ca="1">PLANTILLA!F17</f>
        <v>92</v>
      </c>
      <c r="E10" s="48">
        <f>PLANTILLA!X17</f>
        <v>0</v>
      </c>
      <c r="F10" s="48">
        <f>PLANTILLA!Y17</f>
        <v>8.1666666666666661</v>
      </c>
      <c r="G10" s="48">
        <f>PLANTILLA!Z17</f>
        <v>13.818181818181818</v>
      </c>
      <c r="H10" s="48">
        <f>PLANTILLA!AA17</f>
        <v>2</v>
      </c>
      <c r="I10" s="48">
        <f>PLANTILLA!AB17</f>
        <v>6</v>
      </c>
      <c r="J10" s="48">
        <f>PLANTILLA!AC17</f>
        <v>10</v>
      </c>
      <c r="K10" s="48">
        <f>PLANTILLA!AD17</f>
        <v>19</v>
      </c>
      <c r="L10" s="94">
        <f>1/3</f>
        <v>0.33333333333333331</v>
      </c>
      <c r="M10" s="94">
        <f t="shared" si="0"/>
        <v>5.5555555555555552E-2</v>
      </c>
      <c r="N10" s="114"/>
      <c r="O10" s="114"/>
      <c r="P10" s="114"/>
      <c r="Q10" s="114"/>
      <c r="R10" s="114"/>
      <c r="S10" s="114">
        <f t="shared" ref="S10:S15" si="2">L10*(0.245*0.4+0.34*0.189+0.34*0.095)</f>
        <v>6.4853333333333332E-2</v>
      </c>
      <c r="T10" s="114">
        <f t="shared" ref="T10:T15" si="3">L10*(0.245*0.348+0.34*0.291)</f>
        <v>6.1399999999999989E-2</v>
      </c>
      <c r="U10" s="114">
        <f t="shared" ref="U10:U15" si="4">L10*(0.245*0.201+0.34*0.349)</f>
        <v>5.5968333333333328E-2</v>
      </c>
      <c r="V10" s="114"/>
      <c r="W10" s="114"/>
      <c r="X10" s="114">
        <f t="shared" si="1"/>
        <v>6.4853333333333332E-2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PLANTILLA!A19</f>
        <v>#9</v>
      </c>
      <c r="B11" s="311" t="str">
        <f>PLANTILLA!D19</f>
        <v>M. Bondarewski</v>
      </c>
      <c r="C11" s="4">
        <f>PLANTILLA!E19</f>
        <v>28</v>
      </c>
      <c r="D11" s="264">
        <f ca="1">PLANTILLA!F19</f>
        <v>53</v>
      </c>
      <c r="E11" s="48">
        <f>PLANTILLA!X19</f>
        <v>0</v>
      </c>
      <c r="F11" s="48">
        <f>PLANTILLA!Y19</f>
        <v>8</v>
      </c>
      <c r="G11" s="48">
        <f>PLANTILLA!Z19</f>
        <v>14.846153846153847</v>
      </c>
      <c r="H11" s="48">
        <f>PLANTILLA!AA19</f>
        <v>5</v>
      </c>
      <c r="I11" s="48">
        <f>PLANTILLA!AB19</f>
        <v>4</v>
      </c>
      <c r="J11" s="48">
        <f>PLANTILLA!AC19</f>
        <v>9.125</v>
      </c>
      <c r="K11" s="48">
        <f>PLANTILLA!AD19</f>
        <v>20.166666666666668</v>
      </c>
      <c r="L11" s="94">
        <f>1/3</f>
        <v>0.33333333333333331</v>
      </c>
      <c r="M11" s="94">
        <f t="shared" si="0"/>
        <v>5.5555555555555552E-2</v>
      </c>
      <c r="N11" s="114"/>
      <c r="O11" s="114"/>
      <c r="P11" s="114"/>
      <c r="Q11" s="114"/>
      <c r="R11" s="114"/>
      <c r="S11" s="114">
        <f t="shared" si="2"/>
        <v>6.4853333333333332E-2</v>
      </c>
      <c r="T11" s="114">
        <f t="shared" si="3"/>
        <v>6.1399999999999989E-2</v>
      </c>
      <c r="U11" s="114">
        <f t="shared" si="4"/>
        <v>5.5968333333333328E-2</v>
      </c>
      <c r="V11" s="114"/>
      <c r="W11" s="114"/>
      <c r="X11" s="114">
        <f t="shared" si="1"/>
        <v>6.4853333333333332E-2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PLANTILLA!A16</f>
        <v>#16</v>
      </c>
      <c r="B12" s="310" t="str">
        <f>PLANTILLA!D16</f>
        <v>I. Vanags</v>
      </c>
      <c r="C12" s="4">
        <f>PLANTILLA!E16</f>
        <v>28</v>
      </c>
      <c r="D12" s="264">
        <f ca="1">PLANTILLA!F16</f>
        <v>37</v>
      </c>
      <c r="E12" s="48">
        <f>PLANTILLA!X16</f>
        <v>0</v>
      </c>
      <c r="F12" s="48">
        <f>PLANTILLA!Y16</f>
        <v>8.8571428571428577</v>
      </c>
      <c r="G12" s="48">
        <f>PLANTILLA!Z16</f>
        <v>15</v>
      </c>
      <c r="H12" s="48">
        <f>PLANTILLA!AA16</f>
        <v>3</v>
      </c>
      <c r="I12" s="48">
        <f>PLANTILLA!AB16</f>
        <v>4</v>
      </c>
      <c r="J12" s="48">
        <f>PLANTILLA!AC16</f>
        <v>8.2857142857142865</v>
      </c>
      <c r="K12" s="48">
        <f>PLANTILLA!AD16</f>
        <v>19.399999999999999</v>
      </c>
      <c r="L12" s="94">
        <f>1/4</f>
        <v>0.25</v>
      </c>
      <c r="M12" s="94">
        <f t="shared" si="0"/>
        <v>4.1666666666666664E-2</v>
      </c>
      <c r="N12" s="114"/>
      <c r="O12" s="114"/>
      <c r="P12" s="114"/>
      <c r="Q12" s="114"/>
      <c r="R12" s="114"/>
      <c r="S12" s="114">
        <f t="shared" si="2"/>
        <v>4.8640000000000003E-2</v>
      </c>
      <c r="T12" s="114">
        <f t="shared" si="3"/>
        <v>4.6049999999999994E-2</v>
      </c>
      <c r="U12" s="114">
        <f t="shared" si="4"/>
        <v>4.197625E-2</v>
      </c>
      <c r="V12" s="114"/>
      <c r="W12" s="114"/>
      <c r="X12" s="114">
        <f t="shared" si="1"/>
        <v>4.8640000000000003E-2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PLANTILLA!A18</f>
        <v>#14</v>
      </c>
      <c r="B13" s="310" t="str">
        <f>PLANTILLA!D18</f>
        <v>G. Piscaer</v>
      </c>
      <c r="C13" s="4">
        <f>PLANTILLA!E18</f>
        <v>28</v>
      </c>
      <c r="D13" s="264">
        <f ca="1">PLANTILLA!F18</f>
        <v>53</v>
      </c>
      <c r="E13" s="48">
        <f>PLANTILLA!X18</f>
        <v>0</v>
      </c>
      <c r="F13" s="48">
        <f>PLANTILLA!Y18</f>
        <v>9.25</v>
      </c>
      <c r="G13" s="48">
        <f>PLANTILLA!Z18</f>
        <v>15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4">
        <f>1/4</f>
        <v>0.25</v>
      </c>
      <c r="M13" s="94">
        <f t="shared" si="0"/>
        <v>4.1666666666666664E-2</v>
      </c>
      <c r="N13" s="114"/>
      <c r="O13" s="114"/>
      <c r="P13" s="114"/>
      <c r="Q13" s="114"/>
      <c r="R13" s="114"/>
      <c r="S13" s="114">
        <f t="shared" si="2"/>
        <v>4.8640000000000003E-2</v>
      </c>
      <c r="T13" s="114">
        <f t="shared" si="3"/>
        <v>4.6049999999999994E-2</v>
      </c>
      <c r="U13" s="114">
        <f t="shared" si="4"/>
        <v>4.197625E-2</v>
      </c>
      <c r="V13" s="114"/>
      <c r="W13" s="114"/>
      <c r="X13" s="114">
        <f t="shared" si="1"/>
        <v>4.8640000000000003E-2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str">
        <f>PLANTILLA!A14</f>
        <v>#12</v>
      </c>
      <c r="B14" s="310" t="str">
        <f>PLANTILLA!D14</f>
        <v>P. Tuderek</v>
      </c>
      <c r="C14" s="4">
        <f>PLANTILLA!E14</f>
        <v>28</v>
      </c>
      <c r="D14" s="264">
        <f ca="1">PLANTILLA!F14</f>
        <v>39</v>
      </c>
      <c r="E14" s="48">
        <f>PLANTILLA!X14</f>
        <v>0</v>
      </c>
      <c r="F14" s="48">
        <f>PLANTILLA!Y14</f>
        <v>11.153846153846153</v>
      </c>
      <c r="G14" s="48">
        <f>PLANTILLA!Z14</f>
        <v>14.166666666666666</v>
      </c>
      <c r="H14" s="48">
        <f>PLANTILLA!AA14</f>
        <v>2</v>
      </c>
      <c r="I14" s="48">
        <f>PLANTILLA!AB14</f>
        <v>3</v>
      </c>
      <c r="J14" s="48">
        <f>PLANTILLA!AC14</f>
        <v>8</v>
      </c>
      <c r="K14" s="48">
        <f>PLANTILLA!AD14</f>
        <v>20.166666666666668</v>
      </c>
      <c r="L14" s="94">
        <f>1/5</f>
        <v>0.2</v>
      </c>
      <c r="M14" s="94">
        <f t="shared" si="0"/>
        <v>3.3333333333333333E-2</v>
      </c>
      <c r="N14" s="114"/>
      <c r="O14" s="114"/>
      <c r="P14" s="114"/>
      <c r="Q14" s="114"/>
      <c r="R14" s="114"/>
      <c r="S14" s="114">
        <f t="shared" si="2"/>
        <v>3.8912000000000002E-2</v>
      </c>
      <c r="T14" s="114">
        <f t="shared" si="3"/>
        <v>3.6839999999999998E-2</v>
      </c>
      <c r="U14" s="114">
        <f t="shared" si="4"/>
        <v>3.3581E-2</v>
      </c>
      <c r="V14" s="114"/>
      <c r="W14" s="114"/>
      <c r="X14" s="114">
        <f t="shared" si="1"/>
        <v>3.8912000000000002E-2</v>
      </c>
    </row>
    <row r="15" spans="1:31" x14ac:dyDescent="0.25">
      <c r="A15" s="4" t="str">
        <f>PLANTILLA!A12</f>
        <v>#10</v>
      </c>
      <c r="B15" s="310" t="str">
        <f>PLANTILLA!D12</f>
        <v>R. Forsyth</v>
      </c>
      <c r="C15" s="4">
        <f>PLANTILLA!E12</f>
        <v>28</v>
      </c>
      <c r="D15" s="264">
        <f ca="1">PLANTILLA!F12</f>
        <v>94</v>
      </c>
      <c r="E15" s="48">
        <f>PLANTILLA!X12</f>
        <v>0</v>
      </c>
      <c r="F15" s="48">
        <f>PLANTILLA!Y12</f>
        <v>11.692307692307692</v>
      </c>
      <c r="G15" s="48">
        <f>PLANTILLA!Z12</f>
        <v>14.692307692307692</v>
      </c>
      <c r="H15" s="48">
        <f>PLANTILLA!AA12</f>
        <v>3</v>
      </c>
      <c r="I15" s="48">
        <f>PLANTILLA!AB12</f>
        <v>4</v>
      </c>
      <c r="J15" s="48">
        <f>PLANTILLA!AC12</f>
        <v>7.5</v>
      </c>
      <c r="K15" s="48">
        <f>PLANTILLA!AD12</f>
        <v>19</v>
      </c>
      <c r="L15" s="94">
        <f>1/6</f>
        <v>0.16666666666666666</v>
      </c>
      <c r="M15" s="94">
        <f t="shared" si="0"/>
        <v>2.7777777777777776E-2</v>
      </c>
      <c r="N15" s="114"/>
      <c r="O15" s="114"/>
      <c r="P15" s="114"/>
      <c r="Q15" s="114"/>
      <c r="R15" s="114"/>
      <c r="S15" s="114">
        <f t="shared" si="2"/>
        <v>3.2426666666666666E-2</v>
      </c>
      <c r="T15" s="114">
        <f t="shared" si="3"/>
        <v>3.0699999999999995E-2</v>
      </c>
      <c r="U15" s="114">
        <f t="shared" si="4"/>
        <v>2.7984166666666664E-2</v>
      </c>
      <c r="V15" s="114"/>
      <c r="W15" s="114"/>
      <c r="X15" s="114">
        <f t="shared" si="1"/>
        <v>3.2426666666666666E-2</v>
      </c>
    </row>
    <row r="16" spans="1:31" x14ac:dyDescent="0.25">
      <c r="A16" s="4" t="str">
        <f>PLANTILLA!A13</f>
        <v>#11</v>
      </c>
      <c r="B16" s="308" t="str">
        <f>PLANTILLA!D13</f>
        <v>Dusty Ware</v>
      </c>
      <c r="C16" s="4">
        <f>PLANTILLA!E13</f>
        <v>29</v>
      </c>
      <c r="D16" s="264">
        <f ca="1">PLANTILLA!F13</f>
        <v>76</v>
      </c>
      <c r="E16" s="48">
        <f>PLANTILLA!X13</f>
        <v>0</v>
      </c>
      <c r="F16" s="48">
        <f>PLANTILLA!Y13</f>
        <v>11.307692307692308</v>
      </c>
      <c r="G16" s="48">
        <f>PLANTILLA!Z13</f>
        <v>15</v>
      </c>
      <c r="H16" s="48">
        <f>PLANTILLA!AA13</f>
        <v>4</v>
      </c>
      <c r="I16" s="48">
        <f>PLANTILLA!AB13</f>
        <v>3</v>
      </c>
      <c r="J16" s="48">
        <f>PLANTILLA!AC13</f>
        <v>9</v>
      </c>
      <c r="K16" s="48">
        <f>PLANTILLA!AD13</f>
        <v>18.25</v>
      </c>
      <c r="L16" s="94"/>
      <c r="M16" s="9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1"/>
        <v>0</v>
      </c>
    </row>
    <row r="17" spans="1:24" x14ac:dyDescent="0.25">
      <c r="A17" s="4" t="str">
        <f>PLANTILLA!A4</f>
        <v>#69</v>
      </c>
      <c r="B17" s="308" t="str">
        <f>PLANTILLA!D4</f>
        <v>D. Gehmacher</v>
      </c>
      <c r="C17" s="4">
        <f>PLANTILLA!E4</f>
        <v>44</v>
      </c>
      <c r="D17" s="264">
        <f ca="1">PLANTILLA!F4</f>
        <v>82</v>
      </c>
      <c r="E17" s="48">
        <f>PLANTILLA!X4</f>
        <v>3.95</v>
      </c>
      <c r="F17" s="48">
        <f>PLANTILLA!Y4</f>
        <v>0</v>
      </c>
      <c r="G17" s="48">
        <f>PLANTILLA!Z4</f>
        <v>0</v>
      </c>
      <c r="H17" s="48">
        <f>PLANTILLA!AA4</f>
        <v>0</v>
      </c>
      <c r="I17" s="48">
        <f>PLANTILLA!AB4</f>
        <v>0</v>
      </c>
      <c r="J17" s="48">
        <f>PLANTILLA!AC4</f>
        <v>0</v>
      </c>
      <c r="K17" s="48">
        <f>PLANTILLA!AD4</f>
        <v>8</v>
      </c>
      <c r="L17" s="94"/>
      <c r="M17" s="9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1"/>
        <v>0</v>
      </c>
    </row>
    <row r="18" spans="1:24" x14ac:dyDescent="0.25">
      <c r="A18" s="4" t="str">
        <f>PLANTILLA!A15</f>
        <v>#17</v>
      </c>
      <c r="B18" s="308" t="str">
        <f>PLANTILLA!D15</f>
        <v>M.A. Balbinot</v>
      </c>
      <c r="C18" s="4">
        <f>PLANTILLA!E15</f>
        <v>32</v>
      </c>
      <c r="D18" s="264">
        <f ca="1">PLANTILLA!F15</f>
        <v>27</v>
      </c>
      <c r="E18" s="48">
        <f>PLANTILLA!X15</f>
        <v>0</v>
      </c>
      <c r="F18" s="48">
        <f>PLANTILLA!Y15</f>
        <v>9.375</v>
      </c>
      <c r="G18" s="48">
        <f>PLANTILLA!Z15</f>
        <v>14</v>
      </c>
      <c r="H18" s="48">
        <f>PLANTILLA!AA15</f>
        <v>7</v>
      </c>
      <c r="I18" s="48">
        <f>PLANTILLA!AB15</f>
        <v>7.95</v>
      </c>
      <c r="J18" s="48">
        <f>PLANTILLA!AC15</f>
        <v>9.0625</v>
      </c>
      <c r="K18" s="48">
        <f>PLANTILLA!AD15</f>
        <v>16</v>
      </c>
      <c r="L18" s="94"/>
      <c r="M18" s="9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1"/>
        <v>0</v>
      </c>
    </row>
    <row r="19" spans="1:24" x14ac:dyDescent="0.25">
      <c r="A19" s="4" t="e">
        <f>PLANTILLA!#REF!</f>
        <v>#REF!</v>
      </c>
      <c r="B19" s="308" t="e">
        <f>PLANTILLA!#REF!</f>
        <v>#REF!</v>
      </c>
      <c r="C19" s="4" t="e">
        <f>PLANTILLA!#REF!</f>
        <v>#REF!</v>
      </c>
      <c r="D19" s="264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4"/>
      <c r="M19" s="9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1"/>
        <v>0</v>
      </c>
    </row>
    <row r="20" spans="1:24" x14ac:dyDescent="0.25">
      <c r="A20" s="4" t="e">
        <f>PLANTILLA!#REF!</f>
        <v>#REF!</v>
      </c>
      <c r="B20" s="308" t="e">
        <f>PLANTILLA!#REF!</f>
        <v>#REF!</v>
      </c>
      <c r="C20" s="4" t="e">
        <f>PLANTILLA!#REF!</f>
        <v>#REF!</v>
      </c>
      <c r="D20" s="264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1"/>
        <v>0</v>
      </c>
    </row>
    <row r="21" spans="1:24" x14ac:dyDescent="0.25">
      <c r="A21" s="4" t="e">
        <f>PLANTILLA!#REF!</f>
        <v>#REF!</v>
      </c>
      <c r="B21" s="308" t="e">
        <f>PLANTILLA!#REF!</f>
        <v>#REF!</v>
      </c>
      <c r="C21" s="4" t="e">
        <f>PLANTILLA!#REF!</f>
        <v>#REF!</v>
      </c>
      <c r="D21" s="264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1"/>
        <v>0</v>
      </c>
    </row>
    <row r="22" spans="1:24" x14ac:dyDescent="0.25">
      <c r="A22" s="4" t="str">
        <f>PLANTILLA!A10</f>
        <v>#3</v>
      </c>
      <c r="B22" s="308" t="str">
        <f>PLANTILLA!D10</f>
        <v>K. Polyukhov</v>
      </c>
      <c r="C22" s="4">
        <f>PLANTILLA!E10</f>
        <v>30</v>
      </c>
      <c r="D22" s="264">
        <f ca="1">PLANTILLA!F10</f>
        <v>48</v>
      </c>
      <c r="E22" s="48">
        <f>PLANTILLA!X10</f>
        <v>0</v>
      </c>
      <c r="F22" s="48">
        <f>PLANTILLA!Y10</f>
        <v>14.454545454545455</v>
      </c>
      <c r="G22" s="48">
        <f>PLANTILLA!Z10</f>
        <v>13</v>
      </c>
      <c r="H22" s="48">
        <f>PLANTILLA!AA10</f>
        <v>1</v>
      </c>
      <c r="I22" s="48">
        <f>PLANTILLA!AB10</f>
        <v>9</v>
      </c>
      <c r="J22" s="48">
        <f>PLANTILLA!AC10</f>
        <v>9</v>
      </c>
      <c r="K22" s="48">
        <f>PLANTILLA!AD10</f>
        <v>16</v>
      </c>
      <c r="L22" s="94"/>
      <c r="M22" s="9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1"/>
        <v>0</v>
      </c>
    </row>
    <row r="23" spans="1:24" x14ac:dyDescent="0.25">
      <c r="A23" s="4" t="e">
        <f>PLANTILLA!#REF!</f>
        <v>#REF!</v>
      </c>
      <c r="B23" s="308" t="e">
        <f>PLANTILLA!#REF!</f>
        <v>#REF!</v>
      </c>
      <c r="C23" s="4" t="e">
        <f>PLANTILLA!#REF!</f>
        <v>#REF!</v>
      </c>
      <c r="D23" s="264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4"/>
      <c r="M23" s="9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>
        <f t="shared" si="1"/>
        <v>0</v>
      </c>
    </row>
    <row r="24" spans="1:24" x14ac:dyDescent="0.25">
      <c r="A24" s="4" t="e">
        <f>PLANTILLA!#REF!</f>
        <v>#REF!</v>
      </c>
      <c r="B24" s="308" t="e">
        <f>PLANTILLA!#REF!</f>
        <v>#REF!</v>
      </c>
      <c r="C24" s="4" t="e">
        <f>PLANTILLA!#REF!</f>
        <v>#REF!</v>
      </c>
      <c r="D24" s="264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4"/>
      <c r="M24" s="9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>
        <f t="shared" si="1"/>
        <v>0</v>
      </c>
    </row>
    <row r="25" spans="1:24" x14ac:dyDescent="0.25">
      <c r="A25" s="4" t="e">
        <f>PLANTILLA!#REF!</f>
        <v>#REF!</v>
      </c>
      <c r="B25" s="308" t="e">
        <f>PLANTILLA!#REF!</f>
        <v>#REF!</v>
      </c>
      <c r="C25" s="4" t="e">
        <f>PLANTILLA!#REF!</f>
        <v>#REF!</v>
      </c>
      <c r="D25" s="264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7" customWidth="1"/>
    <col min="14" max="14" width="8.28515625" style="57" customWidth="1"/>
    <col min="15" max="15" width="4.5703125" style="57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413</v>
      </c>
      <c r="AA1" t="s">
        <v>414</v>
      </c>
      <c r="AD1" t="s">
        <v>415</v>
      </c>
    </row>
    <row r="2" spans="1:31" x14ac:dyDescent="0.25">
      <c r="B2" s="73">
        <v>44035</v>
      </c>
      <c r="X2" s="202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7">
        <v>1</v>
      </c>
      <c r="M3" s="197">
        <v>0.5</v>
      </c>
      <c r="N3" s="79" t="s">
        <v>424</v>
      </c>
      <c r="O3" s="199" t="s">
        <v>14</v>
      </c>
      <c r="P3" s="199" t="s">
        <v>408</v>
      </c>
      <c r="Q3" s="199" t="s">
        <v>488</v>
      </c>
      <c r="R3" s="198" t="s">
        <v>419</v>
      </c>
      <c r="S3" s="198" t="s">
        <v>420</v>
      </c>
      <c r="T3" s="198" t="s">
        <v>122</v>
      </c>
      <c r="U3" s="198" t="s">
        <v>487</v>
      </c>
      <c r="V3" s="199" t="s">
        <v>123</v>
      </c>
      <c r="W3" s="201" t="s">
        <v>21</v>
      </c>
      <c r="X3" s="200" t="s">
        <v>422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PLANTILLA!A16</f>
        <v>#16</v>
      </c>
      <c r="B4" s="50" t="str">
        <f>PLANTILLA!D16</f>
        <v>I. Vanags</v>
      </c>
      <c r="C4" s="4">
        <f>PLANTILLA!E16</f>
        <v>28</v>
      </c>
      <c r="D4" s="264">
        <f ca="1">PLANTILLA!F16</f>
        <v>37</v>
      </c>
      <c r="E4" s="48">
        <f>PLANTILLA!X16</f>
        <v>0</v>
      </c>
      <c r="F4" s="48">
        <f>PLANTILLA!Y16</f>
        <v>8.8571428571428577</v>
      </c>
      <c r="G4" s="48">
        <f>PLANTILLA!Z16</f>
        <v>15</v>
      </c>
      <c r="H4" s="48">
        <f>PLANTILLA!AA16</f>
        <v>3</v>
      </c>
      <c r="I4" s="48">
        <f>PLANTILLA!AB16</f>
        <v>4</v>
      </c>
      <c r="J4" s="48">
        <f>PLANTILLA!AC16</f>
        <v>8.2857142857142865</v>
      </c>
      <c r="K4" s="48">
        <f>PLANTILLA!AD16</f>
        <v>19.399999999999999</v>
      </c>
      <c r="L4" s="94">
        <f>1/12.5</f>
        <v>0.08</v>
      </c>
      <c r="M4" s="94">
        <f t="shared" ref="M4:M14" si="0">L4*0.5</f>
        <v>0.04</v>
      </c>
      <c r="N4" s="94">
        <f t="shared" ref="N4:N14" si="1">L4*0.125</f>
        <v>0.01</v>
      </c>
      <c r="O4" s="114"/>
      <c r="P4" s="114"/>
      <c r="Q4" s="114"/>
      <c r="R4" s="114"/>
      <c r="S4" s="114"/>
      <c r="T4" s="114">
        <f t="shared" ref="T4:T9" si="2">L4*1</f>
        <v>0.08</v>
      </c>
      <c r="U4" s="114">
        <f>L4*0.631</f>
        <v>5.0480000000000004E-2</v>
      </c>
      <c r="V4" s="114"/>
      <c r="W4" s="114"/>
      <c r="X4" s="114">
        <f t="shared" ref="X4:X22" si="3">MAX(O4:W4)</f>
        <v>0.08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PLANTILLA!A17</f>
        <v>#8</v>
      </c>
      <c r="B5" s="50" t="str">
        <f>PLANTILLA!D17</f>
        <v>I. Stone</v>
      </c>
      <c r="C5" s="4">
        <f>PLANTILLA!E17</f>
        <v>27</v>
      </c>
      <c r="D5" s="264">
        <f ca="1">PLANTILLA!F17</f>
        <v>92</v>
      </c>
      <c r="E5" s="48">
        <f>PLANTILLA!X17</f>
        <v>0</v>
      </c>
      <c r="F5" s="48">
        <f>PLANTILLA!Y17</f>
        <v>8.1666666666666661</v>
      </c>
      <c r="G5" s="48">
        <f>PLANTILLA!Z17</f>
        <v>13.818181818181818</v>
      </c>
      <c r="H5" s="48">
        <f>PLANTILLA!AA17</f>
        <v>2</v>
      </c>
      <c r="I5" s="48">
        <f>PLANTILLA!AB17</f>
        <v>6</v>
      </c>
      <c r="J5" s="48">
        <f>PLANTILLA!AC17</f>
        <v>10</v>
      </c>
      <c r="K5" s="48">
        <f>PLANTILLA!AD17</f>
        <v>19</v>
      </c>
      <c r="L5" s="94">
        <f>1/11</f>
        <v>9.0909090909090912E-2</v>
      </c>
      <c r="M5" s="94">
        <f t="shared" si="0"/>
        <v>4.5454545454545456E-2</v>
      </c>
      <c r="N5" s="94">
        <f t="shared" si="1"/>
        <v>1.1363636363636364E-2</v>
      </c>
      <c r="O5" s="114"/>
      <c r="P5" s="114"/>
      <c r="Q5" s="114"/>
      <c r="R5" s="114"/>
      <c r="S5" s="114"/>
      <c r="T5" s="114">
        <f t="shared" si="2"/>
        <v>9.0909090909090912E-2</v>
      </c>
      <c r="U5" s="114">
        <f t="shared" ref="U5:U9" si="4">L5*0.631</f>
        <v>5.7363636363636367E-2</v>
      </c>
      <c r="V5" s="114"/>
      <c r="W5" s="114"/>
      <c r="X5" s="114">
        <f t="shared" si="3"/>
        <v>9.0909090909090912E-2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PLANTILLA!A14</f>
        <v>#12</v>
      </c>
      <c r="B6" s="50" t="str">
        <f>PLANTILLA!D14</f>
        <v>P. Tuderek</v>
      </c>
      <c r="C6" s="4">
        <f>PLANTILLA!E14</f>
        <v>28</v>
      </c>
      <c r="D6" s="264">
        <f ca="1">PLANTILLA!F14</f>
        <v>39</v>
      </c>
      <c r="E6" s="48">
        <f>PLANTILLA!X14</f>
        <v>0</v>
      </c>
      <c r="F6" s="48">
        <f>PLANTILLA!Y14</f>
        <v>11.153846153846153</v>
      </c>
      <c r="G6" s="48">
        <f>PLANTILLA!Z14</f>
        <v>14.166666666666666</v>
      </c>
      <c r="H6" s="48">
        <f>PLANTILLA!AA14</f>
        <v>2</v>
      </c>
      <c r="I6" s="48">
        <f>PLANTILLA!AB14</f>
        <v>3</v>
      </c>
      <c r="J6" s="48">
        <f>PLANTILLA!AC14</f>
        <v>8</v>
      </c>
      <c r="K6" s="48">
        <f>PLANTILLA!AD14</f>
        <v>20.166666666666668</v>
      </c>
      <c r="L6" s="94">
        <f>1/11</f>
        <v>9.0909090909090912E-2</v>
      </c>
      <c r="M6" s="94">
        <f t="shared" si="0"/>
        <v>4.5454545454545456E-2</v>
      </c>
      <c r="N6" s="94">
        <f t="shared" si="1"/>
        <v>1.1363636363636364E-2</v>
      </c>
      <c r="O6" s="114"/>
      <c r="P6" s="114"/>
      <c r="Q6" s="114"/>
      <c r="R6" s="114"/>
      <c r="S6" s="114"/>
      <c r="T6" s="114">
        <f t="shared" si="2"/>
        <v>9.0909090909090912E-2</v>
      </c>
      <c r="U6" s="114">
        <f t="shared" si="4"/>
        <v>5.7363636363636367E-2</v>
      </c>
      <c r="V6" s="114"/>
      <c r="W6" s="114"/>
      <c r="X6" s="114">
        <f t="shared" si="3"/>
        <v>9.0909090909090912E-2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PLANTILLA!A18</f>
        <v>#14</v>
      </c>
      <c r="B7" s="50" t="str">
        <f>PLANTILLA!D18</f>
        <v>G. Piscaer</v>
      </c>
      <c r="C7" s="4">
        <f>PLANTILLA!E18</f>
        <v>28</v>
      </c>
      <c r="D7" s="264">
        <f ca="1">PLANTILLA!F18</f>
        <v>53</v>
      </c>
      <c r="E7" s="48">
        <f>PLANTILLA!X18</f>
        <v>0</v>
      </c>
      <c r="F7" s="48">
        <f>PLANTILLA!Y18</f>
        <v>9.25</v>
      </c>
      <c r="G7" s="48">
        <f>PLANTILLA!Z18</f>
        <v>15</v>
      </c>
      <c r="H7" s="48">
        <f>PLANTILLA!AA18</f>
        <v>3</v>
      </c>
      <c r="I7" s="48">
        <f>PLANTILLA!AB18</f>
        <v>2</v>
      </c>
      <c r="J7" s="48">
        <f>PLANTILLA!AC18</f>
        <v>9.25</v>
      </c>
      <c r="K7" s="48">
        <f>PLANTILLA!AD18</f>
        <v>18.666666666666668</v>
      </c>
      <c r="L7" s="94">
        <f>1/13</f>
        <v>7.6923076923076927E-2</v>
      </c>
      <c r="M7" s="94">
        <f t="shared" si="0"/>
        <v>3.8461538461538464E-2</v>
      </c>
      <c r="N7" s="94">
        <f t="shared" si="1"/>
        <v>9.6153846153846159E-3</v>
      </c>
      <c r="O7" s="114"/>
      <c r="P7" s="114"/>
      <c r="Q7" s="114"/>
      <c r="R7" s="114"/>
      <c r="S7" s="114"/>
      <c r="T7" s="114">
        <f t="shared" si="2"/>
        <v>7.6923076923076927E-2</v>
      </c>
      <c r="U7" s="114">
        <f t="shared" si="4"/>
        <v>4.8538461538461544E-2</v>
      </c>
      <c r="V7" s="114"/>
      <c r="W7" s="114"/>
      <c r="X7" s="114">
        <f t="shared" si="3"/>
        <v>7.6923076923076927E-2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PLANTILLA!A19</f>
        <v>#9</v>
      </c>
      <c r="B8" s="50" t="str">
        <f>PLANTILLA!D19</f>
        <v>M. Bondarewski</v>
      </c>
      <c r="C8" s="4">
        <f>PLANTILLA!E19</f>
        <v>28</v>
      </c>
      <c r="D8" s="264">
        <f ca="1">PLANTILLA!F19</f>
        <v>53</v>
      </c>
      <c r="E8" s="48">
        <f>PLANTILLA!X19</f>
        <v>0</v>
      </c>
      <c r="F8" s="48">
        <f>PLANTILLA!Y19</f>
        <v>8</v>
      </c>
      <c r="G8" s="48">
        <f>PLANTILLA!Z19</f>
        <v>14.846153846153847</v>
      </c>
      <c r="H8" s="48">
        <f>PLANTILLA!AA19</f>
        <v>5</v>
      </c>
      <c r="I8" s="48">
        <f>PLANTILLA!AB19</f>
        <v>4</v>
      </c>
      <c r="J8" s="48">
        <f>PLANTILLA!AC19</f>
        <v>9.125</v>
      </c>
      <c r="K8" s="48">
        <f>PLANTILLA!AD19</f>
        <v>20.166666666666668</v>
      </c>
      <c r="L8" s="94">
        <f>1/13</f>
        <v>7.6923076923076927E-2</v>
      </c>
      <c r="M8" s="94">
        <f t="shared" si="0"/>
        <v>3.8461538461538464E-2</v>
      </c>
      <c r="N8" s="94">
        <f t="shared" si="1"/>
        <v>9.6153846153846159E-3</v>
      </c>
      <c r="O8" s="114"/>
      <c r="P8" s="114"/>
      <c r="Q8" s="114"/>
      <c r="R8" s="114"/>
      <c r="S8" s="114"/>
      <c r="T8" s="114">
        <f t="shared" si="2"/>
        <v>7.6923076923076927E-2</v>
      </c>
      <c r="U8" s="114">
        <f t="shared" si="4"/>
        <v>4.8538461538461544E-2</v>
      </c>
      <c r="V8" s="114"/>
      <c r="W8" s="114"/>
      <c r="X8" s="114">
        <f t="shared" si="3"/>
        <v>7.6923076923076927E-2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str">
        <f>PLANTILLA!A12</f>
        <v>#10</v>
      </c>
      <c r="B9" s="50" t="str">
        <f>PLANTILLA!D12</f>
        <v>R. Forsyth</v>
      </c>
      <c r="C9" s="4">
        <f>PLANTILLA!E12</f>
        <v>28</v>
      </c>
      <c r="D9" s="264">
        <f ca="1">PLANTILLA!F12</f>
        <v>94</v>
      </c>
      <c r="E9" s="48">
        <f>PLANTILLA!X12</f>
        <v>0</v>
      </c>
      <c r="F9" s="48">
        <f>PLANTILLA!Y12</f>
        <v>11.692307692307692</v>
      </c>
      <c r="G9" s="48">
        <f>PLANTILLA!Z12</f>
        <v>14.692307692307692</v>
      </c>
      <c r="H9" s="48">
        <f>PLANTILLA!AA12</f>
        <v>3</v>
      </c>
      <c r="I9" s="48">
        <f>PLANTILLA!AB12</f>
        <v>4</v>
      </c>
      <c r="J9" s="48">
        <f>PLANTILLA!AC12</f>
        <v>7.5</v>
      </c>
      <c r="K9" s="48">
        <f>PLANTILLA!AD12</f>
        <v>19</v>
      </c>
      <c r="L9" s="94">
        <f>1/13</f>
        <v>7.6923076923076927E-2</v>
      </c>
      <c r="M9" s="94">
        <f t="shared" si="0"/>
        <v>3.8461538461538464E-2</v>
      </c>
      <c r="N9" s="94">
        <f t="shared" si="1"/>
        <v>9.6153846153846159E-3</v>
      </c>
      <c r="O9" s="114"/>
      <c r="P9" s="114"/>
      <c r="Q9" s="114"/>
      <c r="R9" s="114"/>
      <c r="S9" s="114"/>
      <c r="T9" s="114">
        <f t="shared" si="2"/>
        <v>7.6923076923076927E-2</v>
      </c>
      <c r="U9" s="114">
        <f t="shared" si="4"/>
        <v>4.8538461538461544E-2</v>
      </c>
      <c r="V9" s="114"/>
      <c r="W9" s="114"/>
      <c r="X9" s="114">
        <f t="shared" si="3"/>
        <v>7.6923076923076927E-2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PLANTILLA!A7</f>
        <v>#2</v>
      </c>
      <c r="B10" s="50" t="str">
        <f>PLANTILLA!D7</f>
        <v>S. Swärdborn</v>
      </c>
      <c r="C10" s="4">
        <f>PLANTILLA!E7</f>
        <v>27</v>
      </c>
      <c r="D10" s="264">
        <f ca="1">PLANTILLA!F7</f>
        <v>38</v>
      </c>
      <c r="E10" s="48">
        <f>PLANTILLA!X7</f>
        <v>0</v>
      </c>
      <c r="F10" s="48">
        <f>PLANTILLA!Y7</f>
        <v>14.75</v>
      </c>
      <c r="G10" s="48">
        <f>PLANTILLA!Z7</f>
        <v>9.7142857142857135</v>
      </c>
      <c r="H10" s="48">
        <f>PLANTILLA!AA7</f>
        <v>1</v>
      </c>
      <c r="I10" s="48">
        <f>PLANTILLA!AB7</f>
        <v>3</v>
      </c>
      <c r="J10" s="48">
        <f>PLANTILLA!AC7</f>
        <v>7.833333333333333</v>
      </c>
      <c r="K10" s="48">
        <f>PLANTILLA!AD7</f>
        <v>18.75</v>
      </c>
      <c r="L10" s="94">
        <f>1/5.5</f>
        <v>0.18181818181818182</v>
      </c>
      <c r="M10" s="94">
        <f t="shared" si="0"/>
        <v>9.0909090909090912E-2</v>
      </c>
      <c r="N10" s="94">
        <f t="shared" si="1"/>
        <v>2.2727272727272728E-2</v>
      </c>
      <c r="O10" s="114"/>
      <c r="P10" s="114">
        <f>L10*0.236</f>
        <v>4.2909090909090911E-2</v>
      </c>
      <c r="Q10" s="114">
        <f>L10*0.363</f>
        <v>6.6000000000000003E-2</v>
      </c>
      <c r="R10" s="114">
        <f>L10*0.165</f>
        <v>3.0000000000000002E-2</v>
      </c>
      <c r="S10" s="114">
        <f>L10*0.167</f>
        <v>3.0363636363636367E-2</v>
      </c>
      <c r="T10" s="114"/>
      <c r="U10" s="114"/>
      <c r="V10" s="114"/>
      <c r="W10" s="114"/>
      <c r="X10" s="114">
        <f t="shared" si="3"/>
        <v>6.6000000000000003E-2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PLANTILLA!A8</f>
        <v>#19</v>
      </c>
      <c r="B11" s="50" t="str">
        <f>PLANTILLA!D8</f>
        <v>A. Grimaud</v>
      </c>
      <c r="C11" s="4">
        <f>PLANTILLA!E8</f>
        <v>27</v>
      </c>
      <c r="D11" s="264">
        <f ca="1">PLANTILLA!F8</f>
        <v>61</v>
      </c>
      <c r="E11" s="48">
        <f>PLANTILLA!X8</f>
        <v>0</v>
      </c>
      <c r="F11" s="48">
        <f>PLANTILLA!Y8</f>
        <v>14.85</v>
      </c>
      <c r="G11" s="48">
        <f>PLANTILLA!Z8</f>
        <v>9.875</v>
      </c>
      <c r="H11" s="48">
        <f>PLANTILLA!AA8</f>
        <v>3</v>
      </c>
      <c r="I11" s="48">
        <f>PLANTILLA!AB8</f>
        <v>3</v>
      </c>
      <c r="J11" s="48">
        <f>PLANTILLA!AC8</f>
        <v>7.1428571428571432</v>
      </c>
      <c r="K11" s="48">
        <f>PLANTILLA!AD8</f>
        <v>18.2</v>
      </c>
      <c r="L11" s="94">
        <f>1/5.5</f>
        <v>0.18181818181818182</v>
      </c>
      <c r="M11" s="94">
        <f t="shared" si="0"/>
        <v>9.0909090909090912E-2</v>
      </c>
      <c r="N11" s="94">
        <f t="shared" si="1"/>
        <v>2.2727272727272728E-2</v>
      </c>
      <c r="O11" s="114"/>
      <c r="P11" s="114">
        <f>L11*0.236</f>
        <v>4.2909090909090911E-2</v>
      </c>
      <c r="Q11" s="114">
        <f t="shared" ref="Q11:Q14" si="5">L11*0.363</f>
        <v>6.6000000000000003E-2</v>
      </c>
      <c r="R11" s="114">
        <f>L11*0.165</f>
        <v>3.0000000000000002E-2</v>
      </c>
      <c r="S11" s="114">
        <f>L11*0.167</f>
        <v>3.0363636363636367E-2</v>
      </c>
      <c r="T11" s="114"/>
      <c r="U11" s="114"/>
      <c r="V11" s="114"/>
      <c r="W11" s="114"/>
      <c r="X11" s="114">
        <f t="shared" si="3"/>
        <v>6.6000000000000003E-2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PLANTILLA!A9</f>
        <v>#4</v>
      </c>
      <c r="B12" s="50" t="str">
        <f>PLANTILLA!D9</f>
        <v>E. Deus</v>
      </c>
      <c r="C12" s="4">
        <f>PLANTILLA!E9</f>
        <v>27</v>
      </c>
      <c r="D12" s="264">
        <f ca="1">PLANTILLA!F9</f>
        <v>89</v>
      </c>
      <c r="E12" s="48">
        <f>PLANTILLA!X9</f>
        <v>0</v>
      </c>
      <c r="F12" s="48">
        <f>PLANTILLA!Y9</f>
        <v>14</v>
      </c>
      <c r="G12" s="48">
        <f>PLANTILLA!Z9</f>
        <v>9.125</v>
      </c>
      <c r="H12" s="48">
        <f>PLANTILLA!AA9</f>
        <v>1</v>
      </c>
      <c r="I12" s="48">
        <f>PLANTILLA!AB9</f>
        <v>6</v>
      </c>
      <c r="J12" s="48">
        <f>PLANTILLA!AC9</f>
        <v>6.4</v>
      </c>
      <c r="K12" s="48">
        <f>PLANTILLA!AD9</f>
        <v>19.2</v>
      </c>
      <c r="L12" s="94">
        <f>1/5.5</f>
        <v>0.18181818181818182</v>
      </c>
      <c r="M12" s="94">
        <f t="shared" si="0"/>
        <v>9.0909090909090912E-2</v>
      </c>
      <c r="N12" s="94">
        <f t="shared" si="1"/>
        <v>2.2727272727272728E-2</v>
      </c>
      <c r="O12" s="114"/>
      <c r="P12" s="114">
        <f>L12*0.236</f>
        <v>4.2909090909090911E-2</v>
      </c>
      <c r="Q12" s="114">
        <f t="shared" si="5"/>
        <v>6.6000000000000003E-2</v>
      </c>
      <c r="R12" s="114">
        <f>L12*0.165</f>
        <v>3.0000000000000002E-2</v>
      </c>
      <c r="S12" s="114">
        <f>L12*0.167</f>
        <v>3.0363636363636367E-2</v>
      </c>
      <c r="T12" s="114"/>
      <c r="U12" s="114"/>
      <c r="V12" s="114"/>
      <c r="W12" s="114"/>
      <c r="X12" s="114">
        <f t="shared" si="3"/>
        <v>6.6000000000000003E-2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PLANTILLA!A6</f>
        <v>#22</v>
      </c>
      <c r="B13" s="50" t="str">
        <f>PLANTILLA!D6</f>
        <v>V. Gardner</v>
      </c>
      <c r="C13" s="4">
        <f>PLANTILLA!E6</f>
        <v>27</v>
      </c>
      <c r="D13" s="264">
        <f ca="1">PLANTILLA!F6</f>
        <v>50</v>
      </c>
      <c r="E13" s="48">
        <f>PLANTILLA!X6</f>
        <v>0</v>
      </c>
      <c r="F13" s="48">
        <f>PLANTILLA!Y6</f>
        <v>15</v>
      </c>
      <c r="G13" s="48">
        <f>PLANTILLA!Z6</f>
        <v>8.125</v>
      </c>
      <c r="H13" s="48">
        <f>PLANTILLA!AA6</f>
        <v>3</v>
      </c>
      <c r="I13" s="48">
        <f>PLANTILLA!AB6</f>
        <v>5</v>
      </c>
      <c r="J13" s="48">
        <f>PLANTILLA!AC6</f>
        <v>7.333333333333333</v>
      </c>
      <c r="K13" s="48">
        <f>PLANTILLA!AD6</f>
        <v>19</v>
      </c>
      <c r="L13" s="94">
        <f>1/5.5</f>
        <v>0.18181818181818182</v>
      </c>
      <c r="M13" s="94">
        <f t="shared" si="0"/>
        <v>9.0909090909090912E-2</v>
      </c>
      <c r="N13" s="94">
        <f t="shared" si="1"/>
        <v>2.2727272727272728E-2</v>
      </c>
      <c r="O13" s="114"/>
      <c r="P13" s="114"/>
      <c r="Q13" s="114">
        <f>L13*0.363</f>
        <v>6.6000000000000003E-2</v>
      </c>
      <c r="R13" s="114">
        <f>L13*0.165</f>
        <v>3.0000000000000002E-2</v>
      </c>
      <c r="S13" s="114">
        <f>L13*0.167</f>
        <v>3.0363636363636367E-2</v>
      </c>
      <c r="T13" s="114"/>
      <c r="U13" s="114"/>
      <c r="V13" s="114"/>
      <c r="W13" s="114"/>
      <c r="X13" s="114">
        <f t="shared" si="3"/>
        <v>6.6000000000000003E-2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64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1/5.5</f>
        <v>0.18181818181818182</v>
      </c>
      <c r="M14" s="94">
        <f t="shared" si="0"/>
        <v>9.0909090909090912E-2</v>
      </c>
      <c r="N14" s="94">
        <f t="shared" si="1"/>
        <v>2.2727272727272728E-2</v>
      </c>
      <c r="O14" s="114"/>
      <c r="P14" s="114"/>
      <c r="Q14" s="114">
        <f t="shared" si="5"/>
        <v>6.6000000000000003E-2</v>
      </c>
      <c r="R14" s="114">
        <f>L14*0.165</f>
        <v>3.0000000000000002E-2</v>
      </c>
      <c r="S14" s="114">
        <f>L14*0.167</f>
        <v>3.0363636363636367E-2</v>
      </c>
      <c r="T14" s="114"/>
      <c r="U14" s="114"/>
      <c r="V14" s="114"/>
      <c r="W14" s="114"/>
      <c r="X14" s="114">
        <f t="shared" si="3"/>
        <v>6.6000000000000003E-2</v>
      </c>
    </row>
    <row r="15" spans="1:31" x14ac:dyDescent="0.25">
      <c r="A15" s="4" t="str">
        <f>PLANTILLA!A4</f>
        <v>#69</v>
      </c>
      <c r="B15" s="50" t="str">
        <f>PLANTILLA!D4</f>
        <v>D. Gehmacher</v>
      </c>
      <c r="C15" s="4">
        <f>PLANTILLA!E4</f>
        <v>44</v>
      </c>
      <c r="D15" s="264">
        <f ca="1">PLANTILLA!F4</f>
        <v>82</v>
      </c>
      <c r="E15" s="48">
        <f>PLANTILLA!X4</f>
        <v>3.95</v>
      </c>
      <c r="F15" s="48">
        <f>PLANTILLA!Y4</f>
        <v>0</v>
      </c>
      <c r="G15" s="48">
        <f>PLANTILLA!Z4</f>
        <v>0</v>
      </c>
      <c r="H15" s="48">
        <f>PLANTILLA!AA4</f>
        <v>0</v>
      </c>
      <c r="I15" s="48">
        <f>PLANTILLA!AB4</f>
        <v>0</v>
      </c>
      <c r="J15" s="48">
        <f>PLANTILLA!AC4</f>
        <v>0</v>
      </c>
      <c r="K15" s="48">
        <f>PLANTILLA!AD4</f>
        <v>8</v>
      </c>
      <c r="L15" s="94"/>
      <c r="M15" s="94"/>
      <c r="N15" s="94"/>
      <c r="O15" s="114"/>
      <c r="P15" s="114"/>
      <c r="Q15" s="114"/>
      <c r="R15" s="114"/>
      <c r="S15" s="114"/>
      <c r="T15" s="114"/>
      <c r="U15" s="114"/>
      <c r="V15" s="114"/>
      <c r="W15" s="114"/>
      <c r="X15" s="114">
        <f t="shared" si="3"/>
        <v>0</v>
      </c>
    </row>
    <row r="16" spans="1:31" x14ac:dyDescent="0.25">
      <c r="A16" s="4" t="str">
        <f>PLANTILLA!A5</f>
        <v>#1</v>
      </c>
      <c r="B16" s="50" t="str">
        <f>PLANTILLA!D5</f>
        <v>L. Guangwei</v>
      </c>
      <c r="C16" s="4">
        <f>PLANTILLA!E5</f>
        <v>29</v>
      </c>
      <c r="D16" s="264">
        <f ca="1">PLANTILLA!F5</f>
        <v>9</v>
      </c>
      <c r="E16" s="48">
        <f>PLANTILLA!X5</f>
        <v>15</v>
      </c>
      <c r="F16" s="48">
        <f>PLANTILLA!Y5</f>
        <v>9.2222222222222214</v>
      </c>
      <c r="G16" s="48">
        <f>PLANTILLA!Z5</f>
        <v>3</v>
      </c>
      <c r="H16" s="48">
        <f>PLANTILLA!AA5</f>
        <v>1</v>
      </c>
      <c r="I16" s="48">
        <f>PLANTILLA!AB5</f>
        <v>5</v>
      </c>
      <c r="J16" s="48">
        <f>PLANTILLA!AC5</f>
        <v>5.5</v>
      </c>
      <c r="K16" s="48">
        <f>PLANTILLA!AD5</f>
        <v>22</v>
      </c>
      <c r="L16" s="94"/>
      <c r="M16" s="94"/>
      <c r="N16" s="9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3"/>
        <v>0</v>
      </c>
    </row>
    <row r="17" spans="1:24" x14ac:dyDescent="0.25">
      <c r="A17" s="4" t="str">
        <f>PLANTILLA!A15</f>
        <v>#17</v>
      </c>
      <c r="B17" s="50" t="str">
        <f>PLANTILLA!D15</f>
        <v>M.A. Balbinot</v>
      </c>
      <c r="C17" s="4">
        <f>PLANTILLA!E15</f>
        <v>32</v>
      </c>
      <c r="D17" s="264">
        <f ca="1">PLANTILLA!F15</f>
        <v>27</v>
      </c>
      <c r="E17" s="48">
        <f>PLANTILLA!X15</f>
        <v>0</v>
      </c>
      <c r="F17" s="48">
        <f>PLANTILLA!Y15</f>
        <v>9.375</v>
      </c>
      <c r="G17" s="48">
        <f>PLANTILLA!Z15</f>
        <v>14</v>
      </c>
      <c r="H17" s="48">
        <f>PLANTILLA!AA15</f>
        <v>7</v>
      </c>
      <c r="I17" s="48">
        <f>PLANTILLA!AB15</f>
        <v>7.95</v>
      </c>
      <c r="J17" s="48">
        <f>PLANTILLA!AC15</f>
        <v>9.0625</v>
      </c>
      <c r="K17" s="48">
        <f>PLANTILLA!AD15</f>
        <v>16</v>
      </c>
      <c r="L17"/>
      <c r="M17" s="94"/>
      <c r="N17" s="9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64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4"/>
      <c r="M18" s="94"/>
      <c r="N18" s="9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3"/>
        <v>0</v>
      </c>
    </row>
    <row r="19" spans="1:24" x14ac:dyDescent="0.25">
      <c r="A19" s="4" t="str">
        <f>PLANTILLA!A10</f>
        <v>#3</v>
      </c>
      <c r="B19" s="50" t="str">
        <f>PLANTILLA!D10</f>
        <v>K. Polyukhov</v>
      </c>
      <c r="C19" s="4">
        <f>PLANTILLA!E10</f>
        <v>30</v>
      </c>
      <c r="D19" s="264">
        <f ca="1">PLANTILLA!F10</f>
        <v>48</v>
      </c>
      <c r="E19" s="48">
        <f>PLANTILLA!X10</f>
        <v>0</v>
      </c>
      <c r="F19" s="48">
        <f>PLANTILLA!Y10</f>
        <v>14.454545454545455</v>
      </c>
      <c r="G19" s="48">
        <f>PLANTILLA!Z10</f>
        <v>13</v>
      </c>
      <c r="H19" s="48">
        <f>PLANTILLA!AA10</f>
        <v>1</v>
      </c>
      <c r="I19" s="48">
        <f>PLANTILLA!AB10</f>
        <v>9</v>
      </c>
      <c r="J19" s="48">
        <f>PLANTILLA!AC10</f>
        <v>9</v>
      </c>
      <c r="K19" s="48">
        <f>PLANTILLA!AD10</f>
        <v>16</v>
      </c>
      <c r="L19" s="94"/>
      <c r="M19" s="94"/>
      <c r="N19" s="9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64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9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64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9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64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4"/>
      <c r="M22" s="94"/>
      <c r="N22" s="9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0"/>
  <sheetViews>
    <sheetView workbookViewId="0">
      <selection activeCell="A2" sqref="A2:C2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7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9" t="s">
        <v>0</v>
      </c>
      <c r="B1" s="549"/>
      <c r="C1" s="549"/>
      <c r="E1" s="550" t="s">
        <v>1</v>
      </c>
      <c r="F1" s="550"/>
      <c r="G1" s="550"/>
      <c r="H1" s="550"/>
    </row>
    <row r="2" spans="1:21" x14ac:dyDescent="0.25">
      <c r="A2" s="551">
        <v>44468</v>
      </c>
      <c r="B2" s="551"/>
      <c r="C2" s="551"/>
      <c r="E2" s="57" t="s">
        <v>2</v>
      </c>
      <c r="F2" s="2" t="s">
        <v>3</v>
      </c>
      <c r="G2" s="73">
        <v>43276</v>
      </c>
      <c r="H2" t="s">
        <v>4</v>
      </c>
    </row>
    <row r="3" spans="1:21" x14ac:dyDescent="0.25">
      <c r="E3" s="57" t="s">
        <v>5</v>
      </c>
      <c r="F3" s="145" t="s">
        <v>6</v>
      </c>
      <c r="G3" s="73">
        <v>43258</v>
      </c>
      <c r="H3" t="s">
        <v>7</v>
      </c>
    </row>
    <row r="4" spans="1:21" s="317" customFormat="1" ht="10.5" customHeight="1" x14ac:dyDescent="0.3"/>
    <row r="5" spans="1:21" s="317" customFormat="1" ht="18.75" x14ac:dyDescent="0.3">
      <c r="B5" s="548" t="s">
        <v>8</v>
      </c>
      <c r="C5" s="548"/>
      <c r="D5" s="318"/>
      <c r="G5" s="548" t="s">
        <v>9</v>
      </c>
      <c r="H5" s="548"/>
      <c r="I5" s="548"/>
      <c r="J5" s="319"/>
      <c r="K5" s="319"/>
      <c r="L5" s="548" t="s">
        <v>10</v>
      </c>
      <c r="M5" s="548"/>
      <c r="N5" s="318"/>
      <c r="O5" s="320" t="s">
        <v>11</v>
      </c>
      <c r="S5" s="548" t="s">
        <v>12</v>
      </c>
      <c r="T5" s="548"/>
    </row>
    <row r="6" spans="1:21" s="318" customFormat="1" x14ac:dyDescent="0.25">
      <c r="A6" s="318">
        <v>1</v>
      </c>
      <c r="B6" s="321">
        <v>124</v>
      </c>
      <c r="C6" s="322" t="s">
        <v>13</v>
      </c>
      <c r="D6" s="322" t="s">
        <v>14</v>
      </c>
      <c r="F6" s="323">
        <v>1</v>
      </c>
      <c r="G6" s="345">
        <v>436</v>
      </c>
      <c r="H6" s="341" t="s">
        <v>15</v>
      </c>
      <c r="I6" s="341" t="s">
        <v>16</v>
      </c>
      <c r="K6" s="323">
        <v>1</v>
      </c>
      <c r="L6" s="345">
        <v>283</v>
      </c>
      <c r="M6" s="341" t="s">
        <v>17</v>
      </c>
      <c r="N6" s="341" t="s">
        <v>18</v>
      </c>
      <c r="O6" s="364">
        <f>L6/G9</f>
        <v>0.80857142857142861</v>
      </c>
      <c r="P6" s="341"/>
      <c r="R6" s="318">
        <v>1</v>
      </c>
      <c r="S6" s="324" t="s">
        <v>19</v>
      </c>
      <c r="T6" s="325" t="s">
        <v>20</v>
      </c>
      <c r="U6" s="326" t="s">
        <v>21</v>
      </c>
    </row>
    <row r="7" spans="1:21" s="318" customFormat="1" x14ac:dyDescent="0.25">
      <c r="A7" s="318">
        <v>2</v>
      </c>
      <c r="B7" s="537">
        <v>75</v>
      </c>
      <c r="C7" s="330" t="s">
        <v>31</v>
      </c>
      <c r="D7" s="331" t="s">
        <v>14</v>
      </c>
      <c r="F7" s="323">
        <v>2</v>
      </c>
      <c r="G7" s="345">
        <v>419</v>
      </c>
      <c r="H7" s="341" t="s">
        <v>23</v>
      </c>
      <c r="I7" s="342" t="s">
        <v>24</v>
      </c>
      <c r="K7" s="323">
        <v>2</v>
      </c>
      <c r="L7" s="345">
        <v>132</v>
      </c>
      <c r="M7" s="341" t="s">
        <v>15</v>
      </c>
      <c r="N7" s="341" t="s">
        <v>16</v>
      </c>
      <c r="O7" s="364">
        <f>L7/G6</f>
        <v>0.30275229357798167</v>
      </c>
      <c r="P7" s="341"/>
      <c r="R7" s="318">
        <v>2</v>
      </c>
      <c r="S7" s="328" t="s">
        <v>25</v>
      </c>
      <c r="T7" s="322" t="s">
        <v>13</v>
      </c>
      <c r="U7" s="322" t="s">
        <v>14</v>
      </c>
    </row>
    <row r="8" spans="1:21" s="318" customFormat="1" x14ac:dyDescent="0.25">
      <c r="A8" s="318">
        <v>3</v>
      </c>
      <c r="B8" s="327">
        <v>66</v>
      </c>
      <c r="C8" s="325" t="s">
        <v>22</v>
      </c>
      <c r="D8" s="326" t="s">
        <v>14</v>
      </c>
      <c r="F8" s="323">
        <v>3</v>
      </c>
      <c r="G8" s="345">
        <v>364</v>
      </c>
      <c r="H8" s="341" t="s">
        <v>27</v>
      </c>
      <c r="I8" s="342" t="s">
        <v>28</v>
      </c>
      <c r="K8" s="323">
        <v>2</v>
      </c>
      <c r="L8" s="345">
        <v>132</v>
      </c>
      <c r="M8" s="341" t="s">
        <v>29</v>
      </c>
      <c r="N8" s="341" t="s">
        <v>30</v>
      </c>
      <c r="O8" s="364">
        <f>L8/G10</f>
        <v>0.38709677419354838</v>
      </c>
      <c r="P8" s="341"/>
      <c r="R8" s="318">
        <v>2</v>
      </c>
      <c r="S8" s="340" t="s">
        <v>25</v>
      </c>
      <c r="T8" s="341" t="s">
        <v>15</v>
      </c>
      <c r="U8" s="341" t="s">
        <v>16</v>
      </c>
    </row>
    <row r="9" spans="1:21" s="317" customFormat="1" ht="18.75" x14ac:dyDescent="0.3">
      <c r="A9" s="318">
        <v>4</v>
      </c>
      <c r="B9" s="324">
        <v>46</v>
      </c>
      <c r="C9" s="325" t="s">
        <v>26</v>
      </c>
      <c r="D9" s="326" t="s">
        <v>14</v>
      </c>
      <c r="F9" s="323">
        <v>4</v>
      </c>
      <c r="G9" s="332">
        <v>350</v>
      </c>
      <c r="H9" s="333" t="s">
        <v>32</v>
      </c>
      <c r="I9" s="334" t="s">
        <v>18</v>
      </c>
      <c r="K9" s="323">
        <v>4</v>
      </c>
      <c r="L9" s="332">
        <v>100</v>
      </c>
      <c r="M9" s="333" t="s">
        <v>33</v>
      </c>
      <c r="N9" s="333" t="s">
        <v>28</v>
      </c>
      <c r="O9" s="335">
        <f>L9/G11</f>
        <v>0.31948881789137379</v>
      </c>
      <c r="P9" s="333"/>
      <c r="R9" s="318">
        <v>2</v>
      </c>
      <c r="S9" s="340" t="s">
        <v>25</v>
      </c>
      <c r="T9" s="341" t="s">
        <v>27</v>
      </c>
      <c r="U9" s="342" t="s">
        <v>28</v>
      </c>
    </row>
    <row r="10" spans="1:21" s="318" customFormat="1" ht="18.75" x14ac:dyDescent="0.3">
      <c r="A10" s="318">
        <v>5</v>
      </c>
      <c r="B10" s="332">
        <v>2</v>
      </c>
      <c r="C10" s="333" t="s">
        <v>34</v>
      </c>
      <c r="D10" s="333" t="s">
        <v>14</v>
      </c>
      <c r="F10" s="323">
        <v>5</v>
      </c>
      <c r="G10" s="340">
        <v>341</v>
      </c>
      <c r="H10" s="341" t="s">
        <v>29</v>
      </c>
      <c r="I10" s="341" t="s">
        <v>30</v>
      </c>
      <c r="K10" s="323">
        <v>5</v>
      </c>
      <c r="L10" s="340">
        <v>95</v>
      </c>
      <c r="M10" s="341" t="s">
        <v>27</v>
      </c>
      <c r="N10" s="342" t="s">
        <v>28</v>
      </c>
      <c r="O10" s="364">
        <f>L10/G8</f>
        <v>0.26098901098901101</v>
      </c>
      <c r="P10" s="366"/>
      <c r="R10" s="318">
        <v>2</v>
      </c>
      <c r="S10" s="324" t="s">
        <v>25</v>
      </c>
      <c r="T10" s="325" t="s">
        <v>35</v>
      </c>
      <c r="U10" s="325" t="s">
        <v>21</v>
      </c>
    </row>
    <row r="11" spans="1:21" s="318" customFormat="1" x14ac:dyDescent="0.25">
      <c r="A11" s="318">
        <v>6</v>
      </c>
      <c r="B11" s="332">
        <v>1</v>
      </c>
      <c r="C11" s="333" t="s">
        <v>36</v>
      </c>
      <c r="D11" s="333" t="s">
        <v>37</v>
      </c>
      <c r="F11" s="323">
        <v>6</v>
      </c>
      <c r="G11" s="332">
        <v>313</v>
      </c>
      <c r="H11" s="333" t="s">
        <v>33</v>
      </c>
      <c r="I11" s="334" t="s">
        <v>28</v>
      </c>
      <c r="K11" s="323">
        <v>6</v>
      </c>
      <c r="L11" s="332">
        <v>90</v>
      </c>
      <c r="M11" s="333" t="s">
        <v>20</v>
      </c>
      <c r="N11" s="333" t="s">
        <v>21</v>
      </c>
      <c r="O11" s="335">
        <f>L11/G21</f>
        <v>0.61643835616438358</v>
      </c>
      <c r="P11" s="333">
        <v>169</v>
      </c>
      <c r="R11" s="318">
        <v>2</v>
      </c>
      <c r="S11" s="324" t="s">
        <v>25</v>
      </c>
      <c r="T11" s="325" t="s">
        <v>38</v>
      </c>
      <c r="U11" s="326" t="s">
        <v>24</v>
      </c>
    </row>
    <row r="12" spans="1:21" s="318" customFormat="1" ht="18.75" x14ac:dyDescent="0.3">
      <c r="A12" s="318">
        <v>6</v>
      </c>
      <c r="B12" s="332">
        <v>1</v>
      </c>
      <c r="C12" s="333" t="s">
        <v>39</v>
      </c>
      <c r="D12" s="333" t="s">
        <v>24</v>
      </c>
      <c r="F12" s="323">
        <v>7</v>
      </c>
      <c r="G12" s="332">
        <v>312</v>
      </c>
      <c r="H12" s="333" t="s">
        <v>40</v>
      </c>
      <c r="I12" s="334" t="s">
        <v>30</v>
      </c>
      <c r="K12" s="323">
        <v>7</v>
      </c>
      <c r="L12" s="332">
        <v>85</v>
      </c>
      <c r="M12" s="333" t="s">
        <v>40</v>
      </c>
      <c r="N12" s="334" t="s">
        <v>30</v>
      </c>
      <c r="O12" s="335">
        <f>L12/G12</f>
        <v>0.27243589743589741</v>
      </c>
      <c r="P12" s="337"/>
      <c r="R12" s="318">
        <v>7</v>
      </c>
      <c r="S12" s="332" t="s">
        <v>41</v>
      </c>
      <c r="T12" s="333" t="s">
        <v>42</v>
      </c>
      <c r="U12" s="333" t="s">
        <v>37</v>
      </c>
    </row>
    <row r="13" spans="1:21" s="318" customFormat="1" ht="18.75" x14ac:dyDescent="0.3">
      <c r="A13" s="318">
        <v>6</v>
      </c>
      <c r="B13" s="329">
        <v>1</v>
      </c>
      <c r="C13" s="330" t="s">
        <v>79</v>
      </c>
      <c r="D13" s="331" t="s">
        <v>37</v>
      </c>
      <c r="F13" s="323">
        <v>8</v>
      </c>
      <c r="G13" s="329">
        <v>311</v>
      </c>
      <c r="H13" s="330" t="s">
        <v>13</v>
      </c>
      <c r="I13" s="330" t="s">
        <v>14</v>
      </c>
      <c r="J13" s="317"/>
      <c r="K13" s="323">
        <v>7</v>
      </c>
      <c r="L13" s="332">
        <v>85</v>
      </c>
      <c r="M13" s="333" t="s">
        <v>44</v>
      </c>
      <c r="N13" s="334" t="s">
        <v>28</v>
      </c>
      <c r="O13" s="335">
        <f>L13/G15</f>
        <v>0.2982456140350877</v>
      </c>
      <c r="P13" s="333"/>
      <c r="Q13" s="317"/>
      <c r="R13" s="318">
        <v>7</v>
      </c>
      <c r="S13" s="332" t="s">
        <v>41</v>
      </c>
      <c r="T13" s="333" t="s">
        <v>33</v>
      </c>
      <c r="U13" s="334" t="s">
        <v>28</v>
      </c>
    </row>
    <row r="14" spans="1:21" s="318" customFormat="1" ht="18.75" x14ac:dyDescent="0.3">
      <c r="B14" s="323"/>
      <c r="C14" s="323"/>
      <c r="D14" s="323"/>
      <c r="E14" s="317"/>
      <c r="F14" s="323">
        <v>9</v>
      </c>
      <c r="G14" s="332">
        <v>299</v>
      </c>
      <c r="H14" s="333" t="s">
        <v>43</v>
      </c>
      <c r="I14" s="334" t="s">
        <v>28</v>
      </c>
      <c r="K14" s="323">
        <v>9</v>
      </c>
      <c r="L14" s="340">
        <v>84</v>
      </c>
      <c r="M14" s="341" t="s">
        <v>23</v>
      </c>
      <c r="N14" s="342" t="s">
        <v>24</v>
      </c>
      <c r="O14" s="364">
        <f>L14/G7</f>
        <v>0.20047732696897375</v>
      </c>
      <c r="P14" s="341"/>
      <c r="R14" s="318">
        <v>7</v>
      </c>
      <c r="S14" s="332" t="s">
        <v>41</v>
      </c>
      <c r="T14" s="333" t="s">
        <v>23</v>
      </c>
      <c r="U14" s="334" t="s">
        <v>24</v>
      </c>
    </row>
    <row r="15" spans="1:21" s="318" customFormat="1" ht="18.75" x14ac:dyDescent="0.3">
      <c r="A15" s="317"/>
      <c r="B15" s="338" t="s">
        <v>45</v>
      </c>
      <c r="C15" s="338"/>
      <c r="F15" s="323">
        <v>10</v>
      </c>
      <c r="G15" s="332">
        <v>285</v>
      </c>
      <c r="H15" s="333" t="s">
        <v>44</v>
      </c>
      <c r="I15" s="334" t="s">
        <v>28</v>
      </c>
      <c r="K15" s="323">
        <v>10</v>
      </c>
      <c r="L15" s="332">
        <v>68</v>
      </c>
      <c r="M15" s="333" t="s">
        <v>46</v>
      </c>
      <c r="N15" s="334" t="s">
        <v>24</v>
      </c>
      <c r="O15" s="335">
        <f>L15/G16</f>
        <v>0.24548736462093862</v>
      </c>
      <c r="P15" s="333"/>
      <c r="R15" s="318">
        <v>10</v>
      </c>
      <c r="S15" s="340" t="s">
        <v>47</v>
      </c>
      <c r="T15" s="341" t="s">
        <v>29</v>
      </c>
      <c r="U15" s="342" t="s">
        <v>30</v>
      </c>
    </row>
    <row r="16" spans="1:21" s="318" customFormat="1" x14ac:dyDescent="0.25">
      <c r="A16" s="318">
        <v>1</v>
      </c>
      <c r="B16" s="328">
        <v>262</v>
      </c>
      <c r="C16" s="322" t="s">
        <v>13</v>
      </c>
      <c r="D16" s="322" t="s">
        <v>14</v>
      </c>
      <c r="F16" s="323">
        <v>11</v>
      </c>
      <c r="G16" s="332">
        <v>277</v>
      </c>
      <c r="H16" s="333" t="s">
        <v>46</v>
      </c>
      <c r="I16" s="334" t="s">
        <v>24</v>
      </c>
      <c r="K16" s="323">
        <v>11</v>
      </c>
      <c r="L16" s="329">
        <v>63</v>
      </c>
      <c r="M16" s="330" t="s">
        <v>48</v>
      </c>
      <c r="N16" s="331" t="s">
        <v>18</v>
      </c>
      <c r="O16" s="336">
        <f>L16/G22</f>
        <v>0.4315068493150685</v>
      </c>
      <c r="P16" s="330"/>
      <c r="R16" s="318">
        <v>10</v>
      </c>
      <c r="S16" s="332" t="s">
        <v>47</v>
      </c>
      <c r="T16" s="333" t="s">
        <v>40</v>
      </c>
      <c r="U16" s="334" t="s">
        <v>30</v>
      </c>
    </row>
    <row r="17" spans="1:21" s="318" customFormat="1" x14ac:dyDescent="0.25">
      <c r="A17" s="318">
        <v>2</v>
      </c>
      <c r="B17" s="324">
        <v>88</v>
      </c>
      <c r="C17" s="325" t="s">
        <v>26</v>
      </c>
      <c r="D17" s="326" t="s">
        <v>14</v>
      </c>
      <c r="F17" s="323">
        <v>12</v>
      </c>
      <c r="G17" s="332">
        <v>202</v>
      </c>
      <c r="H17" s="333" t="s">
        <v>36</v>
      </c>
      <c r="I17" s="334" t="s">
        <v>24</v>
      </c>
      <c r="K17" s="323">
        <v>12</v>
      </c>
      <c r="L17" s="249">
        <v>62</v>
      </c>
      <c r="M17" s="250" t="s">
        <v>65</v>
      </c>
      <c r="N17" s="250" t="s">
        <v>28</v>
      </c>
      <c r="O17" s="252">
        <f>L17/G24</f>
        <v>0.43055555555555558</v>
      </c>
      <c r="P17" s="250"/>
      <c r="R17" s="318">
        <v>12</v>
      </c>
      <c r="S17" s="332" t="s">
        <v>49</v>
      </c>
      <c r="T17" s="333" t="s">
        <v>44</v>
      </c>
      <c r="U17" s="334" t="s">
        <v>28</v>
      </c>
    </row>
    <row r="18" spans="1:21" s="318" customFormat="1" x14ac:dyDescent="0.25">
      <c r="A18" s="318">
        <v>3</v>
      </c>
      <c r="B18" s="324">
        <v>83</v>
      </c>
      <c r="C18" s="325" t="s">
        <v>23</v>
      </c>
      <c r="D18" s="326" t="s">
        <v>24</v>
      </c>
      <c r="F18" s="323">
        <v>12</v>
      </c>
      <c r="G18" s="332">
        <v>202</v>
      </c>
      <c r="H18" s="333" t="s">
        <v>22</v>
      </c>
      <c r="I18" s="334" t="s">
        <v>14</v>
      </c>
      <c r="K18" s="323">
        <v>13</v>
      </c>
      <c r="L18" s="332">
        <v>61</v>
      </c>
      <c r="M18" s="333" t="s">
        <v>43</v>
      </c>
      <c r="N18" s="333" t="s">
        <v>28</v>
      </c>
      <c r="O18" s="335">
        <f>L18/G14</f>
        <v>0.20401337792642141</v>
      </c>
      <c r="P18" s="333"/>
      <c r="R18" s="318">
        <v>12</v>
      </c>
      <c r="S18" s="332" t="s">
        <v>49</v>
      </c>
      <c r="T18" s="333" t="s">
        <v>43</v>
      </c>
      <c r="U18" s="334" t="s">
        <v>28</v>
      </c>
    </row>
    <row r="19" spans="1:21" s="318" customFormat="1" x14ac:dyDescent="0.25">
      <c r="A19" s="318">
        <v>4</v>
      </c>
      <c r="B19" s="340">
        <v>42</v>
      </c>
      <c r="C19" s="341" t="s">
        <v>51</v>
      </c>
      <c r="D19" s="341" t="s">
        <v>28</v>
      </c>
      <c r="F19" s="323">
        <v>14</v>
      </c>
      <c r="G19" s="332">
        <v>172</v>
      </c>
      <c r="H19" s="333" t="s">
        <v>42</v>
      </c>
      <c r="I19" s="333" t="s">
        <v>37</v>
      </c>
      <c r="K19" s="323">
        <v>14</v>
      </c>
      <c r="L19" s="332">
        <v>53</v>
      </c>
      <c r="M19" s="333" t="s">
        <v>36</v>
      </c>
      <c r="N19" s="333" t="s">
        <v>37</v>
      </c>
      <c r="O19" s="335">
        <f>L19/G17</f>
        <v>0.26237623762376239</v>
      </c>
      <c r="P19" s="333"/>
      <c r="R19" s="318">
        <v>12</v>
      </c>
      <c r="S19" s="332" t="s">
        <v>49</v>
      </c>
      <c r="T19" s="333" t="s">
        <v>32</v>
      </c>
      <c r="U19" s="334" t="s">
        <v>18</v>
      </c>
    </row>
    <row r="20" spans="1:21" s="318" customFormat="1" x14ac:dyDescent="0.25">
      <c r="A20" s="318">
        <v>5</v>
      </c>
      <c r="B20" s="343">
        <v>26</v>
      </c>
      <c r="C20" s="344" t="s">
        <v>490</v>
      </c>
      <c r="D20" s="344" t="s">
        <v>28</v>
      </c>
      <c r="F20" s="323">
        <v>15</v>
      </c>
      <c r="G20" s="332">
        <v>146</v>
      </c>
      <c r="H20" s="333" t="s">
        <v>26</v>
      </c>
      <c r="I20" s="334" t="s">
        <v>14</v>
      </c>
      <c r="K20" s="323">
        <v>15</v>
      </c>
      <c r="L20" s="329">
        <v>52</v>
      </c>
      <c r="M20" s="330" t="s">
        <v>58</v>
      </c>
      <c r="N20" s="330" t="s">
        <v>28</v>
      </c>
      <c r="O20" s="336">
        <f>L20/G23</f>
        <v>0.35862068965517241</v>
      </c>
      <c r="P20" s="330"/>
      <c r="R20" s="318">
        <v>15</v>
      </c>
      <c r="S20" s="329" t="s">
        <v>638</v>
      </c>
      <c r="T20" s="330" t="s">
        <v>31</v>
      </c>
      <c r="U20" s="331" t="s">
        <v>14</v>
      </c>
    </row>
    <row r="21" spans="1:21" s="318" customFormat="1" x14ac:dyDescent="0.25">
      <c r="A21" s="318">
        <v>6</v>
      </c>
      <c r="B21" s="332">
        <v>21</v>
      </c>
      <c r="C21" s="333" t="s">
        <v>50</v>
      </c>
      <c r="D21" s="333" t="s">
        <v>30</v>
      </c>
      <c r="F21" s="323">
        <v>15</v>
      </c>
      <c r="G21" s="332">
        <v>146</v>
      </c>
      <c r="H21" s="333" t="s">
        <v>20</v>
      </c>
      <c r="I21" s="333" t="s">
        <v>21</v>
      </c>
      <c r="K21" s="323">
        <v>16</v>
      </c>
      <c r="L21" s="249">
        <v>38</v>
      </c>
      <c r="M21" s="250" t="s">
        <v>72</v>
      </c>
      <c r="N21" s="250" t="s">
        <v>28</v>
      </c>
      <c r="O21" s="252">
        <f>L21/G26</f>
        <v>0.29457364341085274</v>
      </c>
      <c r="P21" s="250"/>
      <c r="R21" s="318">
        <v>15</v>
      </c>
      <c r="S21" s="329" t="s">
        <v>638</v>
      </c>
      <c r="T21" s="330" t="s">
        <v>608</v>
      </c>
      <c r="U21" s="331" t="s">
        <v>28</v>
      </c>
    </row>
    <row r="22" spans="1:21" s="318" customFormat="1" x14ac:dyDescent="0.25">
      <c r="A22" s="318">
        <v>7</v>
      </c>
      <c r="B22" s="249">
        <v>21</v>
      </c>
      <c r="C22" s="250" t="s">
        <v>58</v>
      </c>
      <c r="D22" s="250" t="s">
        <v>28</v>
      </c>
      <c r="F22" s="323">
        <v>15</v>
      </c>
      <c r="G22" s="329">
        <v>146</v>
      </c>
      <c r="H22" s="330" t="s">
        <v>56</v>
      </c>
      <c r="I22" s="331" t="s">
        <v>18</v>
      </c>
      <c r="K22" s="323">
        <v>17</v>
      </c>
      <c r="L22" s="332">
        <v>33</v>
      </c>
      <c r="M22" s="333" t="s">
        <v>42</v>
      </c>
      <c r="N22" s="333" t="s">
        <v>37</v>
      </c>
      <c r="O22" s="335">
        <f>L22/G21</f>
        <v>0.22602739726027396</v>
      </c>
      <c r="P22" s="333">
        <v>79</v>
      </c>
      <c r="R22">
        <v>15</v>
      </c>
      <c r="S22" s="329" t="s">
        <v>638</v>
      </c>
      <c r="T22" s="250" t="s">
        <v>499</v>
      </c>
      <c r="U22" s="331" t="s">
        <v>28</v>
      </c>
    </row>
    <row r="23" spans="1:21" s="318" customFormat="1" x14ac:dyDescent="0.25">
      <c r="A23" s="318">
        <v>8</v>
      </c>
      <c r="B23" s="329">
        <v>18</v>
      </c>
      <c r="C23" s="330" t="s">
        <v>608</v>
      </c>
      <c r="D23" s="331" t="s">
        <v>28</v>
      </c>
      <c r="F23" s="323">
        <v>18</v>
      </c>
      <c r="G23" s="249">
        <v>145</v>
      </c>
      <c r="H23" s="250" t="s">
        <v>58</v>
      </c>
      <c r="I23" s="250" t="s">
        <v>28</v>
      </c>
      <c r="K23" s="323">
        <v>18</v>
      </c>
      <c r="L23" s="332">
        <v>32</v>
      </c>
      <c r="M23" s="333" t="s">
        <v>35</v>
      </c>
      <c r="N23" s="333" t="s">
        <v>21</v>
      </c>
      <c r="O23" s="335">
        <f>L23/G34</f>
        <v>0.33333333333333331</v>
      </c>
      <c r="P23" s="333">
        <v>89</v>
      </c>
      <c r="R23" s="318">
        <v>18</v>
      </c>
      <c r="S23" s="329" t="s">
        <v>52</v>
      </c>
      <c r="T23" s="330" t="s">
        <v>48</v>
      </c>
      <c r="U23" s="331" t="s">
        <v>18</v>
      </c>
    </row>
    <row r="24" spans="1:21" s="318" customFormat="1" x14ac:dyDescent="0.25">
      <c r="A24" s="318">
        <v>9</v>
      </c>
      <c r="B24" s="332">
        <v>10</v>
      </c>
      <c r="C24" s="333" t="s">
        <v>32</v>
      </c>
      <c r="D24" s="334" t="s">
        <v>18</v>
      </c>
      <c r="F24" s="323">
        <v>19</v>
      </c>
      <c r="G24" s="249">
        <v>144</v>
      </c>
      <c r="H24" s="250" t="s">
        <v>65</v>
      </c>
      <c r="I24" s="250" t="s">
        <v>28</v>
      </c>
      <c r="K24" s="323">
        <v>19</v>
      </c>
      <c r="L24" s="249">
        <v>28</v>
      </c>
      <c r="M24" s="250" t="s">
        <v>66</v>
      </c>
      <c r="N24" s="250" t="s">
        <v>28</v>
      </c>
      <c r="O24" s="252">
        <f>L24/G30</f>
        <v>0.2413793103448276</v>
      </c>
      <c r="P24" s="250"/>
      <c r="R24" s="318">
        <v>18</v>
      </c>
      <c r="S24" s="329" t="s">
        <v>52</v>
      </c>
      <c r="T24" s="250" t="s">
        <v>64</v>
      </c>
      <c r="U24" s="250" t="s">
        <v>28</v>
      </c>
    </row>
    <row r="25" spans="1:21" x14ac:dyDescent="0.25">
      <c r="A25" s="318">
        <v>10</v>
      </c>
      <c r="B25" s="332">
        <v>8</v>
      </c>
      <c r="C25" s="333" t="s">
        <v>33</v>
      </c>
      <c r="D25" s="334" t="s">
        <v>28</v>
      </c>
      <c r="E25" s="318"/>
      <c r="F25" s="323">
        <v>20</v>
      </c>
      <c r="G25" s="249">
        <v>133</v>
      </c>
      <c r="H25" s="250" t="s">
        <v>68</v>
      </c>
      <c r="I25" s="250" t="s">
        <v>28</v>
      </c>
      <c r="K25" s="323">
        <v>20</v>
      </c>
      <c r="L25" s="332">
        <v>27</v>
      </c>
      <c r="M25" s="333" t="s">
        <v>53</v>
      </c>
      <c r="N25" s="333" t="s">
        <v>28</v>
      </c>
      <c r="O25" s="335">
        <f>L25/G33</f>
        <v>0.24324324324324326</v>
      </c>
      <c r="P25" s="333"/>
      <c r="R25">
        <v>20</v>
      </c>
      <c r="S25" s="329" t="s">
        <v>52</v>
      </c>
      <c r="T25" s="250" t="s">
        <v>72</v>
      </c>
      <c r="U25" s="331" t="s">
        <v>28</v>
      </c>
    </row>
    <row r="26" spans="1:21" x14ac:dyDescent="0.25">
      <c r="A26" s="318">
        <v>10</v>
      </c>
      <c r="B26" s="332">
        <v>6</v>
      </c>
      <c r="C26" s="333" t="s">
        <v>55</v>
      </c>
      <c r="D26" s="334" t="s">
        <v>28</v>
      </c>
      <c r="F26" s="323">
        <v>21</v>
      </c>
      <c r="G26" s="249">
        <v>129</v>
      </c>
      <c r="H26" s="250" t="s">
        <v>72</v>
      </c>
      <c r="I26" s="250" t="s">
        <v>28</v>
      </c>
      <c r="K26" s="323">
        <v>21</v>
      </c>
      <c r="L26" s="249">
        <v>26</v>
      </c>
      <c r="M26" s="250" t="s">
        <v>68</v>
      </c>
      <c r="N26" s="250" t="s">
        <v>28</v>
      </c>
      <c r="O26" s="252">
        <f>L26/G25</f>
        <v>0.19548872180451127</v>
      </c>
      <c r="P26" s="250"/>
      <c r="R26">
        <v>20</v>
      </c>
      <c r="S26" s="329" t="s">
        <v>52</v>
      </c>
      <c r="T26" s="250" t="s">
        <v>612</v>
      </c>
      <c r="U26" s="331" t="s">
        <v>28</v>
      </c>
    </row>
    <row r="27" spans="1:21" x14ac:dyDescent="0.25">
      <c r="A27" s="318">
        <v>12</v>
      </c>
      <c r="B27" s="340">
        <v>5</v>
      </c>
      <c r="C27" s="341" t="s">
        <v>27</v>
      </c>
      <c r="D27" s="342" t="s">
        <v>28</v>
      </c>
      <c r="F27" s="323">
        <v>21</v>
      </c>
      <c r="G27" s="249">
        <v>129</v>
      </c>
      <c r="H27" s="250" t="s">
        <v>64</v>
      </c>
      <c r="I27" s="250" t="s">
        <v>28</v>
      </c>
      <c r="K27" s="323">
        <v>22</v>
      </c>
      <c r="L27" s="329">
        <v>24</v>
      </c>
      <c r="M27" s="330" t="s">
        <v>57</v>
      </c>
      <c r="N27" s="330" t="s">
        <v>37</v>
      </c>
      <c r="O27" s="336">
        <f>L27/G32</f>
        <v>0.20869565217391303</v>
      </c>
      <c r="P27" s="330"/>
      <c r="R27">
        <v>20</v>
      </c>
      <c r="S27" s="329" t="s">
        <v>52</v>
      </c>
      <c r="T27" s="250" t="s">
        <v>502</v>
      </c>
      <c r="U27" s="331" t="s">
        <v>28</v>
      </c>
    </row>
    <row r="28" spans="1:21" x14ac:dyDescent="0.25">
      <c r="A28" s="318">
        <v>13</v>
      </c>
      <c r="B28" s="332">
        <v>5</v>
      </c>
      <c r="C28" s="333" t="s">
        <v>59</v>
      </c>
      <c r="D28" s="334" t="s">
        <v>28</v>
      </c>
      <c r="F28" s="323">
        <v>21</v>
      </c>
      <c r="G28" s="249">
        <v>129</v>
      </c>
      <c r="H28" s="330" t="s">
        <v>31</v>
      </c>
      <c r="I28" s="331" t="s">
        <v>14</v>
      </c>
      <c r="K28" s="323">
        <v>23</v>
      </c>
      <c r="L28" s="329">
        <v>21</v>
      </c>
      <c r="M28" s="250" t="s">
        <v>489</v>
      </c>
      <c r="N28" s="250" t="s">
        <v>37</v>
      </c>
      <c r="O28" s="336">
        <f>L28/G31</f>
        <v>0.18260869565217391</v>
      </c>
      <c r="P28" s="330"/>
      <c r="R28" s="318">
        <v>23</v>
      </c>
      <c r="S28" s="332" t="s">
        <v>54</v>
      </c>
      <c r="T28" s="333" t="s">
        <v>46</v>
      </c>
      <c r="U28" s="334" t="s">
        <v>24</v>
      </c>
    </row>
    <row r="29" spans="1:21" x14ac:dyDescent="0.25">
      <c r="A29" s="318">
        <v>14</v>
      </c>
      <c r="B29" s="245">
        <v>4</v>
      </c>
      <c r="C29" s="246" t="s">
        <v>62</v>
      </c>
      <c r="D29" s="247" t="s">
        <v>18</v>
      </c>
      <c r="F29" s="323">
        <v>24</v>
      </c>
      <c r="G29" s="249">
        <v>116</v>
      </c>
      <c r="H29" s="250" t="s">
        <v>74</v>
      </c>
      <c r="I29" s="250" t="s">
        <v>37</v>
      </c>
      <c r="K29" s="323">
        <v>24</v>
      </c>
      <c r="L29" s="332">
        <v>19</v>
      </c>
      <c r="M29" s="333" t="s">
        <v>60</v>
      </c>
      <c r="N29" s="334" t="s">
        <v>61</v>
      </c>
      <c r="O29" s="335">
        <f>L29/G38</f>
        <v>0.3392857142857143</v>
      </c>
      <c r="P29" s="333"/>
      <c r="R29" s="318">
        <v>23</v>
      </c>
      <c r="S29" s="343" t="s">
        <v>54</v>
      </c>
      <c r="T29" s="344" t="s">
        <v>51</v>
      </c>
      <c r="U29" s="344" t="s">
        <v>28</v>
      </c>
    </row>
    <row r="30" spans="1:21" x14ac:dyDescent="0.25">
      <c r="A30" s="318">
        <v>15</v>
      </c>
      <c r="B30" s="249">
        <v>3</v>
      </c>
      <c r="C30" s="250" t="s">
        <v>56</v>
      </c>
      <c r="D30" s="251" t="s">
        <v>18</v>
      </c>
      <c r="F30" s="323">
        <v>24</v>
      </c>
      <c r="G30" s="249">
        <v>116</v>
      </c>
      <c r="H30" s="250" t="s">
        <v>66</v>
      </c>
      <c r="I30" s="250" t="s">
        <v>28</v>
      </c>
      <c r="K30" s="323">
        <v>24</v>
      </c>
      <c r="L30" s="249">
        <v>19</v>
      </c>
      <c r="M30" s="250" t="s">
        <v>64</v>
      </c>
      <c r="N30" s="250" t="s">
        <v>28</v>
      </c>
      <c r="O30" s="252">
        <f>L30/G27</f>
        <v>0.14728682170542637</v>
      </c>
      <c r="P30" s="250"/>
      <c r="R30">
        <v>23</v>
      </c>
      <c r="S30" s="329" t="s">
        <v>54</v>
      </c>
      <c r="T30" s="250" t="s">
        <v>65</v>
      </c>
      <c r="U30" s="331" t="s">
        <v>28</v>
      </c>
    </row>
    <row r="31" spans="1:21" x14ac:dyDescent="0.25">
      <c r="A31" s="318">
        <v>15</v>
      </c>
      <c r="B31" s="245">
        <v>2</v>
      </c>
      <c r="C31" s="246" t="s">
        <v>22</v>
      </c>
      <c r="D31" s="247" t="s">
        <v>14</v>
      </c>
      <c r="F31" s="323">
        <v>26</v>
      </c>
      <c r="G31" s="249">
        <v>115</v>
      </c>
      <c r="H31" s="250" t="s">
        <v>489</v>
      </c>
      <c r="I31" s="250" t="s">
        <v>37</v>
      </c>
      <c r="K31" s="323">
        <v>26</v>
      </c>
      <c r="L31" s="245">
        <v>15</v>
      </c>
      <c r="M31" s="246" t="s">
        <v>59</v>
      </c>
      <c r="N31" s="247" t="s">
        <v>28</v>
      </c>
      <c r="O31" s="248"/>
      <c r="P31" s="246"/>
      <c r="R31">
        <v>23</v>
      </c>
      <c r="S31" s="329" t="s">
        <v>54</v>
      </c>
      <c r="T31" s="250" t="s">
        <v>66</v>
      </c>
      <c r="U31" s="331" t="s">
        <v>28</v>
      </c>
    </row>
    <row r="32" spans="1:21" x14ac:dyDescent="0.25">
      <c r="A32" s="318">
        <v>15</v>
      </c>
      <c r="B32" s="340">
        <v>2</v>
      </c>
      <c r="C32" s="341" t="s">
        <v>29</v>
      </c>
      <c r="D32" s="341" t="s">
        <v>30</v>
      </c>
      <c r="F32" s="323">
        <v>26</v>
      </c>
      <c r="G32" s="329">
        <v>115</v>
      </c>
      <c r="H32" s="341" t="s">
        <v>57</v>
      </c>
      <c r="I32" s="341" t="s">
        <v>24</v>
      </c>
      <c r="K32" s="323">
        <v>26</v>
      </c>
      <c r="L32" s="249">
        <v>15</v>
      </c>
      <c r="M32" s="250" t="s">
        <v>74</v>
      </c>
      <c r="N32" s="250" t="s">
        <v>37</v>
      </c>
      <c r="O32" s="252">
        <f>L32/G29</f>
        <v>0.12931034482758622</v>
      </c>
      <c r="P32" s="250"/>
      <c r="R32">
        <v>23</v>
      </c>
      <c r="S32" s="329" t="s">
        <v>54</v>
      </c>
      <c r="T32" s="250" t="s">
        <v>68</v>
      </c>
      <c r="U32" s="331" t="s">
        <v>28</v>
      </c>
    </row>
    <row r="33" spans="1:21" x14ac:dyDescent="0.25">
      <c r="A33" s="318">
        <v>17</v>
      </c>
      <c r="B33" s="245">
        <v>1</v>
      </c>
      <c r="C33" s="246" t="s">
        <v>60</v>
      </c>
      <c r="D33" s="247" t="s">
        <v>18</v>
      </c>
      <c r="F33" s="323">
        <v>28</v>
      </c>
      <c r="G33" s="332">
        <v>111</v>
      </c>
      <c r="H33" s="333" t="s">
        <v>53</v>
      </c>
      <c r="I33" s="333" t="s">
        <v>28</v>
      </c>
      <c r="K33" s="323">
        <v>28</v>
      </c>
      <c r="L33" s="329">
        <v>14</v>
      </c>
      <c r="M33" s="330" t="s">
        <v>501</v>
      </c>
      <c r="N33" s="331" t="s">
        <v>37</v>
      </c>
      <c r="O33" s="336"/>
      <c r="P33" s="330"/>
      <c r="R33">
        <v>23</v>
      </c>
      <c r="S33" s="329" t="s">
        <v>54</v>
      </c>
      <c r="T33" s="250" t="s">
        <v>58</v>
      </c>
      <c r="U33" s="250" t="s">
        <v>28</v>
      </c>
    </row>
    <row r="34" spans="1:21" x14ac:dyDescent="0.25">
      <c r="A34" s="318">
        <v>17</v>
      </c>
      <c r="B34" s="245">
        <v>1</v>
      </c>
      <c r="C34" s="246" t="s">
        <v>36</v>
      </c>
      <c r="D34" s="246" t="s">
        <v>37</v>
      </c>
      <c r="F34" s="323">
        <v>29</v>
      </c>
      <c r="G34" s="245">
        <v>96</v>
      </c>
      <c r="H34" s="246" t="s">
        <v>35</v>
      </c>
      <c r="I34" s="246" t="s">
        <v>21</v>
      </c>
      <c r="K34" s="323">
        <v>28</v>
      </c>
      <c r="L34" s="329">
        <v>14</v>
      </c>
      <c r="M34" s="341" t="s">
        <v>490</v>
      </c>
      <c r="N34" s="342" t="s">
        <v>28</v>
      </c>
      <c r="O34" s="364"/>
      <c r="P34" s="341"/>
      <c r="R34" s="318">
        <v>23</v>
      </c>
      <c r="S34" s="343" t="s">
        <v>54</v>
      </c>
      <c r="T34" s="344" t="s">
        <v>490</v>
      </c>
      <c r="U34" s="344" t="s">
        <v>28</v>
      </c>
    </row>
    <row r="35" spans="1:21" x14ac:dyDescent="0.25">
      <c r="A35" s="318">
        <v>17</v>
      </c>
      <c r="B35" s="245">
        <v>1</v>
      </c>
      <c r="C35" s="246" t="s">
        <v>40</v>
      </c>
      <c r="D35" s="247" t="s">
        <v>30</v>
      </c>
      <c r="F35" s="323">
        <v>30</v>
      </c>
      <c r="G35" s="245">
        <v>89</v>
      </c>
      <c r="H35" s="246" t="s">
        <v>39</v>
      </c>
      <c r="I35" s="247" t="s">
        <v>24</v>
      </c>
      <c r="K35" s="323">
        <v>30</v>
      </c>
      <c r="L35" s="245">
        <v>12</v>
      </c>
      <c r="M35" s="246" t="s">
        <v>63</v>
      </c>
      <c r="N35" s="247" t="s">
        <v>18</v>
      </c>
      <c r="O35" s="248"/>
      <c r="P35" s="246"/>
      <c r="S35" s="57"/>
      <c r="U35" s="73"/>
    </row>
    <row r="36" spans="1:21" x14ac:dyDescent="0.25">
      <c r="A36" s="318">
        <v>17</v>
      </c>
      <c r="B36" s="245">
        <v>1</v>
      </c>
      <c r="C36" s="246" t="s">
        <v>38</v>
      </c>
      <c r="D36" s="247" t="s">
        <v>37</v>
      </c>
      <c r="F36" s="323">
        <v>31</v>
      </c>
      <c r="G36" s="249">
        <v>78</v>
      </c>
      <c r="H36" s="250" t="s">
        <v>500</v>
      </c>
      <c r="I36" s="250" t="s">
        <v>37</v>
      </c>
      <c r="K36" s="323">
        <v>31</v>
      </c>
      <c r="L36" s="245">
        <v>11</v>
      </c>
      <c r="M36" s="246" t="s">
        <v>22</v>
      </c>
      <c r="N36" s="247" t="s">
        <v>14</v>
      </c>
      <c r="O36" s="248">
        <f>L36/G18</f>
        <v>5.4455445544554455E-2</v>
      </c>
      <c r="P36" s="246"/>
      <c r="S36" s="57"/>
    </row>
    <row r="37" spans="1:21" x14ac:dyDescent="0.25">
      <c r="B37" s="227">
        <f>SUM(B16:B36)</f>
        <v>610</v>
      </c>
      <c r="F37" s="323">
        <v>32</v>
      </c>
      <c r="G37" s="249">
        <v>77</v>
      </c>
      <c r="H37" s="250" t="s">
        <v>77</v>
      </c>
      <c r="I37" s="250" t="s">
        <v>37</v>
      </c>
      <c r="K37" s="323">
        <v>32</v>
      </c>
      <c r="L37" s="245">
        <v>10</v>
      </c>
      <c r="M37" s="246" t="s">
        <v>39</v>
      </c>
      <c r="N37" s="247" t="s">
        <v>24</v>
      </c>
      <c r="O37" s="248"/>
      <c r="P37" s="246"/>
    </row>
    <row r="38" spans="1:21" x14ac:dyDescent="0.25">
      <c r="B38" s="57"/>
      <c r="F38" s="323">
        <v>33</v>
      </c>
      <c r="G38" s="245">
        <v>56</v>
      </c>
      <c r="H38" s="246" t="s">
        <v>490</v>
      </c>
      <c r="I38" s="247" t="s">
        <v>28</v>
      </c>
      <c r="K38" s="323">
        <v>32</v>
      </c>
      <c r="L38" s="245">
        <v>10</v>
      </c>
      <c r="M38" s="246" t="s">
        <v>67</v>
      </c>
      <c r="N38" s="247" t="s">
        <v>18</v>
      </c>
      <c r="O38" s="248"/>
      <c r="P38" s="246"/>
    </row>
    <row r="39" spans="1:21" x14ac:dyDescent="0.25">
      <c r="B39" s="57"/>
      <c r="G39"/>
      <c r="K39" s="323">
        <v>32</v>
      </c>
      <c r="L39" s="249">
        <v>10</v>
      </c>
      <c r="M39" s="250" t="s">
        <v>78</v>
      </c>
      <c r="N39" s="250" t="s">
        <v>37</v>
      </c>
      <c r="O39" s="252">
        <f>L39/G36</f>
        <v>0.12820512820512819</v>
      </c>
      <c r="P39" s="250"/>
    </row>
    <row r="40" spans="1:21" x14ac:dyDescent="0.25">
      <c r="B40" s="57"/>
      <c r="G40"/>
      <c r="K40" s="323">
        <v>35</v>
      </c>
      <c r="L40" s="245">
        <v>9</v>
      </c>
      <c r="M40" s="246" t="s">
        <v>69</v>
      </c>
      <c r="N40" s="246" t="s">
        <v>18</v>
      </c>
      <c r="O40" s="248"/>
      <c r="P40" s="246"/>
    </row>
    <row r="41" spans="1:21" x14ac:dyDescent="0.25">
      <c r="B41" s="57"/>
      <c r="G41"/>
      <c r="K41" s="323">
        <v>35</v>
      </c>
      <c r="L41" s="245">
        <v>9</v>
      </c>
      <c r="M41" s="246" t="s">
        <v>70</v>
      </c>
      <c r="N41" s="246" t="s">
        <v>18</v>
      </c>
      <c r="O41" s="248"/>
      <c r="P41" s="246"/>
    </row>
    <row r="42" spans="1:21" x14ac:dyDescent="0.25">
      <c r="B42" s="57"/>
      <c r="G42"/>
      <c r="K42" s="323">
        <v>35</v>
      </c>
      <c r="L42" s="249">
        <v>9</v>
      </c>
      <c r="M42" s="250" t="s">
        <v>77</v>
      </c>
      <c r="N42" s="250" t="s">
        <v>37</v>
      </c>
      <c r="O42" s="252">
        <f>L42/G37</f>
        <v>0.11688311688311688</v>
      </c>
      <c r="P42" s="250"/>
    </row>
    <row r="43" spans="1:21" x14ac:dyDescent="0.25">
      <c r="B43" s="57"/>
      <c r="G43"/>
      <c r="K43" s="323">
        <v>38</v>
      </c>
      <c r="L43" s="245">
        <v>8</v>
      </c>
      <c r="M43" s="246" t="s">
        <v>71</v>
      </c>
      <c r="N43" s="246" t="s">
        <v>24</v>
      </c>
      <c r="O43" s="248"/>
      <c r="P43" s="246"/>
    </row>
    <row r="44" spans="1:21" x14ac:dyDescent="0.25">
      <c r="B44" s="57"/>
      <c r="G44"/>
      <c r="K44" s="323">
        <v>39</v>
      </c>
      <c r="L44" s="329">
        <v>7</v>
      </c>
      <c r="M44" s="250" t="s">
        <v>499</v>
      </c>
      <c r="N44" s="331" t="s">
        <v>28</v>
      </c>
      <c r="O44" s="336"/>
      <c r="P44" s="330"/>
    </row>
    <row r="45" spans="1:21" x14ac:dyDescent="0.25">
      <c r="B45" s="57"/>
      <c r="G45"/>
      <c r="K45" s="323">
        <v>40</v>
      </c>
      <c r="L45" s="245">
        <v>6</v>
      </c>
      <c r="M45" s="246" t="s">
        <v>26</v>
      </c>
      <c r="N45" s="247" t="s">
        <v>14</v>
      </c>
      <c r="O45" s="248"/>
      <c r="P45" s="246"/>
    </row>
    <row r="46" spans="1:21" x14ac:dyDescent="0.25">
      <c r="B46" s="57"/>
      <c r="K46" s="323">
        <v>41</v>
      </c>
      <c r="L46" s="245">
        <v>5</v>
      </c>
      <c r="M46" s="246" t="s">
        <v>73</v>
      </c>
      <c r="N46" s="246" t="s">
        <v>30</v>
      </c>
      <c r="O46" s="248"/>
      <c r="P46" s="246"/>
    </row>
    <row r="47" spans="1:21" x14ac:dyDescent="0.25">
      <c r="B47" s="57"/>
      <c r="K47" s="323">
        <v>41</v>
      </c>
      <c r="L47" s="329">
        <v>5</v>
      </c>
      <c r="M47" s="250" t="s">
        <v>612</v>
      </c>
      <c r="N47" s="331" t="s">
        <v>28</v>
      </c>
      <c r="O47" s="336"/>
      <c r="P47" s="330"/>
    </row>
    <row r="48" spans="1:21" x14ac:dyDescent="0.25">
      <c r="B48" s="57"/>
      <c r="K48" s="323">
        <v>41</v>
      </c>
      <c r="L48" s="329">
        <v>5</v>
      </c>
      <c r="M48" s="330" t="s">
        <v>502</v>
      </c>
      <c r="N48" s="331" t="s">
        <v>28</v>
      </c>
      <c r="O48" s="336"/>
      <c r="P48" s="330"/>
    </row>
    <row r="49" spans="2:16" x14ac:dyDescent="0.25">
      <c r="B49" s="57"/>
      <c r="K49" s="323">
        <v>44</v>
      </c>
      <c r="L49" s="249">
        <v>4</v>
      </c>
      <c r="M49" s="344" t="s">
        <v>79</v>
      </c>
      <c r="N49" s="344" t="s">
        <v>37</v>
      </c>
      <c r="O49" s="365"/>
      <c r="P49" s="344"/>
    </row>
    <row r="50" spans="2:16" x14ac:dyDescent="0.25">
      <c r="B50" s="57"/>
      <c r="K50" s="323">
        <v>45</v>
      </c>
      <c r="L50" s="245">
        <v>3</v>
      </c>
      <c r="M50" s="246" t="s">
        <v>75</v>
      </c>
      <c r="N50" s="246" t="s">
        <v>21</v>
      </c>
      <c r="O50" s="248"/>
      <c r="P50" s="246"/>
    </row>
    <row r="51" spans="2:16" x14ac:dyDescent="0.25">
      <c r="B51" s="57"/>
      <c r="K51" s="323">
        <v>45</v>
      </c>
      <c r="L51" s="245">
        <v>3</v>
      </c>
      <c r="M51" s="246" t="s">
        <v>76</v>
      </c>
      <c r="N51" s="246" t="s">
        <v>28</v>
      </c>
      <c r="O51" s="248"/>
      <c r="P51" s="246"/>
    </row>
    <row r="52" spans="2:16" x14ac:dyDescent="0.25">
      <c r="B52" s="57"/>
      <c r="G52" s="360"/>
      <c r="K52" s="323">
        <v>45</v>
      </c>
      <c r="L52" s="245">
        <v>3</v>
      </c>
      <c r="M52" s="246" t="s">
        <v>38</v>
      </c>
      <c r="N52" s="246" t="s">
        <v>24</v>
      </c>
      <c r="O52" s="248"/>
      <c r="P52" s="246">
        <v>49</v>
      </c>
    </row>
    <row r="53" spans="2:16" x14ac:dyDescent="0.25">
      <c r="B53" s="360"/>
      <c r="G53" s="360"/>
      <c r="K53" s="323">
        <v>45</v>
      </c>
      <c r="L53" s="343">
        <v>3</v>
      </c>
      <c r="M53" s="344" t="s">
        <v>51</v>
      </c>
      <c r="N53" s="344" t="s">
        <v>28</v>
      </c>
      <c r="O53" s="365"/>
      <c r="P53" s="344"/>
    </row>
    <row r="54" spans="2:16" x14ac:dyDescent="0.25">
      <c r="B54" s="360"/>
      <c r="K54" s="323">
        <v>45</v>
      </c>
      <c r="L54" s="343">
        <v>3</v>
      </c>
      <c r="M54" s="330" t="s">
        <v>608</v>
      </c>
      <c r="N54" s="331" t="s">
        <v>28</v>
      </c>
      <c r="O54" s="336"/>
      <c r="P54" s="330"/>
    </row>
    <row r="55" spans="2:16" x14ac:dyDescent="0.25">
      <c r="B55" s="57"/>
      <c r="G55" s="360"/>
      <c r="K55" s="323">
        <v>50</v>
      </c>
      <c r="L55" s="249">
        <v>2</v>
      </c>
      <c r="M55" s="250" t="s">
        <v>13</v>
      </c>
      <c r="N55" s="250" t="s">
        <v>14</v>
      </c>
      <c r="O55" s="252">
        <f>L55/G13</f>
        <v>6.4308681672025723E-3</v>
      </c>
      <c r="P55" s="250">
        <v>3</v>
      </c>
    </row>
    <row r="56" spans="2:16" x14ac:dyDescent="0.25">
      <c r="B56" s="360"/>
      <c r="G56" s="360"/>
      <c r="K56" s="323">
        <v>51</v>
      </c>
      <c r="L56" s="343">
        <v>1</v>
      </c>
      <c r="M56" s="344" t="s">
        <v>80</v>
      </c>
      <c r="N56" s="344" t="s">
        <v>30</v>
      </c>
      <c r="O56" s="365"/>
      <c r="P56" s="344"/>
    </row>
    <row r="57" spans="2:16" x14ac:dyDescent="0.25">
      <c r="B57" s="360"/>
      <c r="K57" s="363">
        <v>51</v>
      </c>
      <c r="L57" s="343">
        <v>1</v>
      </c>
      <c r="M57" s="344" t="s">
        <v>81</v>
      </c>
      <c r="N57" s="344" t="s">
        <v>30</v>
      </c>
      <c r="O57" s="365"/>
      <c r="P57" s="344"/>
    </row>
    <row r="58" spans="2:16" x14ac:dyDescent="0.25">
      <c r="B58" s="57"/>
      <c r="K58" s="363">
        <v>51</v>
      </c>
      <c r="L58" s="329">
        <v>1</v>
      </c>
      <c r="M58" s="330" t="s">
        <v>31</v>
      </c>
      <c r="N58" s="331" t="s">
        <v>14</v>
      </c>
      <c r="O58" s="336"/>
      <c r="P58" s="330"/>
    </row>
    <row r="59" spans="2:16" x14ac:dyDescent="0.25">
      <c r="B59" s="57"/>
      <c r="L59" s="228">
        <f>SUM(L6:L58)</f>
        <v>1910</v>
      </c>
    </row>
    <row r="60" spans="2:16" x14ac:dyDescent="0.25">
      <c r="B60" s="57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G6:G38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3 O6:O46 O55:O58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58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7" customWidth="1"/>
    <col min="13" max="13" width="8.28515625" style="57" customWidth="1"/>
    <col min="14" max="14" width="4.5703125" style="57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413</v>
      </c>
      <c r="AB1" t="s">
        <v>414</v>
      </c>
      <c r="AE1" t="s">
        <v>415</v>
      </c>
    </row>
    <row r="2" spans="1:32" x14ac:dyDescent="0.25">
      <c r="B2" s="73">
        <v>44035</v>
      </c>
      <c r="X2" s="202">
        <f>SUM(X4:X14)</f>
        <v>0.38748802083333334</v>
      </c>
      <c r="Y2" s="202">
        <f>SUM(Y4:Y14)</f>
        <v>1.6239345238095169</v>
      </c>
      <c r="Z2" s="202" t="e">
        <f>SUM(Z4:Z14)</f>
        <v>#REF!</v>
      </c>
      <c r="AA2" s="453" t="e">
        <f>Z2+Y2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7">
        <v>1</v>
      </c>
      <c r="M3" s="79" t="s">
        <v>417</v>
      </c>
      <c r="N3" s="199" t="s">
        <v>14</v>
      </c>
      <c r="O3" s="199" t="s">
        <v>408</v>
      </c>
      <c r="P3" s="198" t="s">
        <v>418</v>
      </c>
      <c r="Q3" s="198" t="s">
        <v>419</v>
      </c>
      <c r="R3" s="198" t="s">
        <v>420</v>
      </c>
      <c r="S3" s="198" t="s">
        <v>122</v>
      </c>
      <c r="T3" s="198" t="s">
        <v>251</v>
      </c>
      <c r="U3" s="198" t="s">
        <v>421</v>
      </c>
      <c r="V3" s="199" t="s">
        <v>123</v>
      </c>
      <c r="W3" s="199" t="s">
        <v>21</v>
      </c>
      <c r="X3" s="200" t="s">
        <v>425</v>
      </c>
      <c r="Y3" s="200" t="s">
        <v>426</v>
      </c>
      <c r="Z3" s="200" t="s">
        <v>427</v>
      </c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PLANTILLA!A8</f>
        <v>#19</v>
      </c>
      <c r="B4" s="253" t="str">
        <f>PLANTILLA!D8</f>
        <v>A. Grimaud</v>
      </c>
      <c r="C4" s="4">
        <f>PLANTILLA!E8</f>
        <v>27</v>
      </c>
      <c r="D4" s="264">
        <f ca="1">PLANTILLA!F8</f>
        <v>61</v>
      </c>
      <c r="E4" s="48">
        <f>PLANTILLA!X8</f>
        <v>0</v>
      </c>
      <c r="F4" s="48">
        <f>PLANTILLA!Y8</f>
        <v>14.85</v>
      </c>
      <c r="G4" s="48">
        <f>PLANTILLA!Z8</f>
        <v>9.875</v>
      </c>
      <c r="H4" s="48">
        <f>PLANTILLA!AA8</f>
        <v>3</v>
      </c>
      <c r="I4" s="48">
        <f>PLANTILLA!AB8</f>
        <v>3</v>
      </c>
      <c r="J4" s="48">
        <f>PLANTILLA!AC8</f>
        <v>7.1428571428571432</v>
      </c>
      <c r="K4" s="48">
        <f>PLANTILLA!AD8</f>
        <v>18.2</v>
      </c>
      <c r="L4" s="94">
        <f>1/5</f>
        <v>0.2</v>
      </c>
      <c r="M4" s="94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/>
      <c r="Y4" s="114"/>
      <c r="Z4" s="114">
        <f t="shared" ref="Z4:Z8" si="1">(1.66*(J4+M4)+0.55*(K4)-7.6)-(1.66*(J4)+0.55*(K4)-7.6)</f>
        <v>5.5333333333329904E-2</v>
      </c>
      <c r="AB4" t="s">
        <v>407</v>
      </c>
      <c r="AC4" t="s">
        <v>423</v>
      </c>
      <c r="AE4" t="s">
        <v>407</v>
      </c>
      <c r="AF4" t="str">
        <f>AC4</f>
        <v>B. Pinczehelyi</v>
      </c>
    </row>
    <row r="5" spans="1:32" x14ac:dyDescent="0.25">
      <c r="A5" s="4" t="str">
        <f>PLANTILLA!A9</f>
        <v>#4</v>
      </c>
      <c r="B5" s="253" t="str">
        <f>PLANTILLA!D9</f>
        <v>E. Deus</v>
      </c>
      <c r="C5" s="4">
        <f>PLANTILLA!E9</f>
        <v>27</v>
      </c>
      <c r="D5" s="264">
        <f ca="1">PLANTILLA!F9</f>
        <v>89</v>
      </c>
      <c r="E5" s="48">
        <f>PLANTILLA!X9</f>
        <v>0</v>
      </c>
      <c r="F5" s="48">
        <f>PLANTILLA!Y9</f>
        <v>14</v>
      </c>
      <c r="G5" s="48">
        <f>PLANTILLA!Z9</f>
        <v>9.125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1/4</f>
        <v>0.25</v>
      </c>
      <c r="M5" s="94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/>
      <c r="Y5" s="114"/>
      <c r="Z5" s="114">
        <f t="shared" si="1"/>
        <v>6.9166666666664156E-2</v>
      </c>
      <c r="AB5" t="s">
        <v>408</v>
      </c>
      <c r="AC5" t="s">
        <v>177</v>
      </c>
      <c r="AE5" t="s">
        <v>412</v>
      </c>
      <c r="AF5" t="s">
        <v>176</v>
      </c>
    </row>
    <row r="6" spans="1:32" x14ac:dyDescent="0.25">
      <c r="A6" s="4" t="str">
        <f>PLANTILLA!A7</f>
        <v>#2</v>
      </c>
      <c r="B6" s="253" t="str">
        <f>PLANTILLA!D7</f>
        <v>S. Swärdborn</v>
      </c>
      <c r="C6" s="4">
        <f>PLANTILLA!E7</f>
        <v>27</v>
      </c>
      <c r="D6" s="264">
        <f ca="1">PLANTILLA!F7</f>
        <v>38</v>
      </c>
      <c r="E6" s="48">
        <f>PLANTILLA!X7</f>
        <v>0</v>
      </c>
      <c r="F6" s="48">
        <f>PLANTILLA!Y7</f>
        <v>14.75</v>
      </c>
      <c r="G6" s="48">
        <f>PLANTILLA!Z7</f>
        <v>9.7142857142857135</v>
      </c>
      <c r="H6" s="48">
        <f>PLANTILLA!AA7</f>
        <v>1</v>
      </c>
      <c r="I6" s="48">
        <f>PLANTILLA!AB7</f>
        <v>3</v>
      </c>
      <c r="J6" s="48">
        <f>PLANTILLA!AC7</f>
        <v>7.833333333333333</v>
      </c>
      <c r="K6" s="48">
        <f>PLANTILLA!AD7</f>
        <v>18.75</v>
      </c>
      <c r="L6" s="94">
        <f>1/6</f>
        <v>0.16666666666666666</v>
      </c>
      <c r="M6" s="94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/>
      <c r="Y6" s="114"/>
      <c r="Z6" s="114">
        <f t="shared" si="1"/>
        <v>4.611111111111299E-2</v>
      </c>
      <c r="AB6" t="s">
        <v>407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PLANTILLA!A6</f>
        <v>#22</v>
      </c>
      <c r="B7" s="253" t="str">
        <f>PLANTILLA!D6</f>
        <v>V. Gardner</v>
      </c>
      <c r="C7" s="4">
        <f>PLANTILLA!E6</f>
        <v>27</v>
      </c>
      <c r="D7" s="264">
        <f ca="1">PLANTILLA!F6</f>
        <v>50</v>
      </c>
      <c r="E7" s="48">
        <f>PLANTILLA!X6</f>
        <v>0</v>
      </c>
      <c r="F7" s="48">
        <f>PLANTILLA!Y6</f>
        <v>15</v>
      </c>
      <c r="G7" s="48">
        <f>PLANTILLA!Z6</f>
        <v>8.125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4">
        <f>1/6</f>
        <v>0.16666666666666666</v>
      </c>
      <c r="M7" s="94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/>
      <c r="Y7" s="114"/>
      <c r="Z7" s="114">
        <f t="shared" si="1"/>
        <v>4.6111111111109437E-2</v>
      </c>
      <c r="AB7" t="s">
        <v>251</v>
      </c>
      <c r="AC7" t="s">
        <v>131</v>
      </c>
      <c r="AE7" t="s">
        <v>412</v>
      </c>
      <c r="AF7" t="s">
        <v>175</v>
      </c>
    </row>
    <row r="8" spans="1:32" x14ac:dyDescent="0.25">
      <c r="A8" s="4" t="e">
        <f>PLANTILLA!#REF!</f>
        <v>#REF!</v>
      </c>
      <c r="B8" s="253" t="e">
        <f>PLANTILLA!#REF!</f>
        <v>#REF!</v>
      </c>
      <c r="C8" s="4" t="e">
        <f>PLANTILLA!#REF!</f>
        <v>#REF!</v>
      </c>
      <c r="D8" s="264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94">
        <f>1/5</f>
        <v>0.2</v>
      </c>
      <c r="M8" s="94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14"/>
      <c r="Y8" s="114"/>
      <c r="Z8" s="114" t="e">
        <f t="shared" si="1"/>
        <v>#REF!</v>
      </c>
      <c r="AB8" t="s">
        <v>122</v>
      </c>
      <c r="AC8" t="s">
        <v>180</v>
      </c>
      <c r="AE8" t="s">
        <v>407</v>
      </c>
      <c r="AF8" t="s">
        <v>130</v>
      </c>
    </row>
    <row r="9" spans="1:32" x14ac:dyDescent="0.25">
      <c r="A9" s="4" t="str">
        <f>PLANTILLA!A16</f>
        <v>#16</v>
      </c>
      <c r="B9" s="253" t="str">
        <f>PLANTILLA!D16</f>
        <v>I. Vanags</v>
      </c>
      <c r="C9" s="4">
        <f>PLANTILLA!E16</f>
        <v>28</v>
      </c>
      <c r="D9" s="264">
        <f ca="1">PLANTILLA!F16</f>
        <v>37</v>
      </c>
      <c r="E9" s="48">
        <f>PLANTILLA!X16</f>
        <v>0</v>
      </c>
      <c r="F9" s="48">
        <f>PLANTILLA!Y16</f>
        <v>8.8571428571428577</v>
      </c>
      <c r="G9" s="48">
        <f>PLANTILLA!Z16</f>
        <v>15</v>
      </c>
      <c r="H9" s="48">
        <f>PLANTILLA!AA16</f>
        <v>3</v>
      </c>
      <c r="I9" s="48">
        <f>PLANTILLA!AB16</f>
        <v>4</v>
      </c>
      <c r="J9" s="48">
        <f>PLANTILLA!AC16</f>
        <v>8.2857142857142865</v>
      </c>
      <c r="K9" s="48">
        <f>PLANTILLA!AD16</f>
        <v>19.399999999999999</v>
      </c>
      <c r="L9" s="94">
        <f>1/6.4</f>
        <v>0.15625</v>
      </c>
      <c r="M9" s="94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14">
        <f t="shared" ref="X9:X14" si="6">MAX(N9:W9)</f>
        <v>6.5401278409090907E-2</v>
      </c>
      <c r="Y9" s="114">
        <f t="shared" ref="Y9:Y14" si="7">(1.66*(J9+L9)+0.55*(K9)-7.6)-(1.66*(J9)+0.55*(K9)-7.6)</f>
        <v>0.25937499999999858</v>
      </c>
      <c r="Z9" s="114"/>
      <c r="AB9" t="s">
        <v>251</v>
      </c>
      <c r="AC9" t="s">
        <v>178</v>
      </c>
      <c r="AE9" t="s">
        <v>251</v>
      </c>
      <c r="AF9" t="s">
        <v>178</v>
      </c>
    </row>
    <row r="10" spans="1:32" x14ac:dyDescent="0.25">
      <c r="A10" s="4" t="str">
        <f>PLANTILLA!A14</f>
        <v>#12</v>
      </c>
      <c r="B10" s="253" t="str">
        <f>PLANTILLA!D14</f>
        <v>P. Tuderek</v>
      </c>
      <c r="C10" s="4">
        <f>PLANTILLA!E14</f>
        <v>28</v>
      </c>
      <c r="D10" s="264">
        <f ca="1">PLANTILLA!F14</f>
        <v>39</v>
      </c>
      <c r="E10" s="48">
        <f>PLANTILLA!X14</f>
        <v>0</v>
      </c>
      <c r="F10" s="48">
        <f>PLANTILLA!Y14</f>
        <v>11.153846153846153</v>
      </c>
      <c r="G10" s="48">
        <f>PLANTILLA!Z14</f>
        <v>14.166666666666666</v>
      </c>
      <c r="H10" s="48">
        <f>PLANTILLA!AA14</f>
        <v>2</v>
      </c>
      <c r="I10" s="48">
        <f>PLANTILLA!AB14</f>
        <v>3</v>
      </c>
      <c r="J10" s="48">
        <f>PLANTILLA!AC14</f>
        <v>8</v>
      </c>
      <c r="K10" s="48">
        <f>PLANTILLA!AD14</f>
        <v>20.166666666666668</v>
      </c>
      <c r="L10" s="94">
        <f>1/6</f>
        <v>0.16666666666666666</v>
      </c>
      <c r="M10" s="94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14">
        <f t="shared" si="6"/>
        <v>6.2753787878787881E-2</v>
      </c>
      <c r="Y10" s="114">
        <f t="shared" si="7"/>
        <v>0.27666666666666373</v>
      </c>
      <c r="Z10" s="114"/>
      <c r="AB10" t="s">
        <v>254</v>
      </c>
      <c r="AC10" t="s">
        <v>130</v>
      </c>
      <c r="AE10" t="s">
        <v>251</v>
      </c>
      <c r="AF10" t="s">
        <v>131</v>
      </c>
    </row>
    <row r="11" spans="1:32" x14ac:dyDescent="0.25">
      <c r="A11" s="4" t="str">
        <f>PLANTILLA!A12</f>
        <v>#10</v>
      </c>
      <c r="B11" s="253" t="str">
        <f>PLANTILLA!D12</f>
        <v>R. Forsyth</v>
      </c>
      <c r="C11" s="4">
        <f>PLANTILLA!E12</f>
        <v>28</v>
      </c>
      <c r="D11" s="264">
        <f ca="1">PLANTILLA!F12</f>
        <v>94</v>
      </c>
      <c r="E11" s="48">
        <f>PLANTILLA!X12</f>
        <v>0</v>
      </c>
      <c r="F11" s="48">
        <f>PLANTILLA!Y12</f>
        <v>11.692307692307692</v>
      </c>
      <c r="G11" s="48">
        <f>PLANTILLA!Z12</f>
        <v>14.692307692307692</v>
      </c>
      <c r="H11" s="48">
        <f>PLANTILLA!AA12</f>
        <v>3</v>
      </c>
      <c r="I11" s="48">
        <f>PLANTILLA!AB12</f>
        <v>4</v>
      </c>
      <c r="J11" s="48">
        <f>PLANTILLA!AC12</f>
        <v>7.5</v>
      </c>
      <c r="K11" s="48">
        <f>PLANTILLA!AD12</f>
        <v>19</v>
      </c>
      <c r="L11" s="94">
        <f>1/5</f>
        <v>0.2</v>
      </c>
      <c r="M11" s="94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14">
        <f t="shared" si="6"/>
        <v>7.5304545454545457E-2</v>
      </c>
      <c r="Y11" s="114">
        <f t="shared" si="7"/>
        <v>0.33200000000000074</v>
      </c>
      <c r="Z11" s="114"/>
      <c r="AB11" t="s">
        <v>254</v>
      </c>
      <c r="AC11" t="s">
        <v>181</v>
      </c>
      <c r="AE11" t="s">
        <v>254</v>
      </c>
      <c r="AF11" t="s">
        <v>181</v>
      </c>
    </row>
    <row r="12" spans="1:32" x14ac:dyDescent="0.25">
      <c r="A12" s="4" t="str">
        <f>PLANTILLA!A19</f>
        <v>#9</v>
      </c>
      <c r="B12" s="253" t="str">
        <f>PLANTILLA!D19</f>
        <v>M. Bondarewski</v>
      </c>
      <c r="C12" s="4">
        <f>PLANTILLA!E19</f>
        <v>28</v>
      </c>
      <c r="D12" s="264">
        <f ca="1">PLANTILLA!F19</f>
        <v>53</v>
      </c>
      <c r="E12" s="48">
        <f>PLANTILLA!X19</f>
        <v>0</v>
      </c>
      <c r="F12" s="48">
        <f>PLANTILLA!Y19</f>
        <v>8</v>
      </c>
      <c r="G12" s="48">
        <f>PLANTILLA!Z19</f>
        <v>14.846153846153847</v>
      </c>
      <c r="H12" s="48">
        <f>PLANTILLA!AA19</f>
        <v>5</v>
      </c>
      <c r="I12" s="48">
        <f>PLANTILLA!AB19</f>
        <v>4</v>
      </c>
      <c r="J12" s="48">
        <f>PLANTILLA!AC19</f>
        <v>9.125</v>
      </c>
      <c r="K12" s="48">
        <f>PLANTILLA!AD19</f>
        <v>20.166666666666668</v>
      </c>
      <c r="L12" s="94">
        <f>1/6.4</f>
        <v>0.15625</v>
      </c>
      <c r="M12" s="94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14">
        <f t="shared" si="6"/>
        <v>6.5401278409090907E-2</v>
      </c>
      <c r="Y12" s="114">
        <f t="shared" si="7"/>
        <v>0.25937499999999858</v>
      </c>
      <c r="Z12" s="114"/>
      <c r="AB12" t="s">
        <v>21</v>
      </c>
      <c r="AC12" t="s">
        <v>179</v>
      </c>
      <c r="AE12" t="s">
        <v>254</v>
      </c>
      <c r="AF12" t="s">
        <v>159</v>
      </c>
    </row>
    <row r="13" spans="1:32" x14ac:dyDescent="0.25">
      <c r="A13" s="4" t="str">
        <f>PLANTILLA!A18</f>
        <v>#14</v>
      </c>
      <c r="B13" s="253" t="str">
        <f>PLANTILLA!D18</f>
        <v>G. Piscaer</v>
      </c>
      <c r="C13" s="4">
        <f>PLANTILLA!E18</f>
        <v>28</v>
      </c>
      <c r="D13" s="264">
        <f ca="1">PLANTILLA!F18</f>
        <v>53</v>
      </c>
      <c r="E13" s="48">
        <f>PLANTILLA!X18</f>
        <v>0</v>
      </c>
      <c r="F13" s="48">
        <f>PLANTILLA!Y18</f>
        <v>9.25</v>
      </c>
      <c r="G13" s="48">
        <f>PLANTILLA!Z18</f>
        <v>15</v>
      </c>
      <c r="H13" s="48">
        <f>PLANTILLA!AA18</f>
        <v>3</v>
      </c>
      <c r="I13" s="48">
        <f>PLANTILLA!AB18</f>
        <v>2</v>
      </c>
      <c r="J13" s="48">
        <f>PLANTILLA!AC18</f>
        <v>9.25</v>
      </c>
      <c r="K13" s="48">
        <f>PLANTILLA!AD18</f>
        <v>18.666666666666668</v>
      </c>
      <c r="L13" s="94">
        <f>1/6.4</f>
        <v>0.15625</v>
      </c>
      <c r="M13" s="94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14">
        <f t="shared" si="6"/>
        <v>5.8831676136363635E-2</v>
      </c>
      <c r="Y13" s="114">
        <f t="shared" si="7"/>
        <v>0.25937499999999858</v>
      </c>
      <c r="Z13" s="114"/>
      <c r="AB13" t="s">
        <v>21</v>
      </c>
      <c r="AC13" t="s">
        <v>159</v>
      </c>
      <c r="AE13" t="s">
        <v>21</v>
      </c>
      <c r="AF13" t="s">
        <v>179</v>
      </c>
    </row>
    <row r="14" spans="1:32" x14ac:dyDescent="0.25">
      <c r="A14" s="4" t="str">
        <f>PLANTILLA!A17</f>
        <v>#8</v>
      </c>
      <c r="B14" s="253" t="str">
        <f>PLANTILLA!D17</f>
        <v>I. Stone</v>
      </c>
      <c r="C14" s="4">
        <f>PLANTILLA!E17</f>
        <v>27</v>
      </c>
      <c r="D14" s="264">
        <f ca="1">PLANTILLA!F17</f>
        <v>92</v>
      </c>
      <c r="E14" s="48">
        <f>PLANTILLA!X17</f>
        <v>0</v>
      </c>
      <c r="F14" s="48">
        <f>PLANTILLA!Y17</f>
        <v>8.1666666666666661</v>
      </c>
      <c r="G14" s="48">
        <f>PLANTILLA!Z17</f>
        <v>13.818181818181818</v>
      </c>
      <c r="H14" s="48">
        <f>PLANTILLA!AA17</f>
        <v>2</v>
      </c>
      <c r="I14" s="48">
        <f>PLANTILLA!AB17</f>
        <v>6</v>
      </c>
      <c r="J14" s="48">
        <f>PLANTILLA!AC17</f>
        <v>10</v>
      </c>
      <c r="K14" s="48">
        <f>PLANTILLA!AD17</f>
        <v>19</v>
      </c>
      <c r="L14" s="94">
        <f>1/7</f>
        <v>0.14285714285714285</v>
      </c>
      <c r="M14" s="94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14">
        <f t="shared" si="6"/>
        <v>5.9795454545454547E-2</v>
      </c>
      <c r="Y14" s="114">
        <f t="shared" si="7"/>
        <v>0.23714285714285666</v>
      </c>
      <c r="Z14" s="114"/>
    </row>
  </sheetData>
  <sortState xmlns:xlrd2="http://schemas.microsoft.com/office/spreadsheetml/2017/richdata2"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413</v>
      </c>
      <c r="O1"/>
      <c r="AA1" t="s">
        <v>414</v>
      </c>
      <c r="AD1" t="s">
        <v>415</v>
      </c>
    </row>
    <row r="2" spans="1:31" x14ac:dyDescent="0.25">
      <c r="B2" s="203">
        <v>44035</v>
      </c>
      <c r="O2"/>
      <c r="X2" s="202">
        <f>SUM(X4:X14)</f>
        <v>0.19899864907819456</v>
      </c>
      <c r="Y2" s="453" t="e">
        <f>SUM(Y4:Y14)</f>
        <v>#REF!</v>
      </c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7">
        <v>0.5</v>
      </c>
      <c r="M3" s="197" t="s">
        <v>171</v>
      </c>
      <c r="N3" s="199" t="s">
        <v>14</v>
      </c>
      <c r="O3" s="199" t="s">
        <v>408</v>
      </c>
      <c r="P3" s="198" t="s">
        <v>418</v>
      </c>
      <c r="Q3" s="198" t="s">
        <v>419</v>
      </c>
      <c r="R3" s="198" t="s">
        <v>420</v>
      </c>
      <c r="S3" s="198" t="s">
        <v>122</v>
      </c>
      <c r="T3" s="198" t="s">
        <v>251</v>
      </c>
      <c r="U3" s="198" t="s">
        <v>421</v>
      </c>
      <c r="V3" s="199" t="s">
        <v>123</v>
      </c>
      <c r="W3" s="199" t="s">
        <v>21</v>
      </c>
      <c r="X3" s="200" t="s">
        <v>425</v>
      </c>
      <c r="Y3" s="200" t="s">
        <v>428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PLANTILLA!A8</f>
        <v>#19</v>
      </c>
      <c r="B4" s="253" t="str">
        <f>PLANTILLA!D8</f>
        <v>A. Grimaud</v>
      </c>
      <c r="C4" s="4">
        <f>PLANTILLA!E8</f>
        <v>27</v>
      </c>
      <c r="D4" s="264">
        <f ca="1">PLANTILLA!F8</f>
        <v>61</v>
      </c>
      <c r="E4" s="48">
        <f>PLANTILLA!X8</f>
        <v>0</v>
      </c>
      <c r="F4" s="48">
        <f>PLANTILLA!Y8</f>
        <v>14.85</v>
      </c>
      <c r="G4" s="48">
        <f>PLANTILLA!Z8</f>
        <v>9.875</v>
      </c>
      <c r="H4" s="48">
        <f>PLANTILLA!AA8</f>
        <v>3</v>
      </c>
      <c r="I4" s="48">
        <f>PLANTILLA!AB8</f>
        <v>3</v>
      </c>
      <c r="J4" s="48">
        <f>PLANTILLA!AC8</f>
        <v>7.1428571428571432</v>
      </c>
      <c r="K4" s="48">
        <f>PLANTILLA!AD8</f>
        <v>18.2</v>
      </c>
      <c r="L4" s="94">
        <f>1/9</f>
        <v>0.1111111111111111</v>
      </c>
      <c r="M4" s="94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>
        <f t="shared" ref="X4:X14" si="0">MAX(N4:W4)</f>
        <v>0</v>
      </c>
      <c r="Y4" s="114">
        <f t="shared" ref="Y4:Y14" si="1">(1.66*(J4+L4)+0.55*(K4+M4)-7.6)-(1.66*(J4)+0.55*(K4)-7.6)</f>
        <v>0.20481481481481367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PLANTILLA!A9</f>
        <v>#4</v>
      </c>
      <c r="B5" s="253" t="str">
        <f>PLANTILLA!D9</f>
        <v>E. Deus</v>
      </c>
      <c r="C5" s="4">
        <f>PLANTILLA!E9</f>
        <v>27</v>
      </c>
      <c r="D5" s="264">
        <f ca="1">PLANTILLA!F9</f>
        <v>89</v>
      </c>
      <c r="E5" s="48">
        <f>PLANTILLA!X9</f>
        <v>0</v>
      </c>
      <c r="F5" s="48">
        <f>PLANTILLA!Y9</f>
        <v>14</v>
      </c>
      <c r="G5" s="48">
        <f>PLANTILLA!Z9</f>
        <v>9.125</v>
      </c>
      <c r="H5" s="48">
        <f>PLANTILLA!AA9</f>
        <v>1</v>
      </c>
      <c r="I5" s="48">
        <f>PLANTILLA!AB9</f>
        <v>6</v>
      </c>
      <c r="J5" s="48">
        <f>PLANTILLA!AC9</f>
        <v>6.4</v>
      </c>
      <c r="K5" s="48">
        <f>PLANTILLA!AD9</f>
        <v>19.2</v>
      </c>
      <c r="L5" s="94">
        <f>1/9</f>
        <v>0.1111111111111111</v>
      </c>
      <c r="M5" s="94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>
        <f t="shared" si="0"/>
        <v>0</v>
      </c>
      <c r="Y5" s="114">
        <f t="shared" si="1"/>
        <v>0.20015873015872998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PLANTILLA!A7</f>
        <v>#2</v>
      </c>
      <c r="B6" s="253" t="str">
        <f>PLANTILLA!D7</f>
        <v>S. Swärdborn</v>
      </c>
      <c r="C6" s="4">
        <f>PLANTILLA!E7</f>
        <v>27</v>
      </c>
      <c r="D6" s="264">
        <f ca="1">PLANTILLA!F7</f>
        <v>38</v>
      </c>
      <c r="E6" s="48">
        <f>PLANTILLA!X7</f>
        <v>0</v>
      </c>
      <c r="F6" s="48">
        <f>PLANTILLA!Y7</f>
        <v>14.75</v>
      </c>
      <c r="G6" s="48">
        <f>PLANTILLA!Z7</f>
        <v>9.7142857142857135</v>
      </c>
      <c r="H6" s="48">
        <f>PLANTILLA!AA7</f>
        <v>1</v>
      </c>
      <c r="I6" s="48">
        <f>PLANTILLA!AB7</f>
        <v>3</v>
      </c>
      <c r="J6" s="48">
        <f>PLANTILLA!AC7</f>
        <v>7.833333333333333</v>
      </c>
      <c r="K6" s="48">
        <f>PLANTILLA!AD7</f>
        <v>18.75</v>
      </c>
      <c r="L6" s="94">
        <f>1/11</f>
        <v>9.0909090909090912E-2</v>
      </c>
      <c r="M6" s="94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>
        <f t="shared" si="0"/>
        <v>0</v>
      </c>
      <c r="Y6" s="114">
        <f t="shared" si="1"/>
        <v>0.16662337662337734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PLANTILLA!A6</f>
        <v>#22</v>
      </c>
      <c r="B7" s="253" t="str">
        <f>PLANTILLA!D6</f>
        <v>V. Gardner</v>
      </c>
      <c r="C7" s="4">
        <f>PLANTILLA!E6</f>
        <v>27</v>
      </c>
      <c r="D7" s="264">
        <f ca="1">PLANTILLA!F6</f>
        <v>50</v>
      </c>
      <c r="E7" s="48">
        <f>PLANTILLA!X6</f>
        <v>0</v>
      </c>
      <c r="F7" s="48">
        <f>PLANTILLA!Y6</f>
        <v>15</v>
      </c>
      <c r="G7" s="48">
        <f>PLANTILLA!Z6</f>
        <v>8.125</v>
      </c>
      <c r="H7" s="48">
        <f>PLANTILLA!AA6</f>
        <v>3</v>
      </c>
      <c r="I7" s="48">
        <f>PLANTILLA!AB6</f>
        <v>5</v>
      </c>
      <c r="J7" s="48">
        <f>PLANTILLA!AC6</f>
        <v>7.333333333333333</v>
      </c>
      <c r="K7" s="48">
        <f>PLANTILLA!AD6</f>
        <v>19</v>
      </c>
      <c r="L7" s="94">
        <f>1/11</f>
        <v>9.0909090909090912E-2</v>
      </c>
      <c r="M7" s="94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>
        <f t="shared" si="0"/>
        <v>0</v>
      </c>
      <c r="Y7" s="114">
        <f t="shared" si="1"/>
        <v>0.16662337662337379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PLANTILLA!A12</f>
        <v>#10</v>
      </c>
      <c r="B8" s="253" t="str">
        <f>PLANTILLA!D12</f>
        <v>R. Forsyth</v>
      </c>
      <c r="C8" s="4">
        <f>PLANTILLA!E12</f>
        <v>28</v>
      </c>
      <c r="D8" s="264">
        <f ca="1">PLANTILLA!F12</f>
        <v>94</v>
      </c>
      <c r="E8" s="48">
        <f>PLANTILLA!X12</f>
        <v>0</v>
      </c>
      <c r="F8" s="48">
        <f>PLANTILLA!Y12</f>
        <v>11.692307692307692</v>
      </c>
      <c r="G8" s="48">
        <f>PLANTILLA!Z12</f>
        <v>14.692307692307692</v>
      </c>
      <c r="H8" s="48">
        <f>PLANTILLA!AA12</f>
        <v>3</v>
      </c>
      <c r="I8" s="48">
        <f>PLANTILLA!AB12</f>
        <v>4</v>
      </c>
      <c r="J8" s="48">
        <f>PLANTILLA!AC12</f>
        <v>7.5</v>
      </c>
      <c r="K8" s="48">
        <f>PLANTILLA!AD12</f>
        <v>19</v>
      </c>
      <c r="L8" s="94">
        <f>1/10</f>
        <v>0.1</v>
      </c>
      <c r="M8" s="94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14">
        <f t="shared" si="0"/>
        <v>3.7652272727272729E-2</v>
      </c>
      <c r="Y8" s="114">
        <f t="shared" si="1"/>
        <v>0.18637037037037274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e">
        <f>PLANTILLA!#REF!</f>
        <v>#REF!</v>
      </c>
      <c r="B9" s="253" t="e">
        <f>PLANTILLA!#REF!</f>
        <v>#REF!</v>
      </c>
      <c r="C9" s="4" t="e">
        <f>PLANTILLA!#REF!</f>
        <v>#REF!</v>
      </c>
      <c r="D9" s="264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94">
        <f>1/10</f>
        <v>0.1</v>
      </c>
      <c r="M9" s="94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14">
        <f t="shared" si="0"/>
        <v>0</v>
      </c>
      <c r="Y9" s="114" t="e">
        <f t="shared" si="1"/>
        <v>#REF!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PLANTILLA!A14</f>
        <v>#12</v>
      </c>
      <c r="B10" s="253" t="str">
        <f>PLANTILLA!D14</f>
        <v>P. Tuderek</v>
      </c>
      <c r="C10" s="4">
        <f>PLANTILLA!E14</f>
        <v>28</v>
      </c>
      <c r="D10" s="264">
        <f ca="1">PLANTILLA!F14</f>
        <v>39</v>
      </c>
      <c r="E10" s="48">
        <f>PLANTILLA!X14</f>
        <v>0</v>
      </c>
      <c r="F10" s="48">
        <f>PLANTILLA!Y14</f>
        <v>11.153846153846153</v>
      </c>
      <c r="G10" s="48">
        <f>PLANTILLA!Z14</f>
        <v>14.166666666666666</v>
      </c>
      <c r="H10" s="48">
        <f>PLANTILLA!AA14</f>
        <v>2</v>
      </c>
      <c r="I10" s="48">
        <f>PLANTILLA!AB14</f>
        <v>3</v>
      </c>
      <c r="J10" s="48">
        <f>PLANTILLA!AC14</f>
        <v>8</v>
      </c>
      <c r="K10" s="48">
        <f>PLANTILLA!AD14</f>
        <v>20.166666666666668</v>
      </c>
      <c r="L10" s="94">
        <f>1/11</f>
        <v>9.0909090909090912E-2</v>
      </c>
      <c r="M10" s="94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14">
        <f t="shared" si="0"/>
        <v>3.4229338842975209E-2</v>
      </c>
      <c r="Y10" s="114">
        <f t="shared" si="1"/>
        <v>0.15778409090908951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PLANTILLA!A16</f>
        <v>#16</v>
      </c>
      <c r="B11" s="253" t="str">
        <f>PLANTILLA!D16</f>
        <v>I. Vanags</v>
      </c>
      <c r="C11" s="4">
        <f>PLANTILLA!E16</f>
        <v>28</v>
      </c>
      <c r="D11" s="264">
        <f ca="1">PLANTILLA!F16</f>
        <v>37</v>
      </c>
      <c r="E11" s="48">
        <f>PLANTILLA!X16</f>
        <v>0</v>
      </c>
      <c r="F11" s="48">
        <f>PLANTILLA!Y16</f>
        <v>8.8571428571428577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8.2857142857142865</v>
      </c>
      <c r="K11" s="48">
        <f>PLANTILLA!AD16</f>
        <v>19.399999999999999</v>
      </c>
      <c r="L11" s="94">
        <f>1/11</f>
        <v>9.0909090909090912E-2</v>
      </c>
      <c r="M11" s="94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14">
        <f t="shared" si="0"/>
        <v>3.8051652892561988E-2</v>
      </c>
      <c r="Y11" s="114">
        <f t="shared" si="1"/>
        <v>0.16313131313131635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PLANTILLA!A18</f>
        <v>#14</v>
      </c>
      <c r="B12" s="253" t="str">
        <f>PLANTILLA!D18</f>
        <v>G. Piscaer</v>
      </c>
      <c r="C12" s="4">
        <f>PLANTILLA!E18</f>
        <v>28</v>
      </c>
      <c r="D12" s="264">
        <f ca="1">PLANTILLA!F18</f>
        <v>53</v>
      </c>
      <c r="E12" s="48">
        <f>PLANTILLA!X18</f>
        <v>0</v>
      </c>
      <c r="F12" s="48">
        <f>PLANTILLA!Y18</f>
        <v>9.25</v>
      </c>
      <c r="G12" s="48">
        <f>PLANTILLA!Z18</f>
        <v>15</v>
      </c>
      <c r="H12" s="48">
        <f>PLANTILLA!AA18</f>
        <v>3</v>
      </c>
      <c r="I12" s="48">
        <f>PLANTILLA!AB18</f>
        <v>2</v>
      </c>
      <c r="J12" s="48">
        <f>PLANTILLA!AC18</f>
        <v>9.25</v>
      </c>
      <c r="K12" s="48">
        <f>PLANTILLA!AD18</f>
        <v>18.666666666666668</v>
      </c>
      <c r="L12" s="94">
        <f>1/13</f>
        <v>7.6923076923076927E-2</v>
      </c>
      <c r="M12" s="94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14">
        <f t="shared" si="0"/>
        <v>2.8963286713286719E-2</v>
      </c>
      <c r="Y12" s="114">
        <f t="shared" si="1"/>
        <v>0.14806267806267925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PLANTILLA!A19</f>
        <v>#9</v>
      </c>
      <c r="B13" s="253" t="str">
        <f>PLANTILLA!D19</f>
        <v>M. Bondarewski</v>
      </c>
      <c r="C13" s="4">
        <f>PLANTILLA!E19</f>
        <v>28</v>
      </c>
      <c r="D13" s="264">
        <f ca="1">PLANTILLA!F19</f>
        <v>53</v>
      </c>
      <c r="E13" s="48">
        <f>PLANTILLA!X19</f>
        <v>0</v>
      </c>
      <c r="F13" s="48">
        <f>PLANTILLA!Y19</f>
        <v>8</v>
      </c>
      <c r="G13" s="48">
        <f>PLANTILLA!Z19</f>
        <v>14.846153846153847</v>
      </c>
      <c r="H13" s="48">
        <f>PLANTILLA!AA19</f>
        <v>5</v>
      </c>
      <c r="I13" s="48">
        <f>PLANTILLA!AB19</f>
        <v>4</v>
      </c>
      <c r="J13" s="48">
        <f>PLANTILLA!AC19</f>
        <v>9.125</v>
      </c>
      <c r="K13" s="48">
        <f>PLANTILLA!AD19</f>
        <v>20.166666666666668</v>
      </c>
      <c r="L13" s="94">
        <f>1/13</f>
        <v>7.6923076923076927E-2</v>
      </c>
      <c r="M13" s="94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14">
        <f t="shared" si="0"/>
        <v>3.2197552447552451E-2</v>
      </c>
      <c r="Y13" s="114">
        <f t="shared" si="1"/>
        <v>0.13991452991452746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str">
        <f>PLANTILLA!A17</f>
        <v>#8</v>
      </c>
      <c r="B14" s="253" t="str">
        <f>PLANTILLA!D17</f>
        <v>I. Stone</v>
      </c>
      <c r="C14" s="4">
        <f>PLANTILLA!E17</f>
        <v>27</v>
      </c>
      <c r="D14" s="264">
        <f ca="1">PLANTILLA!F17</f>
        <v>92</v>
      </c>
      <c r="E14" s="48">
        <f>PLANTILLA!X17</f>
        <v>0</v>
      </c>
      <c r="F14" s="48">
        <f>PLANTILLA!Y17</f>
        <v>8.1666666666666661</v>
      </c>
      <c r="G14" s="48">
        <f>PLANTILLA!Z17</f>
        <v>13.818181818181818</v>
      </c>
      <c r="H14" s="48">
        <f>PLANTILLA!AA17</f>
        <v>2</v>
      </c>
      <c r="I14" s="48">
        <f>PLANTILLA!AB17</f>
        <v>6</v>
      </c>
      <c r="J14" s="48">
        <f>PLANTILLA!AC17</f>
        <v>10</v>
      </c>
      <c r="K14" s="48">
        <f>PLANTILLA!AD17</f>
        <v>19</v>
      </c>
      <c r="L14" s="94">
        <f>1/15</f>
        <v>6.6666666666666666E-2</v>
      </c>
      <c r="M14" s="94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14">
        <f t="shared" si="0"/>
        <v>2.7904545454545456E-2</v>
      </c>
      <c r="Y14" s="114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413</v>
      </c>
      <c r="O1"/>
      <c r="AB1" t="s">
        <v>414</v>
      </c>
      <c r="AE1" t="s">
        <v>415</v>
      </c>
    </row>
    <row r="2" spans="1:32" x14ac:dyDescent="0.25">
      <c r="B2" s="203">
        <v>44035</v>
      </c>
      <c r="O2"/>
      <c r="X2" s="202" t="e">
        <f>SUM(X4:X14)</f>
        <v>#REF!</v>
      </c>
      <c r="Y2" s="202">
        <f>SUM(Y4:Y14)</f>
        <v>0.10999999999999943</v>
      </c>
      <c r="Z2" s="453" t="e">
        <f>Y2+X2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7">
        <v>1</v>
      </c>
      <c r="M3" s="197">
        <v>1.25</v>
      </c>
      <c r="N3" s="199" t="s">
        <v>14</v>
      </c>
      <c r="O3" s="199" t="s">
        <v>408</v>
      </c>
      <c r="P3" s="198" t="s">
        <v>418</v>
      </c>
      <c r="Q3" s="198" t="s">
        <v>419</v>
      </c>
      <c r="R3" s="198" t="s">
        <v>420</v>
      </c>
      <c r="S3" s="198" t="s">
        <v>122</v>
      </c>
      <c r="T3" s="198" t="s">
        <v>251</v>
      </c>
      <c r="U3" s="198" t="s">
        <v>421</v>
      </c>
      <c r="V3" s="199" t="s">
        <v>123</v>
      </c>
      <c r="W3" s="199" t="s">
        <v>21</v>
      </c>
      <c r="X3" s="200" t="s">
        <v>426</v>
      </c>
      <c r="Y3" s="200" t="s">
        <v>587</v>
      </c>
      <c r="Z3" s="202"/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PLANTILLA!A8</f>
        <v>#19</v>
      </c>
      <c r="B4" s="253" t="str">
        <f>PLANTILLA!D8</f>
        <v>A. Grimaud</v>
      </c>
      <c r="C4" s="4">
        <f>PLANTILLA!E8</f>
        <v>27</v>
      </c>
      <c r="D4" s="264">
        <f ca="1">PLANTILLA!F8</f>
        <v>61</v>
      </c>
      <c r="E4" s="48">
        <f>PLANTILLA!X8</f>
        <v>0</v>
      </c>
      <c r="F4" s="48">
        <f>PLANTILLA!Y8</f>
        <v>14.85</v>
      </c>
      <c r="G4" s="48">
        <f>PLANTILLA!Z8</f>
        <v>9.875</v>
      </c>
      <c r="H4" s="48">
        <f>PLANTILLA!AA8</f>
        <v>3</v>
      </c>
      <c r="I4" s="48">
        <f>PLANTILLA!AB8</f>
        <v>3</v>
      </c>
      <c r="J4" s="48">
        <f>PLANTILLA!AC8</f>
        <v>7.1428571428571432</v>
      </c>
      <c r="K4" s="48">
        <f>PLANTILLA!AD8</f>
        <v>18.2</v>
      </c>
      <c r="L4" s="94">
        <f>1/3</f>
        <v>0.33333333333333331</v>
      </c>
      <c r="M4" s="94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14">
        <f t="shared" ref="X4:X14" si="0">(1.66*(J4)+0.55*(K4+L4)-7.6)-(1.66*(J4)+0.55*(K4)-7.6)</f>
        <v>0.18333333333333002</v>
      </c>
      <c r="Y4" s="114"/>
      <c r="Z4" s="114"/>
      <c r="AB4" t="s">
        <v>407</v>
      </c>
      <c r="AC4" t="s">
        <v>423</v>
      </c>
      <c r="AE4" t="s">
        <v>407</v>
      </c>
      <c r="AF4" t="str">
        <f>AC4</f>
        <v>B. Pinczehelyi</v>
      </c>
    </row>
    <row r="5" spans="1:32" x14ac:dyDescent="0.25">
      <c r="A5" s="4" t="str">
        <f>PLANTILLA!A12</f>
        <v>#10</v>
      </c>
      <c r="B5" s="253" t="str">
        <f>PLANTILLA!D12</f>
        <v>R. Forsyth</v>
      </c>
      <c r="C5" s="4">
        <f>PLANTILLA!E12</f>
        <v>28</v>
      </c>
      <c r="D5" s="264">
        <f ca="1">PLANTILLA!F12</f>
        <v>94</v>
      </c>
      <c r="E5" s="48">
        <f>PLANTILLA!X12</f>
        <v>0</v>
      </c>
      <c r="F5" s="48">
        <f>PLANTILLA!Y12</f>
        <v>11.692307692307692</v>
      </c>
      <c r="G5" s="48">
        <f>PLANTILLA!Z12</f>
        <v>14.692307692307692</v>
      </c>
      <c r="H5" s="48">
        <f>PLANTILLA!AA12</f>
        <v>3</v>
      </c>
      <c r="I5" s="48">
        <f>PLANTILLA!AB12</f>
        <v>4</v>
      </c>
      <c r="J5" s="48">
        <f>PLANTILLA!AC12</f>
        <v>7.5</v>
      </c>
      <c r="K5" s="48">
        <f>PLANTILLA!AD12</f>
        <v>19</v>
      </c>
      <c r="L5" s="94">
        <f>1/4</f>
        <v>0.25</v>
      </c>
      <c r="M5" s="94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14">
        <f t="shared" si="0"/>
        <v>0.13750000000000284</v>
      </c>
      <c r="Y5" s="114"/>
      <c r="Z5" s="114"/>
      <c r="AB5" t="s">
        <v>408</v>
      </c>
      <c r="AC5" t="s">
        <v>177</v>
      </c>
      <c r="AE5" t="s">
        <v>412</v>
      </c>
      <c r="AF5" t="s">
        <v>176</v>
      </c>
    </row>
    <row r="6" spans="1:32" x14ac:dyDescent="0.25">
      <c r="A6" s="4" t="str">
        <f>PLANTILLA!A18</f>
        <v>#14</v>
      </c>
      <c r="B6" s="253" t="str">
        <f>PLANTILLA!D18</f>
        <v>G. Piscaer</v>
      </c>
      <c r="C6" s="4">
        <f>PLANTILLA!E18</f>
        <v>28</v>
      </c>
      <c r="D6" s="264">
        <f ca="1">PLANTILLA!F18</f>
        <v>53</v>
      </c>
      <c r="E6" s="48">
        <f>PLANTILLA!X18</f>
        <v>0</v>
      </c>
      <c r="F6" s="48">
        <f>PLANTILLA!Y18</f>
        <v>9.25</v>
      </c>
      <c r="G6" s="48">
        <f>PLANTILLA!Z18</f>
        <v>15</v>
      </c>
      <c r="H6" s="48">
        <f>PLANTILLA!AA18</f>
        <v>3</v>
      </c>
      <c r="I6" s="48">
        <f>PLANTILLA!AB18</f>
        <v>2</v>
      </c>
      <c r="J6" s="48">
        <f>PLANTILLA!AC18</f>
        <v>9.25</v>
      </c>
      <c r="K6" s="48">
        <f>PLANTILLA!AD18</f>
        <v>18.666666666666668</v>
      </c>
      <c r="L6" s="94">
        <f>1/3</f>
        <v>0.33333333333333331</v>
      </c>
      <c r="M6" s="94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14">
        <f t="shared" si="0"/>
        <v>0.18333333333333002</v>
      </c>
      <c r="Y6" s="114"/>
      <c r="Z6" s="114"/>
      <c r="AB6" t="s">
        <v>407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PLANTILLA!A19</f>
        <v>#9</v>
      </c>
      <c r="B7" s="253" t="str">
        <f>PLANTILLA!D19</f>
        <v>M. Bondarewski</v>
      </c>
      <c r="C7" s="4">
        <f>PLANTILLA!E19</f>
        <v>28</v>
      </c>
      <c r="D7" s="264">
        <f ca="1">PLANTILLA!F19</f>
        <v>53</v>
      </c>
      <c r="E7" s="48">
        <f>PLANTILLA!X19</f>
        <v>0</v>
      </c>
      <c r="F7" s="48">
        <f>PLANTILLA!Y19</f>
        <v>8</v>
      </c>
      <c r="G7" s="48">
        <f>PLANTILLA!Z19</f>
        <v>14.846153846153847</v>
      </c>
      <c r="H7" s="48">
        <f>PLANTILLA!AA19</f>
        <v>5</v>
      </c>
      <c r="I7" s="48">
        <f>PLANTILLA!AB19</f>
        <v>4</v>
      </c>
      <c r="J7" s="48">
        <f>PLANTILLA!AC19</f>
        <v>9.125</v>
      </c>
      <c r="K7" s="48">
        <f>PLANTILLA!AD19</f>
        <v>20.166666666666668</v>
      </c>
      <c r="L7" s="94">
        <f>1/6</f>
        <v>0.16666666666666666</v>
      </c>
      <c r="M7" s="94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14"/>
      <c r="Y7" s="114">
        <f>(1.66*(J7)+0.55*(K7+M7)-7.6)-(1.66*(J7)+0.55*(K7)-7.6)</f>
        <v>0.10999999999999943</v>
      </c>
      <c r="Z7" s="114"/>
      <c r="AB7" t="s">
        <v>251</v>
      </c>
      <c r="AC7" t="s">
        <v>131</v>
      </c>
      <c r="AE7" t="s">
        <v>412</v>
      </c>
      <c r="AF7" t="s">
        <v>175</v>
      </c>
    </row>
    <row r="8" spans="1:32" x14ac:dyDescent="0.25">
      <c r="A8" s="4" t="str">
        <f>PLANTILLA!A7</f>
        <v>#2</v>
      </c>
      <c r="B8" s="253" t="str">
        <f>PLANTILLA!D7</f>
        <v>S. Swärdborn</v>
      </c>
      <c r="C8" s="4">
        <f>PLANTILLA!E7</f>
        <v>27</v>
      </c>
      <c r="D8" s="264">
        <f ca="1">PLANTILLA!F7</f>
        <v>38</v>
      </c>
      <c r="E8" s="48">
        <f>PLANTILLA!X7</f>
        <v>0</v>
      </c>
      <c r="F8" s="48">
        <f>PLANTILLA!Y7</f>
        <v>14.75</v>
      </c>
      <c r="G8" s="48">
        <f>PLANTILLA!Z7</f>
        <v>9.7142857142857135</v>
      </c>
      <c r="H8" s="48">
        <f>PLANTILLA!AA7</f>
        <v>1</v>
      </c>
      <c r="I8" s="48">
        <f>PLANTILLA!AB7</f>
        <v>3</v>
      </c>
      <c r="J8" s="48">
        <f>PLANTILLA!AC7</f>
        <v>7.833333333333333</v>
      </c>
      <c r="K8" s="48">
        <f>PLANTILLA!AD7</f>
        <v>18.75</v>
      </c>
      <c r="L8" s="94">
        <f>1/4</f>
        <v>0.25</v>
      </c>
      <c r="M8" s="94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14">
        <f t="shared" si="0"/>
        <v>0.13750000000000284</v>
      </c>
      <c r="Y8" s="114"/>
      <c r="Z8" s="114"/>
      <c r="AB8" t="s">
        <v>122</v>
      </c>
      <c r="AC8" t="s">
        <v>180</v>
      </c>
      <c r="AE8" t="s">
        <v>407</v>
      </c>
      <c r="AF8" t="s">
        <v>130</v>
      </c>
    </row>
    <row r="9" spans="1:32" x14ac:dyDescent="0.25">
      <c r="A9" s="4" t="str">
        <f>PLANTILLA!A6</f>
        <v>#22</v>
      </c>
      <c r="B9" s="253" t="str">
        <f>PLANTILLA!D6</f>
        <v>V. Gardner</v>
      </c>
      <c r="C9" s="4">
        <f>PLANTILLA!E6</f>
        <v>27</v>
      </c>
      <c r="D9" s="264">
        <f ca="1">PLANTILLA!F6</f>
        <v>50</v>
      </c>
      <c r="E9" s="48">
        <f>PLANTILLA!X6</f>
        <v>0</v>
      </c>
      <c r="F9" s="48">
        <f>PLANTILLA!Y6</f>
        <v>15</v>
      </c>
      <c r="G9" s="48">
        <f>PLANTILLA!Z6</f>
        <v>8.125</v>
      </c>
      <c r="H9" s="48">
        <f>PLANTILLA!AA6</f>
        <v>3</v>
      </c>
      <c r="I9" s="48">
        <f>PLANTILLA!AB6</f>
        <v>5</v>
      </c>
      <c r="J9" s="48">
        <f>PLANTILLA!AC6</f>
        <v>7.333333333333333</v>
      </c>
      <c r="K9" s="48">
        <f>PLANTILLA!AD6</f>
        <v>19</v>
      </c>
      <c r="L9" s="94">
        <f>1/4</f>
        <v>0.25</v>
      </c>
      <c r="M9" s="94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14">
        <f t="shared" si="0"/>
        <v>0.13749999999999574</v>
      </c>
      <c r="Y9" s="114"/>
      <c r="Z9" s="114"/>
      <c r="AB9" t="s">
        <v>251</v>
      </c>
      <c r="AC9" t="s">
        <v>178</v>
      </c>
      <c r="AE9" t="s">
        <v>251</v>
      </c>
      <c r="AF9" t="s">
        <v>178</v>
      </c>
    </row>
    <row r="10" spans="1:32" x14ac:dyDescent="0.25">
      <c r="A10" s="4" t="str">
        <f>PLANTILLA!A9</f>
        <v>#4</v>
      </c>
      <c r="B10" s="253" t="str">
        <f>PLANTILLA!D9</f>
        <v>E. Deus</v>
      </c>
      <c r="C10" s="4">
        <f>PLANTILLA!E9</f>
        <v>27</v>
      </c>
      <c r="D10" s="264">
        <f ca="1">PLANTILLA!F9</f>
        <v>89</v>
      </c>
      <c r="E10" s="48">
        <f>PLANTILLA!X9</f>
        <v>0</v>
      </c>
      <c r="F10" s="48">
        <f>PLANTILLA!Y9</f>
        <v>14</v>
      </c>
      <c r="G10" s="48">
        <f>PLANTILLA!Z9</f>
        <v>9.125</v>
      </c>
      <c r="H10" s="48">
        <f>PLANTILLA!AA9</f>
        <v>1</v>
      </c>
      <c r="I10" s="48">
        <f>PLANTILLA!AB9</f>
        <v>6</v>
      </c>
      <c r="J10" s="48">
        <f>PLANTILLA!AC9</f>
        <v>6.4</v>
      </c>
      <c r="K10" s="48">
        <f>PLANTILLA!AD9</f>
        <v>19.2</v>
      </c>
      <c r="L10" s="94">
        <f>1/4</f>
        <v>0.25</v>
      </c>
      <c r="M10" s="94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14">
        <f t="shared" si="0"/>
        <v>0.13749999999999929</v>
      </c>
      <c r="Y10" s="114"/>
      <c r="Z10" s="114"/>
      <c r="AB10" t="s">
        <v>254</v>
      </c>
      <c r="AC10" t="s">
        <v>130</v>
      </c>
      <c r="AE10" t="s">
        <v>251</v>
      </c>
      <c r="AF10" t="s">
        <v>131</v>
      </c>
    </row>
    <row r="11" spans="1:32" x14ac:dyDescent="0.25">
      <c r="A11" s="4" t="str">
        <f>PLANTILLA!A16</f>
        <v>#16</v>
      </c>
      <c r="B11" s="253" t="str">
        <f>PLANTILLA!D16</f>
        <v>I. Vanags</v>
      </c>
      <c r="C11" s="4">
        <f>PLANTILLA!E16</f>
        <v>28</v>
      </c>
      <c r="D11" s="264">
        <f ca="1">PLANTILLA!F16</f>
        <v>37</v>
      </c>
      <c r="E11" s="48">
        <f>PLANTILLA!X16</f>
        <v>0</v>
      </c>
      <c r="F11" s="48">
        <f>PLANTILLA!Y16</f>
        <v>8.8571428571428577</v>
      </c>
      <c r="G11" s="48">
        <f>PLANTILLA!Z16</f>
        <v>15</v>
      </c>
      <c r="H11" s="48">
        <f>PLANTILLA!AA16</f>
        <v>3</v>
      </c>
      <c r="I11" s="48">
        <f>PLANTILLA!AB16</f>
        <v>4</v>
      </c>
      <c r="J11" s="48">
        <f>PLANTILLA!AC16</f>
        <v>8.2857142857142865</v>
      </c>
      <c r="K11" s="48">
        <f>PLANTILLA!AD16</f>
        <v>19.399999999999999</v>
      </c>
      <c r="L11" s="94">
        <f>1/6</f>
        <v>0.16666666666666666</v>
      </c>
      <c r="M11" s="94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14">
        <f t="shared" si="0"/>
        <v>9.1666666666668561E-2</v>
      </c>
      <c r="Y11" s="114"/>
      <c r="Z11" s="114"/>
      <c r="AB11" t="s">
        <v>254</v>
      </c>
      <c r="AC11" t="s">
        <v>181</v>
      </c>
      <c r="AE11" t="s">
        <v>254</v>
      </c>
      <c r="AF11" t="s">
        <v>181</v>
      </c>
    </row>
    <row r="12" spans="1:32" x14ac:dyDescent="0.25">
      <c r="A12" s="4" t="str">
        <f>PLANTILLA!A17</f>
        <v>#8</v>
      </c>
      <c r="B12" s="253" t="str">
        <f>PLANTILLA!D17</f>
        <v>I. Stone</v>
      </c>
      <c r="C12" s="4">
        <f>PLANTILLA!E17</f>
        <v>27</v>
      </c>
      <c r="D12" s="264">
        <f ca="1">PLANTILLA!F17</f>
        <v>92</v>
      </c>
      <c r="E12" s="48">
        <f>PLANTILLA!X17</f>
        <v>0</v>
      </c>
      <c r="F12" s="48">
        <f>PLANTILLA!Y17</f>
        <v>8.1666666666666661</v>
      </c>
      <c r="G12" s="48">
        <f>PLANTILLA!Z17</f>
        <v>13.818181818181818</v>
      </c>
      <c r="H12" s="48">
        <f>PLANTILLA!AA17</f>
        <v>2</v>
      </c>
      <c r="I12" s="48">
        <f>PLANTILLA!AB17</f>
        <v>6</v>
      </c>
      <c r="J12" s="48">
        <f>PLANTILLA!AC17</f>
        <v>10</v>
      </c>
      <c r="K12" s="48">
        <f>PLANTILLA!AD17</f>
        <v>19</v>
      </c>
      <c r="L12" s="94">
        <f>1/4</f>
        <v>0.25</v>
      </c>
      <c r="M12" s="94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14">
        <f t="shared" si="0"/>
        <v>0.13750000000000284</v>
      </c>
      <c r="Y12" s="114"/>
      <c r="Z12" s="114"/>
      <c r="AB12" t="s">
        <v>21</v>
      </c>
      <c r="AC12" t="s">
        <v>179</v>
      </c>
      <c r="AE12" t="s">
        <v>254</v>
      </c>
      <c r="AF12" t="s">
        <v>159</v>
      </c>
    </row>
    <row r="13" spans="1:32" x14ac:dyDescent="0.25">
      <c r="A13" s="4" t="str">
        <f>PLANTILLA!A14</f>
        <v>#12</v>
      </c>
      <c r="B13" s="253" t="str">
        <f>PLANTILLA!D14</f>
        <v>P. Tuderek</v>
      </c>
      <c r="C13" s="4">
        <f>PLANTILLA!E14</f>
        <v>28</v>
      </c>
      <c r="D13" s="264">
        <f ca="1">PLANTILLA!F14</f>
        <v>39</v>
      </c>
      <c r="E13" s="48">
        <f>PLANTILLA!X14</f>
        <v>0</v>
      </c>
      <c r="F13" s="48">
        <f>PLANTILLA!Y14</f>
        <v>11.153846153846153</v>
      </c>
      <c r="G13" s="48">
        <f>PLANTILLA!Z14</f>
        <v>14.166666666666666</v>
      </c>
      <c r="H13" s="48">
        <f>PLANTILLA!AA14</f>
        <v>2</v>
      </c>
      <c r="I13" s="48">
        <f>PLANTILLA!AB14</f>
        <v>3</v>
      </c>
      <c r="J13" s="48">
        <f>PLANTILLA!AC14</f>
        <v>8</v>
      </c>
      <c r="K13" s="48">
        <f>PLANTILLA!AD14</f>
        <v>20.166666666666668</v>
      </c>
      <c r="L13" s="94">
        <f>1/6</f>
        <v>0.16666666666666666</v>
      </c>
      <c r="M13" s="94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14">
        <f t="shared" si="0"/>
        <v>9.1666666666668561E-2</v>
      </c>
      <c r="Y13" s="114"/>
      <c r="Z13" s="114"/>
      <c r="AB13" t="s">
        <v>21</v>
      </c>
      <c r="AC13" t="s">
        <v>159</v>
      </c>
      <c r="AE13" t="s">
        <v>21</v>
      </c>
      <c r="AF13" t="s">
        <v>179</v>
      </c>
    </row>
    <row r="14" spans="1:32" x14ac:dyDescent="0.25">
      <c r="A14" s="4" t="e">
        <f>PLANTILLA!#REF!</f>
        <v>#REF!</v>
      </c>
      <c r="B14" s="253" t="e">
        <f>PLANTILLA!#REF!</f>
        <v>#REF!</v>
      </c>
      <c r="C14" s="4" t="e">
        <f>PLANTILLA!#REF!</f>
        <v>#REF!</v>
      </c>
      <c r="D14" s="264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1/6</f>
        <v>0.16666666666666666</v>
      </c>
      <c r="M14" s="94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14" t="e">
        <f t="shared" si="0"/>
        <v>#REF!</v>
      </c>
      <c r="Y14" s="114"/>
      <c r="Z14" s="114"/>
    </row>
  </sheetData>
  <sortState xmlns:xlrd2="http://schemas.microsoft.com/office/spreadsheetml/2017/richdata2"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B1" zoomScale="80" workbookViewId="0">
      <selection activeCell="U3" sqref="U3:W7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429</v>
      </c>
      <c r="N1" s="7" t="s">
        <v>430</v>
      </c>
      <c r="O1" s="7" t="s">
        <v>431</v>
      </c>
      <c r="P1" s="7" t="s">
        <v>432</v>
      </c>
      <c r="Q1" s="7" t="s">
        <v>433</v>
      </c>
      <c r="R1" s="7" t="s">
        <v>434</v>
      </c>
      <c r="S1" s="7" t="s">
        <v>435</v>
      </c>
    </row>
    <row r="2" spans="1:30" x14ac:dyDescent="0.25">
      <c r="C2" s="8" t="s">
        <v>436</v>
      </c>
      <c r="D2" s="567" t="s">
        <v>437</v>
      </c>
      <c r="E2" s="567"/>
      <c r="F2" s="568" t="s">
        <v>438</v>
      </c>
      <c r="G2" s="568"/>
      <c r="H2" s="569" t="s">
        <v>439</v>
      </c>
      <c r="I2" s="569"/>
      <c r="K2" t="s">
        <v>440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x14ac:dyDescent="0.25">
      <c r="A3" s="12" t="s">
        <v>441</v>
      </c>
      <c r="B3" s="13">
        <f>B4+B5+B6+B7</f>
        <v>58108</v>
      </c>
      <c r="C3" s="14">
        <f>C4+C5+C6+C7</f>
        <v>62221.81</v>
      </c>
      <c r="D3" s="4" t="s">
        <v>442</v>
      </c>
      <c r="E3" s="4" t="s">
        <v>443</v>
      </c>
      <c r="F3" s="4" t="s">
        <v>442</v>
      </c>
      <c r="G3" s="4" t="s">
        <v>444</v>
      </c>
      <c r="H3" s="4" t="s">
        <v>442</v>
      </c>
      <c r="I3" s="5" t="s">
        <v>445</v>
      </c>
      <c r="J3" s="4" t="s">
        <v>446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639</v>
      </c>
      <c r="V3" t="s">
        <v>640</v>
      </c>
      <c r="W3" t="s">
        <v>641</v>
      </c>
    </row>
    <row r="4" spans="1:30" x14ac:dyDescent="0.25">
      <c r="A4" s="12" t="s">
        <v>447</v>
      </c>
      <c r="B4" s="13">
        <v>33476</v>
      </c>
      <c r="C4" s="68">
        <v>35404.46</v>
      </c>
      <c r="D4" s="17">
        <v>45</v>
      </c>
      <c r="E4" s="4">
        <f>D4*(C4-B4)</f>
        <v>86780.699999999953</v>
      </c>
      <c r="F4" s="18">
        <v>0.5</v>
      </c>
      <c r="G4" s="4">
        <f>(C4-B4)*F4</f>
        <v>964.22999999999956</v>
      </c>
      <c r="H4" s="18">
        <v>7</v>
      </c>
      <c r="I4" s="5">
        <f>(C4-B4)*H4</f>
        <v>13499.219999999994</v>
      </c>
      <c r="J4" s="4">
        <f>H4*C4</f>
        <v>247831.22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448</v>
      </c>
      <c r="B5" s="13">
        <v>12637</v>
      </c>
      <c r="C5" s="21">
        <v>13589.31</v>
      </c>
      <c r="D5" s="19">
        <v>75</v>
      </c>
      <c r="E5" s="4">
        <f>D5*(C5-B5)</f>
        <v>71423.249999999956</v>
      </c>
      <c r="F5" s="20">
        <v>0.7</v>
      </c>
      <c r="G5" s="4">
        <f>(C5-B5)*F5</f>
        <v>666.61699999999962</v>
      </c>
      <c r="H5" s="20">
        <v>10</v>
      </c>
      <c r="I5" s="5">
        <f>(C5-B5)*H5</f>
        <v>9523.0999999999949</v>
      </c>
      <c r="J5" s="4">
        <f>H5*C5</f>
        <v>135893.1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449</v>
      </c>
      <c r="B6" s="13">
        <v>10712</v>
      </c>
      <c r="C6" s="21">
        <v>11810.75</v>
      </c>
      <c r="D6" s="17">
        <v>90</v>
      </c>
      <c r="E6" s="4">
        <f>D6*(C6-B6)</f>
        <v>98887.5</v>
      </c>
      <c r="F6" s="18">
        <v>1</v>
      </c>
      <c r="G6" s="4">
        <f>(C6-B6)*F6</f>
        <v>1098.75</v>
      </c>
      <c r="H6" s="18">
        <v>19</v>
      </c>
      <c r="I6" s="5">
        <f>(C6-B6)*H6</f>
        <v>20876.25</v>
      </c>
      <c r="J6" s="4">
        <f>H6*C6</f>
        <v>224404.25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x14ac:dyDescent="0.25">
      <c r="A7" s="12" t="s">
        <v>450</v>
      </c>
      <c r="B7" s="13">
        <v>1283</v>
      </c>
      <c r="C7" s="22">
        <v>1417.29</v>
      </c>
      <c r="D7" s="19">
        <v>300</v>
      </c>
      <c r="E7" s="4">
        <f>D7*(C7-B7)</f>
        <v>40286.999999999985</v>
      </c>
      <c r="F7" s="20">
        <v>2.5</v>
      </c>
      <c r="G7" s="4">
        <f>(C7-B7)*F7</f>
        <v>335.72499999999991</v>
      </c>
      <c r="H7" s="20">
        <v>35</v>
      </c>
      <c r="I7" s="5">
        <f>(C7-B7)*H7</f>
        <v>4700.1499999999987</v>
      </c>
      <c r="J7" s="4">
        <f>H7*C7</f>
        <v>49605.15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657733.72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0.2184010719071014</v>
      </c>
      <c r="E9" s="36">
        <v>35404.46</v>
      </c>
      <c r="F9" s="49">
        <f>E9-B4</f>
        <v>1928.4599999999991</v>
      </c>
      <c r="G9">
        <f>45*(24422-8000)</f>
        <v>738990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3.253318506876459E-2</v>
      </c>
      <c r="C10" s="25">
        <f>C6/$C$3</f>
        <v>0.18981688253684681</v>
      </c>
      <c r="E10" s="36">
        <v>13589.31</v>
      </c>
      <c r="F10" s="49">
        <f t="shared" ref="F10:F12" si="3">E10-B5</f>
        <v>952.30999999999949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451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1098.75</v>
      </c>
      <c r="G11">
        <f>90*(7902-1000)</f>
        <v>621180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452</v>
      </c>
      <c r="B12" s="29">
        <f>E7+E6+E5+E4</f>
        <v>297378.4499999999</v>
      </c>
      <c r="E12" s="36">
        <v>1417.29</v>
      </c>
      <c r="F12" s="49">
        <f t="shared" si="3"/>
        <v>134.28999999999996</v>
      </c>
      <c r="G12">
        <f>300*978</f>
        <v>293400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243</v>
      </c>
      <c r="B13" s="31">
        <f>B11+B12</f>
        <v>307378.4499999999</v>
      </c>
      <c r="G13">
        <f>10000*10</f>
        <v>100000</v>
      </c>
    </row>
    <row r="15" spans="1:30" x14ac:dyDescent="0.25">
      <c r="A15" s="2"/>
      <c r="B15" s="32" t="s">
        <v>196</v>
      </c>
      <c r="C15" s="32" t="s">
        <v>197</v>
      </c>
      <c r="D15" s="32" t="s">
        <v>198</v>
      </c>
      <c r="E15" s="32" t="s">
        <v>199</v>
      </c>
      <c r="F15" s="32" t="s">
        <v>200</v>
      </c>
      <c r="G15" s="32" t="s">
        <v>201</v>
      </c>
      <c r="H15" s="32" t="s">
        <v>202</v>
      </c>
      <c r="I15" s="32" t="s">
        <v>203</v>
      </c>
      <c r="J15" s="32" t="s">
        <v>204</v>
      </c>
      <c r="K15" s="32" t="s">
        <v>205</v>
      </c>
      <c r="L15" s="32" t="s">
        <v>206</v>
      </c>
      <c r="M15" s="32" t="s">
        <v>207</v>
      </c>
      <c r="N15" s="32" t="s">
        <v>208</v>
      </c>
      <c r="O15" s="32" t="s">
        <v>209</v>
      </c>
      <c r="P15" s="32" t="s">
        <v>210</v>
      </c>
      <c r="Q15" s="32" t="s">
        <v>195</v>
      </c>
      <c r="R15" s="32" t="s">
        <v>196</v>
      </c>
      <c r="S15" s="32" t="s">
        <v>197</v>
      </c>
      <c r="T15" s="32" t="s">
        <v>198</v>
      </c>
      <c r="U15" s="32" t="s">
        <v>199</v>
      </c>
      <c r="V15" s="32" t="s">
        <v>200</v>
      </c>
      <c r="W15" s="32" t="s">
        <v>201</v>
      </c>
      <c r="X15" s="32" t="s">
        <v>202</v>
      </c>
      <c r="Y15" s="32" t="s">
        <v>203</v>
      </c>
      <c r="Z15" s="32" t="s">
        <v>204</v>
      </c>
      <c r="AA15" s="32" t="s">
        <v>205</v>
      </c>
      <c r="AB15" s="32" t="s">
        <v>206</v>
      </c>
      <c r="AC15" s="32" t="s">
        <v>207</v>
      </c>
      <c r="AD15" s="32" t="s">
        <v>208</v>
      </c>
    </row>
    <row r="16" spans="1:30" x14ac:dyDescent="0.25">
      <c r="A16" s="33" t="s">
        <v>453</v>
      </c>
      <c r="B16" s="33">
        <v>2779</v>
      </c>
      <c r="C16" s="33">
        <f>B16+2</f>
        <v>2781</v>
      </c>
      <c r="D16" s="33">
        <f t="shared" ref="D16:AD16" si="4">C16+2</f>
        <v>2783</v>
      </c>
      <c r="E16" s="33">
        <f t="shared" si="4"/>
        <v>2785</v>
      </c>
      <c r="F16" s="33">
        <f t="shared" si="4"/>
        <v>2787</v>
      </c>
      <c r="G16" s="33">
        <f t="shared" si="4"/>
        <v>2789</v>
      </c>
      <c r="H16" s="33">
        <f t="shared" si="4"/>
        <v>2791</v>
      </c>
      <c r="I16" s="33">
        <f t="shared" si="4"/>
        <v>2793</v>
      </c>
      <c r="J16" s="33">
        <f t="shared" si="4"/>
        <v>2795</v>
      </c>
      <c r="K16" s="33">
        <f t="shared" si="4"/>
        <v>2797</v>
      </c>
      <c r="L16" s="33">
        <f t="shared" si="4"/>
        <v>2799</v>
      </c>
      <c r="M16" s="33">
        <f t="shared" si="4"/>
        <v>2801</v>
      </c>
      <c r="N16" s="33">
        <f t="shared" si="4"/>
        <v>2803</v>
      </c>
      <c r="O16" s="33">
        <f t="shared" si="4"/>
        <v>2805</v>
      </c>
      <c r="P16" s="33">
        <f t="shared" si="4"/>
        <v>2807</v>
      </c>
      <c r="Q16" s="33">
        <f t="shared" si="4"/>
        <v>2809</v>
      </c>
      <c r="R16" s="33">
        <f t="shared" si="4"/>
        <v>2811</v>
      </c>
      <c r="S16" s="33">
        <f t="shared" si="4"/>
        <v>2813</v>
      </c>
      <c r="T16" s="33">
        <f t="shared" si="4"/>
        <v>2815</v>
      </c>
      <c r="U16" s="33">
        <f t="shared" si="4"/>
        <v>2817</v>
      </c>
      <c r="V16" s="33">
        <f t="shared" si="4"/>
        <v>2819</v>
      </c>
      <c r="W16" s="33">
        <f t="shared" si="4"/>
        <v>2821</v>
      </c>
      <c r="X16" s="33">
        <f t="shared" si="4"/>
        <v>2823</v>
      </c>
      <c r="Y16" s="33">
        <f t="shared" si="4"/>
        <v>2825</v>
      </c>
      <c r="Z16" s="33">
        <f t="shared" si="4"/>
        <v>2827</v>
      </c>
      <c r="AA16" s="33">
        <f t="shared" si="4"/>
        <v>2829</v>
      </c>
      <c r="AB16" s="33">
        <f t="shared" si="4"/>
        <v>2831</v>
      </c>
      <c r="AC16" s="33">
        <f t="shared" si="4"/>
        <v>2833</v>
      </c>
      <c r="AD16" s="33">
        <f t="shared" si="4"/>
        <v>2835</v>
      </c>
    </row>
    <row r="17" spans="1:30" x14ac:dyDescent="0.25">
      <c r="A17" s="33"/>
      <c r="B17" s="34">
        <f t="shared" ref="B17:AD17" si="5">B18+B19+B20+B21</f>
        <v>62221.81</v>
      </c>
      <c r="C17" s="34">
        <f t="shared" si="5"/>
        <v>62266.59</v>
      </c>
      <c r="D17" s="34">
        <f t="shared" si="5"/>
        <v>62311.369999999995</v>
      </c>
      <c r="E17" s="34">
        <f t="shared" si="5"/>
        <v>62356.15</v>
      </c>
      <c r="F17" s="34">
        <f t="shared" si="5"/>
        <v>62400.93</v>
      </c>
      <c r="G17" s="34">
        <f t="shared" si="5"/>
        <v>62445.71</v>
      </c>
      <c r="H17" s="34">
        <f t="shared" si="5"/>
        <v>62490.490000000005</v>
      </c>
      <c r="I17" s="34">
        <f t="shared" si="5"/>
        <v>62535.27</v>
      </c>
      <c r="J17" s="34">
        <f t="shared" si="5"/>
        <v>62580.05</v>
      </c>
      <c r="K17" s="34">
        <f t="shared" si="5"/>
        <v>62624.83</v>
      </c>
      <c r="L17" s="34">
        <f t="shared" si="5"/>
        <v>62669.61</v>
      </c>
      <c r="M17" s="34">
        <f t="shared" si="5"/>
        <v>62714.39</v>
      </c>
      <c r="N17" s="34">
        <f t="shared" si="5"/>
        <v>62759.17</v>
      </c>
      <c r="O17" s="34">
        <f t="shared" si="5"/>
        <v>62803.95</v>
      </c>
      <c r="P17" s="34">
        <f t="shared" si="5"/>
        <v>62848.73</v>
      </c>
      <c r="Q17" s="34">
        <f t="shared" si="5"/>
        <v>62893.509999999995</v>
      </c>
      <c r="R17" s="34">
        <f t="shared" si="5"/>
        <v>62938.29</v>
      </c>
      <c r="S17" s="34">
        <f t="shared" si="5"/>
        <v>62983.07</v>
      </c>
      <c r="T17" s="34">
        <f t="shared" si="5"/>
        <v>63027.85</v>
      </c>
      <c r="U17" s="34">
        <f t="shared" si="5"/>
        <v>63072.63</v>
      </c>
      <c r="V17" s="34">
        <f t="shared" si="5"/>
        <v>63117.41</v>
      </c>
      <c r="W17" s="34">
        <f t="shared" si="5"/>
        <v>63162.189999999995</v>
      </c>
      <c r="X17" s="34">
        <f t="shared" si="5"/>
        <v>63206.970000000008</v>
      </c>
      <c r="Y17" s="34">
        <f t="shared" si="5"/>
        <v>63251.75</v>
      </c>
      <c r="Z17" s="34">
        <f t="shared" si="5"/>
        <v>63296.53</v>
      </c>
      <c r="AA17" s="34">
        <f t="shared" si="5"/>
        <v>63341.31</v>
      </c>
      <c r="AB17" s="34">
        <f t="shared" si="5"/>
        <v>63386.09</v>
      </c>
      <c r="AC17" s="34">
        <f t="shared" si="5"/>
        <v>63430.869999999995</v>
      </c>
      <c r="AD17" s="34">
        <f t="shared" si="5"/>
        <v>63475.65</v>
      </c>
    </row>
    <row r="18" spans="1:30" x14ac:dyDescent="0.25">
      <c r="A18" s="35" t="s">
        <v>454</v>
      </c>
      <c r="B18" s="36">
        <f>B16*$N$5</f>
        <v>35404.46</v>
      </c>
      <c r="C18" s="36">
        <f t="shared" ref="C18:AD18" si="6">C16*$N$5</f>
        <v>35429.94</v>
      </c>
      <c r="D18" s="36">
        <f t="shared" si="6"/>
        <v>35455.42</v>
      </c>
      <c r="E18" s="36">
        <f t="shared" si="6"/>
        <v>35480.9</v>
      </c>
      <c r="F18" s="36">
        <f t="shared" si="6"/>
        <v>35506.379999999997</v>
      </c>
      <c r="G18" s="36">
        <f t="shared" si="6"/>
        <v>35531.86</v>
      </c>
      <c r="H18" s="36">
        <f t="shared" si="6"/>
        <v>35557.340000000004</v>
      </c>
      <c r="I18" s="36">
        <f t="shared" si="6"/>
        <v>35582.82</v>
      </c>
      <c r="J18" s="36">
        <f t="shared" si="6"/>
        <v>35608.300000000003</v>
      </c>
      <c r="K18" s="36">
        <f t="shared" si="6"/>
        <v>35633.78</v>
      </c>
      <c r="L18" s="36">
        <f t="shared" si="6"/>
        <v>35659.26</v>
      </c>
      <c r="M18" s="36">
        <f t="shared" si="6"/>
        <v>35684.74</v>
      </c>
      <c r="N18" s="36">
        <f t="shared" si="6"/>
        <v>35710.22</v>
      </c>
      <c r="O18" s="36">
        <f t="shared" si="6"/>
        <v>35735.699999999997</v>
      </c>
      <c r="P18" s="36">
        <f t="shared" si="6"/>
        <v>35761.18</v>
      </c>
      <c r="Q18" s="36">
        <f t="shared" si="6"/>
        <v>35786.660000000003</v>
      </c>
      <c r="R18" s="36">
        <f t="shared" si="6"/>
        <v>35812.14</v>
      </c>
      <c r="S18" s="36">
        <f t="shared" si="6"/>
        <v>35837.620000000003</v>
      </c>
      <c r="T18" s="36">
        <f t="shared" si="6"/>
        <v>35863.1</v>
      </c>
      <c r="U18" s="36">
        <f t="shared" si="6"/>
        <v>35888.58</v>
      </c>
      <c r="V18" s="36">
        <f t="shared" si="6"/>
        <v>35914.06</v>
      </c>
      <c r="W18" s="36">
        <f t="shared" si="6"/>
        <v>35939.54</v>
      </c>
      <c r="X18" s="36">
        <f t="shared" si="6"/>
        <v>35965.020000000004</v>
      </c>
      <c r="Y18" s="36">
        <f t="shared" si="6"/>
        <v>35990.5</v>
      </c>
      <c r="Z18" s="36">
        <f t="shared" si="6"/>
        <v>36015.980000000003</v>
      </c>
      <c r="AA18" s="36">
        <f t="shared" si="6"/>
        <v>36041.46</v>
      </c>
      <c r="AB18" s="36">
        <f t="shared" si="6"/>
        <v>36066.94</v>
      </c>
      <c r="AC18" s="36">
        <f t="shared" si="6"/>
        <v>36092.42</v>
      </c>
      <c r="AD18" s="36">
        <f t="shared" si="6"/>
        <v>36117.9</v>
      </c>
    </row>
    <row r="19" spans="1:30" x14ac:dyDescent="0.25">
      <c r="A19" s="35" t="s">
        <v>455</v>
      </c>
      <c r="B19" s="36">
        <f>B16*$O$5</f>
        <v>13589.31</v>
      </c>
      <c r="C19" s="36">
        <f t="shared" ref="C19:AD19" si="7">C16*$O$5</f>
        <v>13599.089999999998</v>
      </c>
      <c r="D19" s="36">
        <f t="shared" si="7"/>
        <v>13608.869999999999</v>
      </c>
      <c r="E19" s="36">
        <f t="shared" si="7"/>
        <v>13618.65</v>
      </c>
      <c r="F19" s="36">
        <f t="shared" si="7"/>
        <v>13628.429999999998</v>
      </c>
      <c r="G19" s="36">
        <f t="shared" si="7"/>
        <v>13638.21</v>
      </c>
      <c r="H19" s="36">
        <f t="shared" si="7"/>
        <v>13647.99</v>
      </c>
      <c r="I19" s="36">
        <f t="shared" si="7"/>
        <v>13657.769999999999</v>
      </c>
      <c r="J19" s="36">
        <f t="shared" si="7"/>
        <v>13667.55</v>
      </c>
      <c r="K19" s="36">
        <f t="shared" si="7"/>
        <v>13677.33</v>
      </c>
      <c r="L19" s="36">
        <f t="shared" si="7"/>
        <v>13687.109999999999</v>
      </c>
      <c r="M19" s="36">
        <f t="shared" si="7"/>
        <v>13696.89</v>
      </c>
      <c r="N19" s="36">
        <f t="shared" si="7"/>
        <v>13706.669999999998</v>
      </c>
      <c r="O19" s="36">
        <f t="shared" si="7"/>
        <v>13716.449999999999</v>
      </c>
      <c r="P19" s="36">
        <f t="shared" si="7"/>
        <v>13726.23</v>
      </c>
      <c r="Q19" s="36">
        <f t="shared" si="7"/>
        <v>13736.009999999998</v>
      </c>
      <c r="R19" s="36">
        <f t="shared" si="7"/>
        <v>13745.789999999999</v>
      </c>
      <c r="S19" s="36">
        <f t="shared" si="7"/>
        <v>13755.57</v>
      </c>
      <c r="T19" s="36">
        <f t="shared" si="7"/>
        <v>13765.349999999999</v>
      </c>
      <c r="U19" s="36">
        <f t="shared" si="7"/>
        <v>13775.13</v>
      </c>
      <c r="V19" s="36">
        <f t="shared" si="7"/>
        <v>13784.91</v>
      </c>
      <c r="W19" s="36">
        <f t="shared" si="7"/>
        <v>13794.689999999999</v>
      </c>
      <c r="X19" s="36">
        <f t="shared" si="7"/>
        <v>13804.47</v>
      </c>
      <c r="Y19" s="36">
        <f t="shared" si="7"/>
        <v>13814.25</v>
      </c>
      <c r="Z19" s="36">
        <f t="shared" si="7"/>
        <v>13824.029999999999</v>
      </c>
      <c r="AA19" s="36">
        <f t="shared" si="7"/>
        <v>13833.81</v>
      </c>
      <c r="AB19" s="36">
        <f t="shared" si="7"/>
        <v>13843.589999999998</v>
      </c>
      <c r="AC19" s="36">
        <f t="shared" si="7"/>
        <v>13853.369999999999</v>
      </c>
      <c r="AD19" s="36">
        <f t="shared" si="7"/>
        <v>13863.15</v>
      </c>
    </row>
    <row r="20" spans="1:30" x14ac:dyDescent="0.25">
      <c r="A20" s="35" t="s">
        <v>456</v>
      </c>
      <c r="B20" s="36">
        <f>B16*$P$5</f>
        <v>11810.75</v>
      </c>
      <c r="C20" s="36">
        <f t="shared" ref="C20:AD20" si="8">C16*$P$5</f>
        <v>11819.25</v>
      </c>
      <c r="D20" s="36">
        <f t="shared" si="8"/>
        <v>11827.75</v>
      </c>
      <c r="E20" s="36">
        <f t="shared" si="8"/>
        <v>11836.25</v>
      </c>
      <c r="F20" s="36">
        <f t="shared" si="8"/>
        <v>11844.75</v>
      </c>
      <c r="G20" s="36">
        <f t="shared" si="8"/>
        <v>11853.25</v>
      </c>
      <c r="H20" s="36">
        <f t="shared" si="8"/>
        <v>11861.75</v>
      </c>
      <c r="I20" s="36">
        <f t="shared" si="8"/>
        <v>11870.25</v>
      </c>
      <c r="J20" s="36">
        <f t="shared" si="8"/>
        <v>11878.75</v>
      </c>
      <c r="K20" s="36">
        <f t="shared" si="8"/>
        <v>11887.25</v>
      </c>
      <c r="L20" s="36">
        <f t="shared" si="8"/>
        <v>11895.75</v>
      </c>
      <c r="M20" s="36">
        <f t="shared" si="8"/>
        <v>11904.25</v>
      </c>
      <c r="N20" s="36">
        <f t="shared" si="8"/>
        <v>11912.75</v>
      </c>
      <c r="O20" s="36">
        <f t="shared" si="8"/>
        <v>11921.25</v>
      </c>
      <c r="P20" s="36">
        <f t="shared" si="8"/>
        <v>11929.75</v>
      </c>
      <c r="Q20" s="36">
        <f t="shared" si="8"/>
        <v>11938.25</v>
      </c>
      <c r="R20" s="36">
        <f t="shared" si="8"/>
        <v>11946.75</v>
      </c>
      <c r="S20" s="36">
        <f t="shared" si="8"/>
        <v>11955.25</v>
      </c>
      <c r="T20" s="36">
        <f t="shared" si="8"/>
        <v>11963.75</v>
      </c>
      <c r="U20" s="36">
        <f t="shared" si="8"/>
        <v>11972.25</v>
      </c>
      <c r="V20" s="36">
        <f t="shared" si="8"/>
        <v>11980.75</v>
      </c>
      <c r="W20" s="36">
        <f t="shared" si="8"/>
        <v>11989.25</v>
      </c>
      <c r="X20" s="36">
        <f t="shared" si="8"/>
        <v>11997.75</v>
      </c>
      <c r="Y20" s="36">
        <f t="shared" si="8"/>
        <v>12006.25</v>
      </c>
      <c r="Z20" s="36">
        <f t="shared" si="8"/>
        <v>12014.75</v>
      </c>
      <c r="AA20" s="36">
        <f t="shared" si="8"/>
        <v>12023.25</v>
      </c>
      <c r="AB20" s="36">
        <f t="shared" si="8"/>
        <v>12031.75</v>
      </c>
      <c r="AC20" s="36">
        <f t="shared" si="8"/>
        <v>12040.25</v>
      </c>
      <c r="AD20" s="36">
        <f t="shared" si="8"/>
        <v>12048.75</v>
      </c>
    </row>
    <row r="21" spans="1:30" x14ac:dyDescent="0.25">
      <c r="A21" s="35" t="s">
        <v>457</v>
      </c>
      <c r="B21" s="36">
        <f>B16*$Q$5</f>
        <v>1417.29</v>
      </c>
      <c r="C21" s="36">
        <f t="shared" ref="C21:AD21" si="9">C16*$Q$5</f>
        <v>1418.31</v>
      </c>
      <c r="D21" s="36">
        <f t="shared" si="9"/>
        <v>1419.33</v>
      </c>
      <c r="E21" s="36">
        <f t="shared" si="9"/>
        <v>1420.3500000000001</v>
      </c>
      <c r="F21" s="36">
        <f t="shared" si="9"/>
        <v>1421.3700000000001</v>
      </c>
      <c r="G21" s="36">
        <f t="shared" si="9"/>
        <v>1422.39</v>
      </c>
      <c r="H21" s="36">
        <f t="shared" si="9"/>
        <v>1423.41</v>
      </c>
      <c r="I21" s="36">
        <f t="shared" si="9"/>
        <v>1424.43</v>
      </c>
      <c r="J21" s="36">
        <f t="shared" si="9"/>
        <v>1425.45</v>
      </c>
      <c r="K21" s="36">
        <f t="shared" si="9"/>
        <v>1426.47</v>
      </c>
      <c r="L21" s="36">
        <f t="shared" si="9"/>
        <v>1427.49</v>
      </c>
      <c r="M21" s="36">
        <f t="shared" si="9"/>
        <v>1428.51</v>
      </c>
      <c r="N21" s="36">
        <f t="shared" si="9"/>
        <v>1429.53</v>
      </c>
      <c r="O21" s="36">
        <f t="shared" si="9"/>
        <v>1430.55</v>
      </c>
      <c r="P21" s="36">
        <f t="shared" si="9"/>
        <v>1431.57</v>
      </c>
      <c r="Q21" s="36">
        <f t="shared" si="9"/>
        <v>1432.59</v>
      </c>
      <c r="R21" s="36">
        <f t="shared" si="9"/>
        <v>1433.6100000000001</v>
      </c>
      <c r="S21" s="36">
        <f t="shared" si="9"/>
        <v>1434.63</v>
      </c>
      <c r="T21" s="36">
        <f t="shared" si="9"/>
        <v>1435.65</v>
      </c>
      <c r="U21" s="36">
        <f t="shared" si="9"/>
        <v>1436.67</v>
      </c>
      <c r="V21" s="36">
        <f t="shared" si="9"/>
        <v>1437.69</v>
      </c>
      <c r="W21" s="36">
        <f t="shared" si="9"/>
        <v>1438.71</v>
      </c>
      <c r="X21" s="36">
        <f t="shared" si="9"/>
        <v>1439.73</v>
      </c>
      <c r="Y21" s="36">
        <f t="shared" si="9"/>
        <v>1440.75</v>
      </c>
      <c r="Z21" s="36">
        <f t="shared" si="9"/>
        <v>1441.77</v>
      </c>
      <c r="AA21" s="36">
        <f t="shared" si="9"/>
        <v>1442.79</v>
      </c>
      <c r="AB21" s="36">
        <f t="shared" si="9"/>
        <v>1443.81</v>
      </c>
      <c r="AC21" s="36">
        <f t="shared" si="9"/>
        <v>1444.83</v>
      </c>
      <c r="AD21" s="36">
        <f t="shared" si="9"/>
        <v>1445.8500000000001</v>
      </c>
    </row>
    <row r="22" spans="1:30" x14ac:dyDescent="0.25">
      <c r="A22" s="35" t="s">
        <v>458</v>
      </c>
      <c r="B22" s="36">
        <f t="shared" ref="B22:AD22" si="10">MIN(B$18,$C$4)</f>
        <v>35404.46</v>
      </c>
      <c r="C22" s="36">
        <f t="shared" si="10"/>
        <v>35404.46</v>
      </c>
      <c r="D22" s="36">
        <f t="shared" si="10"/>
        <v>35404.46</v>
      </c>
      <c r="E22" s="36">
        <f t="shared" si="10"/>
        <v>35404.46</v>
      </c>
      <c r="F22" s="36">
        <f t="shared" si="10"/>
        <v>35404.46</v>
      </c>
      <c r="G22" s="36">
        <f t="shared" si="10"/>
        <v>35404.46</v>
      </c>
      <c r="H22" s="36">
        <f t="shared" si="10"/>
        <v>35404.46</v>
      </c>
      <c r="I22" s="36">
        <f t="shared" si="10"/>
        <v>35404.46</v>
      </c>
      <c r="J22" s="36">
        <f t="shared" si="10"/>
        <v>35404.46</v>
      </c>
      <c r="K22" s="36">
        <f t="shared" si="10"/>
        <v>35404.46</v>
      </c>
      <c r="L22" s="36">
        <f t="shared" si="10"/>
        <v>35404.46</v>
      </c>
      <c r="M22" s="36">
        <f t="shared" si="10"/>
        <v>35404.46</v>
      </c>
      <c r="N22" s="36">
        <f t="shared" si="10"/>
        <v>35404.46</v>
      </c>
      <c r="O22" s="36">
        <f t="shared" si="10"/>
        <v>35404.46</v>
      </c>
      <c r="P22" s="36">
        <f t="shared" si="10"/>
        <v>35404.46</v>
      </c>
      <c r="Q22" s="36">
        <f t="shared" si="10"/>
        <v>35404.46</v>
      </c>
      <c r="R22" s="36">
        <f t="shared" si="10"/>
        <v>35404.46</v>
      </c>
      <c r="S22" s="36">
        <f t="shared" si="10"/>
        <v>35404.46</v>
      </c>
      <c r="T22" s="36">
        <f t="shared" si="10"/>
        <v>35404.46</v>
      </c>
      <c r="U22" s="36">
        <f t="shared" si="10"/>
        <v>35404.46</v>
      </c>
      <c r="V22" s="36">
        <f t="shared" si="10"/>
        <v>35404.46</v>
      </c>
      <c r="W22" s="36">
        <f t="shared" si="10"/>
        <v>35404.46</v>
      </c>
      <c r="X22" s="36">
        <f t="shared" si="10"/>
        <v>35404.46</v>
      </c>
      <c r="Y22" s="36">
        <f t="shared" si="10"/>
        <v>35404.46</v>
      </c>
      <c r="Z22" s="36">
        <f t="shared" si="10"/>
        <v>35404.46</v>
      </c>
      <c r="AA22" s="36">
        <f t="shared" si="10"/>
        <v>35404.46</v>
      </c>
      <c r="AB22" s="36">
        <f t="shared" si="10"/>
        <v>35404.46</v>
      </c>
      <c r="AC22" s="36">
        <f t="shared" si="10"/>
        <v>35404.46</v>
      </c>
      <c r="AD22" s="36">
        <f t="shared" si="10"/>
        <v>35404.46</v>
      </c>
    </row>
    <row r="23" spans="1:30" x14ac:dyDescent="0.25">
      <c r="A23" s="35" t="s">
        <v>459</v>
      </c>
      <c r="B23" s="36">
        <f t="shared" ref="B23:AD23" si="11">MIN(B$19,$C$5)</f>
        <v>13589.31</v>
      </c>
      <c r="C23" s="36">
        <f t="shared" si="11"/>
        <v>13589.31</v>
      </c>
      <c r="D23" s="36">
        <f t="shared" si="11"/>
        <v>13589.31</v>
      </c>
      <c r="E23" s="36">
        <f t="shared" si="11"/>
        <v>13589.31</v>
      </c>
      <c r="F23" s="36">
        <f t="shared" si="11"/>
        <v>13589.31</v>
      </c>
      <c r="G23" s="36">
        <f t="shared" si="11"/>
        <v>13589.31</v>
      </c>
      <c r="H23" s="36">
        <f t="shared" si="11"/>
        <v>13589.31</v>
      </c>
      <c r="I23" s="36">
        <f t="shared" si="11"/>
        <v>13589.31</v>
      </c>
      <c r="J23" s="36">
        <f t="shared" si="11"/>
        <v>13589.31</v>
      </c>
      <c r="K23" s="36">
        <f t="shared" si="11"/>
        <v>13589.31</v>
      </c>
      <c r="L23" s="36">
        <f t="shared" si="11"/>
        <v>13589.31</v>
      </c>
      <c r="M23" s="36">
        <f t="shared" si="11"/>
        <v>13589.31</v>
      </c>
      <c r="N23" s="36">
        <f t="shared" si="11"/>
        <v>13589.31</v>
      </c>
      <c r="O23" s="36">
        <f t="shared" si="11"/>
        <v>13589.31</v>
      </c>
      <c r="P23" s="36">
        <f t="shared" si="11"/>
        <v>13589.31</v>
      </c>
      <c r="Q23" s="36">
        <f t="shared" si="11"/>
        <v>13589.31</v>
      </c>
      <c r="R23" s="36">
        <f t="shared" si="11"/>
        <v>13589.31</v>
      </c>
      <c r="S23" s="36">
        <f t="shared" si="11"/>
        <v>13589.31</v>
      </c>
      <c r="T23" s="36">
        <f t="shared" si="11"/>
        <v>13589.31</v>
      </c>
      <c r="U23" s="36">
        <f t="shared" si="11"/>
        <v>13589.31</v>
      </c>
      <c r="V23" s="36">
        <f t="shared" si="11"/>
        <v>13589.31</v>
      </c>
      <c r="W23" s="36">
        <f t="shared" si="11"/>
        <v>13589.31</v>
      </c>
      <c r="X23" s="36">
        <f t="shared" si="11"/>
        <v>13589.31</v>
      </c>
      <c r="Y23" s="36">
        <f t="shared" si="11"/>
        <v>13589.31</v>
      </c>
      <c r="Z23" s="36">
        <f t="shared" si="11"/>
        <v>13589.31</v>
      </c>
      <c r="AA23" s="36">
        <f t="shared" si="11"/>
        <v>13589.31</v>
      </c>
      <c r="AB23" s="36">
        <f t="shared" si="11"/>
        <v>13589.31</v>
      </c>
      <c r="AC23" s="36">
        <f t="shared" si="11"/>
        <v>13589.31</v>
      </c>
      <c r="AD23" s="36">
        <f t="shared" si="11"/>
        <v>13589.31</v>
      </c>
    </row>
    <row r="24" spans="1:30" x14ac:dyDescent="0.25">
      <c r="A24" s="35" t="s">
        <v>460</v>
      </c>
      <c r="B24" s="36">
        <f t="shared" ref="B24:AD24" si="12">MIN(B$20,$C$6)</f>
        <v>11810.75</v>
      </c>
      <c r="C24" s="36">
        <f t="shared" si="12"/>
        <v>11810.75</v>
      </c>
      <c r="D24" s="36">
        <f t="shared" si="12"/>
        <v>11810.75</v>
      </c>
      <c r="E24" s="36">
        <f t="shared" si="12"/>
        <v>11810.75</v>
      </c>
      <c r="F24" s="36">
        <f t="shared" si="12"/>
        <v>11810.75</v>
      </c>
      <c r="G24" s="36">
        <f t="shared" si="12"/>
        <v>11810.75</v>
      </c>
      <c r="H24" s="36">
        <f t="shared" si="12"/>
        <v>11810.75</v>
      </c>
      <c r="I24" s="36">
        <f t="shared" si="12"/>
        <v>11810.75</v>
      </c>
      <c r="J24" s="36">
        <f t="shared" si="12"/>
        <v>11810.75</v>
      </c>
      <c r="K24" s="36">
        <f t="shared" si="12"/>
        <v>11810.75</v>
      </c>
      <c r="L24" s="36">
        <f t="shared" si="12"/>
        <v>11810.75</v>
      </c>
      <c r="M24" s="36">
        <f t="shared" si="12"/>
        <v>11810.75</v>
      </c>
      <c r="N24" s="36">
        <f t="shared" si="12"/>
        <v>11810.75</v>
      </c>
      <c r="O24" s="36">
        <f t="shared" si="12"/>
        <v>11810.75</v>
      </c>
      <c r="P24" s="36">
        <f t="shared" si="12"/>
        <v>11810.75</v>
      </c>
      <c r="Q24" s="36">
        <f t="shared" si="12"/>
        <v>11810.75</v>
      </c>
      <c r="R24" s="36">
        <f t="shared" si="12"/>
        <v>11810.75</v>
      </c>
      <c r="S24" s="36">
        <f t="shared" si="12"/>
        <v>11810.75</v>
      </c>
      <c r="T24" s="36">
        <f t="shared" si="12"/>
        <v>11810.75</v>
      </c>
      <c r="U24" s="36">
        <f t="shared" si="12"/>
        <v>11810.75</v>
      </c>
      <c r="V24" s="36">
        <f t="shared" si="12"/>
        <v>11810.75</v>
      </c>
      <c r="W24" s="36">
        <f t="shared" si="12"/>
        <v>11810.75</v>
      </c>
      <c r="X24" s="36">
        <f t="shared" si="12"/>
        <v>11810.75</v>
      </c>
      <c r="Y24" s="36">
        <f t="shared" si="12"/>
        <v>11810.75</v>
      </c>
      <c r="Z24" s="36">
        <f t="shared" si="12"/>
        <v>11810.75</v>
      </c>
      <c r="AA24" s="36">
        <f t="shared" si="12"/>
        <v>11810.75</v>
      </c>
      <c r="AB24" s="36">
        <f t="shared" si="12"/>
        <v>11810.75</v>
      </c>
      <c r="AC24" s="36">
        <f t="shared" si="12"/>
        <v>11810.75</v>
      </c>
      <c r="AD24" s="36">
        <f t="shared" si="12"/>
        <v>11810.75</v>
      </c>
    </row>
    <row r="25" spans="1:30" x14ac:dyDescent="0.25">
      <c r="A25" s="35" t="s">
        <v>461</v>
      </c>
      <c r="B25" s="36">
        <f t="shared" ref="B25:AD25" si="13">MIN(B$21,$C$7)</f>
        <v>1417.29</v>
      </c>
      <c r="C25" s="36">
        <f t="shared" si="13"/>
        <v>1417.29</v>
      </c>
      <c r="D25" s="36">
        <f t="shared" si="13"/>
        <v>1417.29</v>
      </c>
      <c r="E25" s="36">
        <f t="shared" si="13"/>
        <v>1417.29</v>
      </c>
      <c r="F25" s="36">
        <f t="shared" si="13"/>
        <v>1417.29</v>
      </c>
      <c r="G25" s="36">
        <f t="shared" si="13"/>
        <v>1417.29</v>
      </c>
      <c r="H25" s="36">
        <f t="shared" si="13"/>
        <v>1417.29</v>
      </c>
      <c r="I25" s="36">
        <f t="shared" si="13"/>
        <v>1417.29</v>
      </c>
      <c r="J25" s="36">
        <f t="shared" si="13"/>
        <v>1417.29</v>
      </c>
      <c r="K25" s="36">
        <f t="shared" si="13"/>
        <v>1417.29</v>
      </c>
      <c r="L25" s="36">
        <f t="shared" si="13"/>
        <v>1417.29</v>
      </c>
      <c r="M25" s="36">
        <f t="shared" si="13"/>
        <v>1417.29</v>
      </c>
      <c r="N25" s="36">
        <f t="shared" si="13"/>
        <v>1417.29</v>
      </c>
      <c r="O25" s="36">
        <f t="shared" si="13"/>
        <v>1417.29</v>
      </c>
      <c r="P25" s="36">
        <f t="shared" si="13"/>
        <v>1417.29</v>
      </c>
      <c r="Q25" s="36">
        <f t="shared" si="13"/>
        <v>1417.29</v>
      </c>
      <c r="R25" s="36">
        <f t="shared" si="13"/>
        <v>1417.29</v>
      </c>
      <c r="S25" s="36">
        <f t="shared" si="13"/>
        <v>1417.29</v>
      </c>
      <c r="T25" s="36">
        <f t="shared" si="13"/>
        <v>1417.29</v>
      </c>
      <c r="U25" s="36">
        <f t="shared" si="13"/>
        <v>1417.29</v>
      </c>
      <c r="V25" s="36">
        <f t="shared" si="13"/>
        <v>1417.29</v>
      </c>
      <c r="W25" s="36">
        <f t="shared" si="13"/>
        <v>1417.29</v>
      </c>
      <c r="X25" s="36">
        <f t="shared" si="13"/>
        <v>1417.29</v>
      </c>
      <c r="Y25" s="36">
        <f t="shared" si="13"/>
        <v>1417.29</v>
      </c>
      <c r="Z25" s="36">
        <f t="shared" si="13"/>
        <v>1417.29</v>
      </c>
      <c r="AA25" s="36">
        <f t="shared" si="13"/>
        <v>1417.29</v>
      </c>
      <c r="AB25" s="36">
        <f t="shared" si="13"/>
        <v>1417.29</v>
      </c>
      <c r="AC25" s="36">
        <f t="shared" si="13"/>
        <v>1417.29</v>
      </c>
      <c r="AD25" s="36">
        <f t="shared" si="13"/>
        <v>1417.29</v>
      </c>
    </row>
    <row r="26" spans="1:30" x14ac:dyDescent="0.25">
      <c r="A26" s="37" t="s">
        <v>462</v>
      </c>
      <c r="B26" s="38">
        <v>0</v>
      </c>
      <c r="C26" s="38">
        <f>IF(C22&gt;$B$4,(C22-$B$4)*$H$4,0)</f>
        <v>13499.219999999994</v>
      </c>
      <c r="D26" s="38">
        <v>0</v>
      </c>
      <c r="E26" s="38">
        <f>IF(E22&gt;$B$4,(E22-$B$4)*$H$4,0)</f>
        <v>13499.219999999994</v>
      </c>
      <c r="F26" s="38">
        <v>0</v>
      </c>
      <c r="G26" s="38">
        <f>IF(G22&gt;$B$4,(G22-$B$4)*$H$4,0)</f>
        <v>13499.219999999994</v>
      </c>
      <c r="H26" s="38">
        <v>0</v>
      </c>
      <c r="I26" s="38">
        <v>0</v>
      </c>
      <c r="J26" s="38">
        <f>IF(J22&gt;$B$4,(J22-$B$4)*$H$4,0)</f>
        <v>13499.219999999994</v>
      </c>
      <c r="K26" s="38">
        <v>0</v>
      </c>
      <c r="L26" s="38">
        <f>IF(L22&gt;$B$4,(L22-$B$4)*$H$4,0)</f>
        <v>13499.219999999994</v>
      </c>
      <c r="M26" s="38">
        <v>0</v>
      </c>
      <c r="N26" s="38">
        <f>IF(N22&gt;$B$4,(N22-$B$4)*$H$4,0)</f>
        <v>13499.219999999994</v>
      </c>
      <c r="O26" s="38">
        <v>0</v>
      </c>
      <c r="P26" s="38">
        <f>IF(P22&gt;$B$4,(P22-$B$4)*$H$4,0)</f>
        <v>13499.219999999994</v>
      </c>
      <c r="Q26" s="38">
        <v>0</v>
      </c>
      <c r="R26" s="38">
        <f>IF(R22&gt;$B$4,(R22-$B$4)*$H$4,0)</f>
        <v>13499.219999999994</v>
      </c>
      <c r="S26" s="38">
        <v>0</v>
      </c>
      <c r="T26" s="38">
        <f>IF(T22&gt;$B$4,(T22-$B$4)*$H$4,0)</f>
        <v>13499.219999999994</v>
      </c>
      <c r="U26" s="38">
        <v>0</v>
      </c>
      <c r="V26" s="38">
        <f>IF(V22&gt;$B$4,(V22-$B$4)*$H$4,0)</f>
        <v>13499.219999999994</v>
      </c>
      <c r="W26" s="38">
        <v>0</v>
      </c>
      <c r="X26" s="38">
        <f>IF(X22&gt;$B$4,(X22-$B$4)*$H$4,0)</f>
        <v>13499.219999999994</v>
      </c>
      <c r="Y26" s="38">
        <v>0</v>
      </c>
      <c r="Z26" s="38">
        <f>IF(Z22&gt;$B$4,(Z22-$B$4)*$H$4,0)</f>
        <v>13499.219999999994</v>
      </c>
      <c r="AA26" s="38">
        <v>0</v>
      </c>
      <c r="AB26" s="38">
        <f>IF(AB22&gt;$B$4,(AB22-$B$4)*$H$4,0)</f>
        <v>13499.219999999994</v>
      </c>
      <c r="AC26" s="38">
        <v>0</v>
      </c>
      <c r="AD26" s="38">
        <f>IF(AD22&gt;$B$4,(AD22-$B$4)*$H$4,0)</f>
        <v>13499.219999999994</v>
      </c>
    </row>
    <row r="27" spans="1:30" x14ac:dyDescent="0.25">
      <c r="A27" s="37" t="s">
        <v>463</v>
      </c>
      <c r="B27" s="38">
        <v>0</v>
      </c>
      <c r="C27" s="38">
        <f>IF(C23&gt;$B$5,(C23-$B$5)*$H$5,0)</f>
        <v>9523.0999999999949</v>
      </c>
      <c r="D27" s="38">
        <v>0</v>
      </c>
      <c r="E27" s="38">
        <f>IF(E23&gt;$B$5,(E23-$B$5)*$H$5,0)</f>
        <v>9523.0999999999949</v>
      </c>
      <c r="F27" s="38">
        <v>0</v>
      </c>
      <c r="G27" s="38">
        <f>IF(G23&gt;$B$5,(G23-$B$5)*$H$5,0)</f>
        <v>9523.0999999999949</v>
      </c>
      <c r="H27" s="38">
        <v>0</v>
      </c>
      <c r="I27" s="38">
        <v>0</v>
      </c>
      <c r="J27" s="38">
        <f>IF(J23&gt;$B$5,(J23-$B$5)*$H$5,0)</f>
        <v>9523.0999999999949</v>
      </c>
      <c r="K27" s="38">
        <v>0</v>
      </c>
      <c r="L27" s="38">
        <f>IF(L23&gt;$B$5,(L23-$B$5)*$H$5,0)</f>
        <v>9523.0999999999949</v>
      </c>
      <c r="M27" s="38">
        <v>0</v>
      </c>
      <c r="N27" s="38">
        <f>IF(N23&gt;$B$5,(N23-$B$5)*$H$5,0)</f>
        <v>9523.0999999999949</v>
      </c>
      <c r="O27" s="38">
        <v>0</v>
      </c>
      <c r="P27" s="38">
        <f>IF(P23&gt;$B$5,(P23-$B$5)*$H$5,0)</f>
        <v>9523.0999999999949</v>
      </c>
      <c r="Q27" s="38">
        <v>0</v>
      </c>
      <c r="R27" s="38">
        <f>IF(R23&gt;$B$5,(R23-$B$5)*$H$5,0)</f>
        <v>9523.0999999999949</v>
      </c>
      <c r="S27" s="38">
        <v>0</v>
      </c>
      <c r="T27" s="38">
        <f>IF(T23&gt;$B$5,(T23-$B$5)*$H$5,0)</f>
        <v>9523.0999999999949</v>
      </c>
      <c r="U27" s="38">
        <v>0</v>
      </c>
      <c r="V27" s="38">
        <f>IF(V23&gt;$B$5,(V23-$B$5)*$H$5,0)</f>
        <v>9523.0999999999949</v>
      </c>
      <c r="W27" s="38">
        <v>0</v>
      </c>
      <c r="X27" s="38">
        <f>IF(X23&gt;$B$5,(X23-$B$5)*$H$5,0)</f>
        <v>9523.0999999999949</v>
      </c>
      <c r="Y27" s="38">
        <v>0</v>
      </c>
      <c r="Z27" s="38">
        <f>IF(Z23&gt;$B$5,(Z23-$B$5)*$H$5,0)</f>
        <v>9523.0999999999949</v>
      </c>
      <c r="AA27" s="38">
        <v>0</v>
      </c>
      <c r="AB27" s="38">
        <f>IF(AB23&gt;$B$5,(AB23-$B$5)*$H$5,0)</f>
        <v>9523.0999999999949</v>
      </c>
      <c r="AC27" s="38">
        <v>0</v>
      </c>
      <c r="AD27" s="38">
        <f>IF(AD23&gt;$B$5,(AD23-$B$5)*$H$5,0)</f>
        <v>9523.0999999999949</v>
      </c>
    </row>
    <row r="28" spans="1:30" x14ac:dyDescent="0.25">
      <c r="A28" s="37" t="s">
        <v>464</v>
      </c>
      <c r="B28" s="38">
        <v>0</v>
      </c>
      <c r="C28" s="38">
        <f>IF(C24&gt;$B$6,(C24-$B$6)*$H$6,0)</f>
        <v>20876.25</v>
      </c>
      <c r="D28" s="38">
        <v>0</v>
      </c>
      <c r="E28" s="38">
        <f>IF(E24&gt;$B$6,(E24-$B$6)*$H$6,0)</f>
        <v>20876.25</v>
      </c>
      <c r="F28" s="38">
        <v>0</v>
      </c>
      <c r="G28" s="38">
        <f>IF(G24&gt;$B$6,(G24-$B$6)*$H$6,0)</f>
        <v>20876.25</v>
      </c>
      <c r="H28" s="38">
        <v>0</v>
      </c>
      <c r="I28" s="38">
        <v>0</v>
      </c>
      <c r="J28" s="38">
        <f>IF(J24&gt;$B$6,(J24-$B$6)*$H$6,0)</f>
        <v>20876.25</v>
      </c>
      <c r="K28" s="38">
        <v>0</v>
      </c>
      <c r="L28" s="38">
        <f>IF(L24&gt;$B$6,(L24-$B$6)*$H$6,0)</f>
        <v>20876.25</v>
      </c>
      <c r="M28" s="38">
        <v>0</v>
      </c>
      <c r="N28" s="38">
        <f>IF(N24&gt;$B$6,(N24-$B$6)*$H$6,0)</f>
        <v>20876.25</v>
      </c>
      <c r="O28" s="38">
        <v>0</v>
      </c>
      <c r="P28" s="38">
        <f>IF(P24&gt;$B$6,(P24-$B$6)*$H$6,0)</f>
        <v>20876.25</v>
      </c>
      <c r="Q28" s="38">
        <v>0</v>
      </c>
      <c r="R28" s="38">
        <f>IF(R24&gt;$B$6,(R24-$B$6)*$H$6,0)</f>
        <v>20876.25</v>
      </c>
      <c r="S28" s="38">
        <v>0</v>
      </c>
      <c r="T28" s="38">
        <f>IF(T24&gt;$B$6,(T24-$B$6)*$H$6,0)</f>
        <v>20876.25</v>
      </c>
      <c r="U28" s="38">
        <v>0</v>
      </c>
      <c r="V28" s="38">
        <f>IF(V24&gt;$B$6,(V24-$B$6)*$H$6,0)</f>
        <v>20876.25</v>
      </c>
      <c r="W28" s="38">
        <v>0</v>
      </c>
      <c r="X28" s="38">
        <f>IF(X24&gt;$B$6,(X24-$B$6)*$H$6,0)</f>
        <v>20876.25</v>
      </c>
      <c r="Y28" s="38">
        <v>0</v>
      </c>
      <c r="Z28" s="38">
        <f>IF(Z24&gt;$B$6,(Z24-$B$6)*$H$6,0)</f>
        <v>20876.25</v>
      </c>
      <c r="AA28" s="38">
        <v>0</v>
      </c>
      <c r="AB28" s="38">
        <f>IF(AB24&gt;$B$6,(AB24-$B$6)*$H$6,0)</f>
        <v>20876.25</v>
      </c>
      <c r="AC28" s="38">
        <v>0</v>
      </c>
      <c r="AD28" s="38">
        <f>IF(AD24&gt;$B$6,(AD24-$B$6)*$H$6,0)</f>
        <v>20876.25</v>
      </c>
    </row>
    <row r="29" spans="1:30" x14ac:dyDescent="0.25">
      <c r="A29" s="37" t="s">
        <v>465</v>
      </c>
      <c r="B29" s="38">
        <v>0</v>
      </c>
      <c r="C29" s="38">
        <f>IF(C25&gt;$B$7,(C25-$B$7)*$H$7,0)</f>
        <v>4700.1499999999987</v>
      </c>
      <c r="D29" s="38">
        <v>0</v>
      </c>
      <c r="E29" s="38">
        <f>IF(E25&gt;$B$7,(E25-$B$7)*$H$7,0)</f>
        <v>4700.1499999999987</v>
      </c>
      <c r="F29" s="38">
        <v>0</v>
      </c>
      <c r="G29" s="38">
        <f>IF(G25&gt;$B$7,(G25-$B$7)*$H$7,0)</f>
        <v>4700.1499999999987</v>
      </c>
      <c r="H29" s="38">
        <v>0</v>
      </c>
      <c r="I29" s="38">
        <v>0</v>
      </c>
      <c r="J29" s="38">
        <f>IF(J25&gt;$B$7,(J25-$B$7)*$H$7,0)</f>
        <v>4700.1499999999987</v>
      </c>
      <c r="K29" s="38">
        <v>0</v>
      </c>
      <c r="L29" s="38">
        <f>IF(L25&gt;$B$7,(L25-$B$7)*$H$7,0)</f>
        <v>4700.1499999999987</v>
      </c>
      <c r="M29" s="38">
        <v>0</v>
      </c>
      <c r="N29" s="38">
        <f>IF(N25&gt;$B$7,(N25-$B$7)*$H$7,0)</f>
        <v>4700.1499999999987</v>
      </c>
      <c r="O29" s="38">
        <v>0</v>
      </c>
      <c r="P29" s="38">
        <f>IF(P25&gt;$B$7,(P25-$B$7)*$H$7,0)</f>
        <v>4700.1499999999987</v>
      </c>
      <c r="Q29" s="38">
        <v>0</v>
      </c>
      <c r="R29" s="38">
        <f>IF(R25&gt;$B$7,(R25-$B$7)*$H$7,0)</f>
        <v>4700.1499999999987</v>
      </c>
      <c r="S29" s="38">
        <v>0</v>
      </c>
      <c r="T29" s="38">
        <f>IF(T25&gt;$B$7,(T25-$B$7)*$H$7,0)</f>
        <v>4700.1499999999987</v>
      </c>
      <c r="U29" s="38">
        <v>0</v>
      </c>
      <c r="V29" s="38">
        <f>IF(V25&gt;$B$7,(V25-$B$7)*$H$7,0)</f>
        <v>4700.1499999999987</v>
      </c>
      <c r="W29" s="38">
        <v>0</v>
      </c>
      <c r="X29" s="38">
        <f>IF(X25&gt;$B$7,(X25-$B$7)*$H$7,0)</f>
        <v>4700.1499999999987</v>
      </c>
      <c r="Y29" s="38">
        <v>0</v>
      </c>
      <c r="Z29" s="38">
        <f>IF(Z25&gt;$B$7,(Z25-$B$7)*$H$7,0)</f>
        <v>4700.1499999999987</v>
      </c>
      <c r="AA29" s="38">
        <v>0</v>
      </c>
      <c r="AB29" s="38">
        <f>IF(AB25&gt;$B$7,(AB25-$B$7)*$H$7,0)</f>
        <v>4700.1499999999987</v>
      </c>
      <c r="AC29" s="38">
        <v>0</v>
      </c>
      <c r="AD29" s="38">
        <f>IF(AD25&gt;$B$7,(AD25-$B$7)*$H$7,0)</f>
        <v>4700.1499999999987</v>
      </c>
    </row>
    <row r="30" spans="1:30" x14ac:dyDescent="0.25">
      <c r="A30" s="39" t="s">
        <v>466</v>
      </c>
      <c r="B30" s="40">
        <f>G4+G5+G6+G7</f>
        <v>3065.3219999999992</v>
      </c>
      <c r="C30" s="40">
        <f t="shared" ref="C30:AD30" si="14">B30</f>
        <v>3065.3219999999992</v>
      </c>
      <c r="D30" s="40">
        <f t="shared" si="14"/>
        <v>3065.3219999999992</v>
      </c>
      <c r="E30" s="40">
        <f t="shared" si="14"/>
        <v>3065.3219999999992</v>
      </c>
      <c r="F30" s="40">
        <f t="shared" si="14"/>
        <v>3065.3219999999992</v>
      </c>
      <c r="G30" s="40">
        <f t="shared" si="14"/>
        <v>3065.3219999999992</v>
      </c>
      <c r="H30" s="40">
        <f t="shared" si="14"/>
        <v>3065.3219999999992</v>
      </c>
      <c r="I30" s="40">
        <f t="shared" si="14"/>
        <v>3065.3219999999992</v>
      </c>
      <c r="J30" s="40">
        <f t="shared" si="14"/>
        <v>3065.3219999999992</v>
      </c>
      <c r="K30" s="40">
        <f t="shared" si="14"/>
        <v>3065.3219999999992</v>
      </c>
      <c r="L30" s="40">
        <f t="shared" si="14"/>
        <v>3065.3219999999992</v>
      </c>
      <c r="M30" s="40">
        <f t="shared" si="14"/>
        <v>3065.3219999999992</v>
      </c>
      <c r="N30" s="40">
        <f t="shared" si="14"/>
        <v>3065.3219999999992</v>
      </c>
      <c r="O30" s="40">
        <f t="shared" si="14"/>
        <v>3065.3219999999992</v>
      </c>
      <c r="P30" s="40">
        <f t="shared" si="14"/>
        <v>3065.3219999999992</v>
      </c>
      <c r="Q30" s="40">
        <f t="shared" si="14"/>
        <v>3065.3219999999992</v>
      </c>
      <c r="R30" s="40">
        <f t="shared" si="14"/>
        <v>3065.3219999999992</v>
      </c>
      <c r="S30" s="40">
        <f t="shared" si="14"/>
        <v>3065.3219999999992</v>
      </c>
      <c r="T30" s="40">
        <f t="shared" si="14"/>
        <v>3065.3219999999992</v>
      </c>
      <c r="U30" s="40">
        <f t="shared" si="14"/>
        <v>3065.3219999999992</v>
      </c>
      <c r="V30" s="40">
        <f t="shared" si="14"/>
        <v>3065.3219999999992</v>
      </c>
      <c r="W30" s="40">
        <f t="shared" si="14"/>
        <v>3065.3219999999992</v>
      </c>
      <c r="X30" s="40">
        <f t="shared" si="14"/>
        <v>3065.3219999999992</v>
      </c>
      <c r="Y30" s="40">
        <f t="shared" si="14"/>
        <v>3065.3219999999992</v>
      </c>
      <c r="Z30" s="40">
        <f t="shared" si="14"/>
        <v>3065.3219999999992</v>
      </c>
      <c r="AA30" s="40">
        <f t="shared" si="14"/>
        <v>3065.3219999999992</v>
      </c>
      <c r="AB30" s="40">
        <f t="shared" si="14"/>
        <v>3065.3219999999992</v>
      </c>
      <c r="AC30" s="40">
        <f t="shared" si="14"/>
        <v>3065.3219999999992</v>
      </c>
      <c r="AD30" s="40">
        <f t="shared" si="14"/>
        <v>3065.3219999999992</v>
      </c>
    </row>
    <row r="31" spans="1:30" x14ac:dyDescent="0.25">
      <c r="A31" s="41" t="s">
        <v>467</v>
      </c>
      <c r="B31" s="42">
        <f t="shared" ref="B31:AD31" si="15">B26+B27+B28+B29-B30</f>
        <v>-3065.3219999999992</v>
      </c>
      <c r="C31" s="42">
        <f t="shared" si="15"/>
        <v>45533.397999999994</v>
      </c>
      <c r="D31" s="42">
        <f t="shared" si="15"/>
        <v>-3065.3219999999992</v>
      </c>
      <c r="E31" s="42">
        <f t="shared" si="15"/>
        <v>45533.397999999994</v>
      </c>
      <c r="F31" s="42">
        <f t="shared" si="15"/>
        <v>-3065.3219999999992</v>
      </c>
      <c r="G31" s="42">
        <f t="shared" si="15"/>
        <v>45533.397999999994</v>
      </c>
      <c r="H31" s="42">
        <f t="shared" si="15"/>
        <v>-3065.3219999999992</v>
      </c>
      <c r="I31" s="42">
        <f t="shared" si="15"/>
        <v>-3065.3219999999992</v>
      </c>
      <c r="J31" s="42">
        <f t="shared" si="15"/>
        <v>45533.397999999994</v>
      </c>
      <c r="K31" s="42">
        <f t="shared" si="15"/>
        <v>-3065.3219999999992</v>
      </c>
      <c r="L31" s="42">
        <f t="shared" si="15"/>
        <v>45533.397999999994</v>
      </c>
      <c r="M31" s="42">
        <f t="shared" si="15"/>
        <v>-3065.3219999999992</v>
      </c>
      <c r="N31" s="42">
        <f t="shared" si="15"/>
        <v>45533.397999999994</v>
      </c>
      <c r="O31" s="42">
        <f t="shared" si="15"/>
        <v>-3065.3219999999992</v>
      </c>
      <c r="P31" s="42">
        <f t="shared" si="15"/>
        <v>45533.397999999994</v>
      </c>
      <c r="Q31" s="42">
        <f t="shared" si="15"/>
        <v>-3065.3219999999992</v>
      </c>
      <c r="R31" s="42">
        <f t="shared" si="15"/>
        <v>45533.397999999994</v>
      </c>
      <c r="S31" s="42">
        <f t="shared" si="15"/>
        <v>-3065.3219999999992</v>
      </c>
      <c r="T31" s="42">
        <f t="shared" si="15"/>
        <v>45533.397999999994</v>
      </c>
      <c r="U31" s="42">
        <f t="shared" si="15"/>
        <v>-3065.3219999999992</v>
      </c>
      <c r="V31" s="42">
        <f t="shared" si="15"/>
        <v>45533.397999999994</v>
      </c>
      <c r="W31" s="42">
        <f t="shared" si="15"/>
        <v>-3065.3219999999992</v>
      </c>
      <c r="X31" s="42">
        <f t="shared" si="15"/>
        <v>45533.397999999994</v>
      </c>
      <c r="Y31" s="42">
        <f t="shared" si="15"/>
        <v>-3065.3219999999992</v>
      </c>
      <c r="Z31" s="42">
        <f t="shared" si="15"/>
        <v>45533.397999999994</v>
      </c>
      <c r="AA31" s="42">
        <f t="shared" si="15"/>
        <v>-3065.3219999999992</v>
      </c>
      <c r="AB31" s="42">
        <f t="shared" si="15"/>
        <v>45533.397999999994</v>
      </c>
      <c r="AC31" s="42">
        <f t="shared" si="15"/>
        <v>-3065.3219999999992</v>
      </c>
      <c r="AD31" s="42">
        <f t="shared" si="15"/>
        <v>45533.397999999994</v>
      </c>
    </row>
    <row r="32" spans="1:30" x14ac:dyDescent="0.25">
      <c r="A32" s="43" t="s">
        <v>468</v>
      </c>
      <c r="B32" s="42">
        <f>-B12-B11+B31</f>
        <v>-310443.77199999988</v>
      </c>
      <c r="C32" s="42">
        <f t="shared" ref="C32:AD32" si="16">B32+C31</f>
        <v>-264910.37399999989</v>
      </c>
      <c r="D32" s="42">
        <f t="shared" si="16"/>
        <v>-267975.69599999988</v>
      </c>
      <c r="E32" s="42">
        <f t="shared" si="16"/>
        <v>-222442.29799999989</v>
      </c>
      <c r="F32" s="42">
        <f t="shared" si="16"/>
        <v>-225507.61999999988</v>
      </c>
      <c r="G32" s="42">
        <f t="shared" si="16"/>
        <v>-179974.22199999989</v>
      </c>
      <c r="H32" s="42">
        <f t="shared" si="16"/>
        <v>-183039.54399999988</v>
      </c>
      <c r="I32" s="42">
        <f t="shared" si="16"/>
        <v>-186104.86599999986</v>
      </c>
      <c r="J32" s="42">
        <f t="shared" si="16"/>
        <v>-140571.46799999988</v>
      </c>
      <c r="K32" s="42">
        <f t="shared" si="16"/>
        <v>-143636.78999999986</v>
      </c>
      <c r="L32" s="42">
        <f t="shared" si="16"/>
        <v>-98103.391999999876</v>
      </c>
      <c r="M32" s="42">
        <f t="shared" si="16"/>
        <v>-101168.71399999988</v>
      </c>
      <c r="N32" s="42">
        <f t="shared" si="16"/>
        <v>-55635.315999999882</v>
      </c>
      <c r="O32" s="42">
        <f t="shared" si="16"/>
        <v>-58700.637999999883</v>
      </c>
      <c r="P32" s="42">
        <f t="shared" si="16"/>
        <v>-13167.239999999889</v>
      </c>
      <c r="Q32" s="42">
        <f t="shared" si="16"/>
        <v>-16232.561999999889</v>
      </c>
      <c r="R32" s="42">
        <f t="shared" si="16"/>
        <v>29300.836000000105</v>
      </c>
      <c r="S32" s="42">
        <f t="shared" si="16"/>
        <v>26235.514000000105</v>
      </c>
      <c r="T32" s="42">
        <f t="shared" si="16"/>
        <v>71768.912000000098</v>
      </c>
      <c r="U32" s="42">
        <f t="shared" si="16"/>
        <v>68703.590000000098</v>
      </c>
      <c r="V32" s="42">
        <f t="shared" si="16"/>
        <v>114236.9880000001</v>
      </c>
      <c r="W32" s="42">
        <f t="shared" si="16"/>
        <v>111171.6660000001</v>
      </c>
      <c r="X32" s="42">
        <f t="shared" si="16"/>
        <v>156705.0640000001</v>
      </c>
      <c r="Y32" s="42">
        <f t="shared" si="16"/>
        <v>153639.74200000011</v>
      </c>
      <c r="Z32" s="42">
        <f t="shared" si="16"/>
        <v>199173.1400000001</v>
      </c>
      <c r="AA32" s="42">
        <f t="shared" si="16"/>
        <v>196107.81800000012</v>
      </c>
      <c r="AB32" s="42">
        <f t="shared" si="16"/>
        <v>241641.2160000001</v>
      </c>
      <c r="AC32" s="42">
        <f t="shared" si="16"/>
        <v>238575.89400000012</v>
      </c>
      <c r="AD32" s="42">
        <f t="shared" si="16"/>
        <v>284109.29200000013</v>
      </c>
    </row>
    <row r="33" spans="2:30" x14ac:dyDescent="0.25">
      <c r="B33" s="44">
        <f t="shared" ref="B33:AD33" si="17">B32/$B$13</f>
        <v>-1.0099724687921354</v>
      </c>
      <c r="C33" s="44">
        <f t="shared" si="17"/>
        <v>-0.86183782239776396</v>
      </c>
      <c r="D33" s="44">
        <f t="shared" si="17"/>
        <v>-0.8718102911898995</v>
      </c>
      <c r="E33" s="44">
        <f t="shared" si="17"/>
        <v>-0.72367564479552804</v>
      </c>
      <c r="F33" s="44">
        <f t="shared" si="17"/>
        <v>-0.73364811358766358</v>
      </c>
      <c r="G33" s="44">
        <f t="shared" si="17"/>
        <v>-0.585513467193292</v>
      </c>
      <c r="H33" s="44">
        <f t="shared" si="17"/>
        <v>-0.59548593598542754</v>
      </c>
      <c r="I33" s="44">
        <f t="shared" si="17"/>
        <v>-0.60545840477756308</v>
      </c>
      <c r="J33" s="44">
        <f t="shared" si="17"/>
        <v>-0.45732375838319156</v>
      </c>
      <c r="K33" s="44">
        <f t="shared" si="17"/>
        <v>-0.46729622717532704</v>
      </c>
      <c r="L33" s="44">
        <f t="shared" si="17"/>
        <v>-0.31916158078095558</v>
      </c>
      <c r="M33" s="44">
        <f t="shared" si="17"/>
        <v>-0.32913404957309111</v>
      </c>
      <c r="N33" s="44">
        <f t="shared" si="17"/>
        <v>-0.1809994031787196</v>
      </c>
      <c r="O33" s="44">
        <f t="shared" si="17"/>
        <v>-0.19097187197085516</v>
      </c>
      <c r="P33" s="44">
        <f t="shared" si="17"/>
        <v>-4.2837225576483624E-2</v>
      </c>
      <c r="Q33" s="44">
        <f t="shared" si="17"/>
        <v>-5.2809694368619188E-2</v>
      </c>
      <c r="R33" s="44">
        <f t="shared" si="17"/>
        <v>9.5324952025752335E-2</v>
      </c>
      <c r="S33" s="44">
        <f t="shared" si="17"/>
        <v>8.5352483233616785E-2</v>
      </c>
      <c r="T33" s="44">
        <f t="shared" si="17"/>
        <v>0.23348712962798832</v>
      </c>
      <c r="U33" s="44">
        <f t="shared" si="17"/>
        <v>0.22351466083585275</v>
      </c>
      <c r="V33" s="44">
        <f t="shared" si="17"/>
        <v>0.37164930723022432</v>
      </c>
      <c r="W33" s="44">
        <f t="shared" si="17"/>
        <v>0.36167683843808873</v>
      </c>
      <c r="X33" s="44">
        <f t="shared" si="17"/>
        <v>0.5098114848324603</v>
      </c>
      <c r="Y33" s="44">
        <f t="shared" si="17"/>
        <v>0.49983901604032477</v>
      </c>
      <c r="Z33" s="44">
        <f t="shared" si="17"/>
        <v>0.64797366243469623</v>
      </c>
      <c r="AA33" s="44">
        <f t="shared" si="17"/>
        <v>0.6380011936425608</v>
      </c>
      <c r="AB33" s="44">
        <f t="shared" si="17"/>
        <v>0.78613584003693227</v>
      </c>
      <c r="AC33" s="44">
        <f t="shared" si="17"/>
        <v>0.77616337124479673</v>
      </c>
      <c r="AD33" s="44">
        <f t="shared" si="17"/>
        <v>0.92429801763916841</v>
      </c>
    </row>
    <row r="37" spans="2:30" x14ac:dyDescent="0.25">
      <c r="B37" s="112">
        <f t="shared" ref="B37:P37" si="18">B18/B17</f>
        <v>0.56900401965163017</v>
      </c>
      <c r="C37" s="112">
        <f t="shared" si="18"/>
        <v>0.56900401965163028</v>
      </c>
      <c r="D37" s="112">
        <f t="shared" si="18"/>
        <v>0.56900401965163017</v>
      </c>
      <c r="E37" s="112">
        <f t="shared" si="18"/>
        <v>0.56900401965163017</v>
      </c>
      <c r="F37" s="112">
        <f t="shared" si="18"/>
        <v>0.56900401965163017</v>
      </c>
      <c r="G37" s="112">
        <f t="shared" si="18"/>
        <v>0.56900401965163017</v>
      </c>
      <c r="H37" s="112">
        <f t="shared" si="18"/>
        <v>0.56900401965163017</v>
      </c>
      <c r="I37" s="112">
        <f t="shared" si="18"/>
        <v>0.56900401965163017</v>
      </c>
      <c r="J37" s="112">
        <f t="shared" si="18"/>
        <v>0.56900401965163017</v>
      </c>
      <c r="K37" s="112">
        <f t="shared" si="18"/>
        <v>0.56900401965163017</v>
      </c>
      <c r="L37" s="112">
        <f t="shared" si="18"/>
        <v>0.56900401965163017</v>
      </c>
      <c r="M37" s="112">
        <f t="shared" si="18"/>
        <v>0.56900401965163017</v>
      </c>
      <c r="N37" s="112">
        <f t="shared" si="18"/>
        <v>0.56900401965163028</v>
      </c>
      <c r="O37" s="112">
        <f t="shared" si="18"/>
        <v>0.56900401965163017</v>
      </c>
      <c r="P37" s="112">
        <f t="shared" si="18"/>
        <v>0.56900401965163017</v>
      </c>
    </row>
    <row r="38" spans="2:30" x14ac:dyDescent="0.25">
      <c r="B38" s="112">
        <f t="shared" ref="B38:P38" si="19">B19/B17</f>
        <v>0.2184010719071014</v>
      </c>
      <c r="C38" s="112">
        <f t="shared" si="19"/>
        <v>0.21840107190710137</v>
      </c>
      <c r="D38" s="112">
        <f t="shared" si="19"/>
        <v>0.2184010719071014</v>
      </c>
      <c r="E38" s="112">
        <f t="shared" si="19"/>
        <v>0.21840107190710137</v>
      </c>
      <c r="F38" s="112">
        <f t="shared" si="19"/>
        <v>0.21840107190710137</v>
      </c>
      <c r="G38" s="112">
        <f t="shared" si="19"/>
        <v>0.21840107190710137</v>
      </c>
      <c r="H38" s="112">
        <f t="shared" si="19"/>
        <v>0.21840107190710137</v>
      </c>
      <c r="I38" s="112">
        <f t="shared" si="19"/>
        <v>0.21840107190710137</v>
      </c>
      <c r="J38" s="112">
        <f t="shared" si="19"/>
        <v>0.21840107190710137</v>
      </c>
      <c r="K38" s="112">
        <f t="shared" si="19"/>
        <v>0.21840107190710137</v>
      </c>
      <c r="L38" s="112">
        <f t="shared" si="19"/>
        <v>0.21840107190710137</v>
      </c>
      <c r="M38" s="112">
        <f t="shared" si="19"/>
        <v>0.21840107190710137</v>
      </c>
      <c r="N38" s="112">
        <f t="shared" si="19"/>
        <v>0.21840107190710137</v>
      </c>
      <c r="O38" s="112">
        <f t="shared" si="19"/>
        <v>0.21840107190710137</v>
      </c>
      <c r="P38" s="112">
        <f t="shared" si="19"/>
        <v>0.21840107190710137</v>
      </c>
    </row>
    <row r="39" spans="2:30" x14ac:dyDescent="0.25">
      <c r="B39" s="112">
        <f t="shared" ref="B39:P39" si="20">B20/B17</f>
        <v>0.18981688253684681</v>
      </c>
      <c r="C39" s="112">
        <f t="shared" si="20"/>
        <v>0.18981688253684681</v>
      </c>
      <c r="D39" s="112">
        <f t="shared" si="20"/>
        <v>0.18981688253684681</v>
      </c>
      <c r="E39" s="112">
        <f t="shared" si="20"/>
        <v>0.18981688253684681</v>
      </c>
      <c r="F39" s="112">
        <f t="shared" si="20"/>
        <v>0.18981688253684681</v>
      </c>
      <c r="G39" s="112">
        <f t="shared" si="20"/>
        <v>0.18981688253684681</v>
      </c>
      <c r="H39" s="112">
        <f t="shared" si="20"/>
        <v>0.18981688253684678</v>
      </c>
      <c r="I39" s="112">
        <f t="shared" si="20"/>
        <v>0.18981688253684681</v>
      </c>
      <c r="J39" s="112">
        <f t="shared" si="20"/>
        <v>0.18981688253684681</v>
      </c>
      <c r="K39" s="112">
        <f t="shared" si="20"/>
        <v>0.18981688253684681</v>
      </c>
      <c r="L39" s="112">
        <f t="shared" si="20"/>
        <v>0.18981688253684681</v>
      </c>
      <c r="M39" s="112">
        <f t="shared" si="20"/>
        <v>0.18981688253684681</v>
      </c>
      <c r="N39" s="112">
        <f t="shared" si="20"/>
        <v>0.18981688253684681</v>
      </c>
      <c r="O39" s="112">
        <f t="shared" si="20"/>
        <v>0.18981688253684681</v>
      </c>
      <c r="P39" s="112">
        <f t="shared" si="20"/>
        <v>0.18981688253684681</v>
      </c>
    </row>
    <row r="40" spans="2:30" x14ac:dyDescent="0.25">
      <c r="B40" s="112">
        <f t="shared" ref="B40:P40" si="21">B21/B17</f>
        <v>2.2778025904421618E-2</v>
      </c>
      <c r="C40" s="112">
        <f t="shared" si="21"/>
        <v>2.2778025904421618E-2</v>
      </c>
      <c r="D40" s="112">
        <f t="shared" si="21"/>
        <v>2.2778025904421618E-2</v>
      </c>
      <c r="E40" s="112">
        <f t="shared" si="21"/>
        <v>2.2778025904421618E-2</v>
      </c>
      <c r="F40" s="112">
        <f t="shared" si="21"/>
        <v>2.2778025904421618E-2</v>
      </c>
      <c r="G40" s="112">
        <f t="shared" si="21"/>
        <v>2.2778025904421618E-2</v>
      </c>
      <c r="H40" s="112">
        <f t="shared" si="21"/>
        <v>2.2778025904421618E-2</v>
      </c>
      <c r="I40" s="112">
        <f t="shared" si="21"/>
        <v>2.2778025904421618E-2</v>
      </c>
      <c r="J40" s="112">
        <f t="shared" si="21"/>
        <v>2.2778025904421618E-2</v>
      </c>
      <c r="K40" s="112">
        <f t="shared" si="21"/>
        <v>2.2778025904421618E-2</v>
      </c>
      <c r="L40" s="112">
        <f t="shared" si="21"/>
        <v>2.2778025904421618E-2</v>
      </c>
      <c r="M40" s="112">
        <f t="shared" si="21"/>
        <v>2.2778025904421618E-2</v>
      </c>
      <c r="N40" s="112">
        <f t="shared" si="21"/>
        <v>2.2778025904421618E-2</v>
      </c>
      <c r="O40" s="112">
        <f t="shared" si="21"/>
        <v>2.2778025904421618E-2</v>
      </c>
      <c r="P40" s="112">
        <f t="shared" si="21"/>
        <v>2.2778025904421614E-2</v>
      </c>
    </row>
    <row r="41" spans="2:30" x14ac:dyDescent="0.25">
      <c r="G41" s="49">
        <f>G21-B7</f>
        <v>139.3900000000001</v>
      </c>
      <c r="I41" s="49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A41-49D1-440D-8BA6-42F1833AA81A}">
  <dimension ref="A1:E5"/>
  <sheetViews>
    <sheetView workbookViewId="0">
      <selection activeCell="E5" sqref="D1:E5"/>
    </sheetView>
  </sheetViews>
  <sheetFormatPr baseColWidth="10" defaultRowHeight="15" x14ac:dyDescent="0.25"/>
  <cols>
    <col min="4" max="5" width="13.42578125" bestFit="1" customWidth="1"/>
  </cols>
  <sheetData>
    <row r="1" spans="1:5" x14ac:dyDescent="0.25">
      <c r="A1" s="4" t="s">
        <v>642</v>
      </c>
      <c r="B1" s="4" t="s">
        <v>643</v>
      </c>
      <c r="C1" s="4" t="s">
        <v>644</v>
      </c>
      <c r="D1" t="s">
        <v>639</v>
      </c>
      <c r="E1" t="s">
        <v>645</v>
      </c>
    </row>
    <row r="2" spans="1:5" x14ac:dyDescent="0.25">
      <c r="A2" s="539">
        <v>45</v>
      </c>
      <c r="B2" s="540">
        <v>0.5</v>
      </c>
      <c r="C2" s="540">
        <v>7</v>
      </c>
      <c r="D2" s="538">
        <v>6.4285714285714288</v>
      </c>
      <c r="E2" s="538">
        <v>1.1428571428571428</v>
      </c>
    </row>
    <row r="3" spans="1:5" x14ac:dyDescent="0.25">
      <c r="A3" s="541">
        <v>75</v>
      </c>
      <c r="B3" s="542">
        <v>0.7</v>
      </c>
      <c r="C3" s="542">
        <v>10</v>
      </c>
      <c r="D3" s="538">
        <v>7.5</v>
      </c>
      <c r="E3" s="538">
        <v>1.1199999999999999</v>
      </c>
    </row>
    <row r="4" spans="1:5" x14ac:dyDescent="0.25">
      <c r="A4" s="539">
        <v>90</v>
      </c>
      <c r="B4" s="540">
        <v>1</v>
      </c>
      <c r="C4" s="540">
        <v>19</v>
      </c>
      <c r="D4" s="538">
        <v>4.7368421052631575</v>
      </c>
      <c r="E4" s="538">
        <v>0.84210526315789469</v>
      </c>
    </row>
    <row r="5" spans="1:5" x14ac:dyDescent="0.25">
      <c r="A5" s="541">
        <v>300</v>
      </c>
      <c r="B5" s="542">
        <v>2.5</v>
      </c>
      <c r="C5" s="542">
        <v>35</v>
      </c>
      <c r="D5" s="538">
        <v>8.5714285714285712</v>
      </c>
      <c r="E5" s="538">
        <v>1.1428571428571428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C21"/>
  <sheetViews>
    <sheetView workbookViewId="0">
      <selection activeCell="A9" sqref="A9:XFD9"/>
    </sheetView>
  </sheetViews>
  <sheetFormatPr baseColWidth="10" defaultRowHeight="15" x14ac:dyDescent="0.25"/>
  <cols>
    <col min="1" max="1" width="21.28515625" style="318" bestFit="1" customWidth="1"/>
    <col min="2" max="2" width="5.42578125" style="318" bestFit="1" customWidth="1"/>
    <col min="3" max="3" width="4.7109375" style="318" bestFit="1" customWidth="1"/>
    <col min="4" max="4" width="4.5703125" style="318" bestFit="1" customWidth="1"/>
    <col min="5" max="5" width="3.7109375" style="318" bestFit="1" customWidth="1"/>
    <col min="6" max="6" width="7.42578125" style="318" bestFit="1" customWidth="1"/>
    <col min="7" max="7" width="4.5703125" style="318" bestFit="1" customWidth="1"/>
    <col min="8" max="8" width="4.5703125" style="318" customWidth="1"/>
    <col min="9" max="9" width="4.7109375" style="318" bestFit="1" customWidth="1"/>
    <col min="10" max="11" width="5.5703125" style="318" bestFit="1" customWidth="1"/>
    <col min="12" max="12" width="4.5703125" style="318" bestFit="1" customWidth="1"/>
    <col min="13" max="15" width="5.5703125" style="318" bestFit="1" customWidth="1"/>
    <col min="16" max="19" width="7.85546875" style="318" bestFit="1" customWidth="1"/>
    <col min="20" max="22" width="6.85546875" style="318" customWidth="1"/>
    <col min="23" max="23" width="8.42578125" style="323" bestFit="1" customWidth="1"/>
    <col min="24" max="24" width="7.5703125" style="318" bestFit="1" customWidth="1"/>
    <col min="25" max="25" width="7.140625" style="318" bestFit="1" customWidth="1"/>
    <col min="26" max="26" width="7.5703125" style="318" bestFit="1" customWidth="1"/>
    <col min="27" max="27" width="9" style="318" bestFit="1" customWidth="1"/>
    <col min="28" max="28" width="6.140625" style="318" bestFit="1" customWidth="1"/>
    <col min="29" max="29" width="11.42578125" style="318"/>
  </cols>
  <sheetData>
    <row r="1" spans="1:28" x14ac:dyDescent="0.25">
      <c r="A1" s="320"/>
      <c r="B1" s="320"/>
      <c r="C1" s="320"/>
      <c r="D1" s="35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 t="s">
        <v>250</v>
      </c>
      <c r="X1" s="320"/>
      <c r="Y1" s="320"/>
      <c r="Z1" s="320"/>
      <c r="AA1" s="320"/>
      <c r="AB1" s="320"/>
    </row>
    <row r="2" spans="1:28" x14ac:dyDescent="0.25">
      <c r="A2" s="351" t="s">
        <v>84</v>
      </c>
      <c r="B2" s="351" t="s">
        <v>187</v>
      </c>
      <c r="C2" s="351" t="s">
        <v>86</v>
      </c>
      <c r="D2" s="352" t="s">
        <v>186</v>
      </c>
      <c r="E2" s="352" t="s">
        <v>491</v>
      </c>
      <c r="F2" s="353" t="s">
        <v>96</v>
      </c>
      <c r="G2" s="353" t="s">
        <v>258</v>
      </c>
      <c r="H2" s="353" t="s">
        <v>496</v>
      </c>
      <c r="I2" s="354" t="s">
        <v>14</v>
      </c>
      <c r="J2" s="354" t="s">
        <v>37</v>
      </c>
      <c r="K2" s="354" t="s">
        <v>167</v>
      </c>
      <c r="L2" s="354" t="s">
        <v>30</v>
      </c>
      <c r="M2" s="354" t="s">
        <v>169</v>
      </c>
      <c r="N2" s="354" t="s">
        <v>170</v>
      </c>
      <c r="O2" s="354" t="s">
        <v>171</v>
      </c>
      <c r="P2" s="346" t="s">
        <v>262</v>
      </c>
      <c r="Q2" s="346" t="s">
        <v>263</v>
      </c>
      <c r="R2" s="346" t="s">
        <v>262</v>
      </c>
      <c r="S2" s="346" t="s">
        <v>28</v>
      </c>
      <c r="T2" s="346" t="s">
        <v>264</v>
      </c>
      <c r="U2" s="346" t="s">
        <v>265</v>
      </c>
      <c r="V2" s="346" t="s">
        <v>264</v>
      </c>
      <c r="W2" s="355" t="s">
        <v>114</v>
      </c>
      <c r="X2" s="359" t="s">
        <v>492</v>
      </c>
      <c r="Y2" s="359" t="s">
        <v>188</v>
      </c>
      <c r="Z2" s="346" t="s">
        <v>493</v>
      </c>
      <c r="AA2" s="346" t="s">
        <v>494</v>
      </c>
      <c r="AB2" s="346" t="s">
        <v>495</v>
      </c>
    </row>
    <row r="3" spans="1:28" x14ac:dyDescent="0.25">
      <c r="A3" s="532" t="s">
        <v>497</v>
      </c>
      <c r="B3" s="318">
        <v>28</v>
      </c>
      <c r="C3" s="347">
        <v>53</v>
      </c>
      <c r="D3" s="323" t="s">
        <v>138</v>
      </c>
      <c r="E3" s="323">
        <v>4</v>
      </c>
      <c r="F3" s="357">
        <v>1</v>
      </c>
      <c r="G3" s="348">
        <v>8</v>
      </c>
      <c r="H3" s="349">
        <f t="shared" ref="H3:H14" si="0">LOG(G3+1)*4/3</f>
        <v>1.2723233459190999</v>
      </c>
      <c r="I3" s="349">
        <v>0</v>
      </c>
      <c r="J3" s="349">
        <v>8</v>
      </c>
      <c r="K3" s="349">
        <v>14</v>
      </c>
      <c r="L3" s="349">
        <v>7</v>
      </c>
      <c r="M3" s="349">
        <v>8</v>
      </c>
      <c r="N3" s="349">
        <v>9</v>
      </c>
      <c r="O3" s="349">
        <v>14</v>
      </c>
      <c r="P3" s="358">
        <f t="shared" ref="P3:P14" si="1">((J3+F3+(LOG(G3)*4/3))*0.189)</f>
        <v>1.9285786767219699</v>
      </c>
      <c r="Q3" s="358">
        <f t="shared" ref="Q3:Q14" si="2">((J3+F3+(LOG(G3)*4/3))*0.4)</f>
        <v>4.0816479930623704</v>
      </c>
      <c r="R3" s="358">
        <f t="shared" ref="R3:R14" si="3">P3/2</f>
        <v>0.96428933836098496</v>
      </c>
      <c r="S3" s="358">
        <f t="shared" ref="S3:S14" si="4">((K3+F3+(LOG(G3)*4/3))*1)</f>
        <v>16.204119982655925</v>
      </c>
      <c r="T3" s="358">
        <f t="shared" ref="T3:T14" si="5">((M3+F3+(LOG(G3)*4/3))*0.253)</f>
        <v>2.5816423556119492</v>
      </c>
      <c r="U3" s="358">
        <f t="shared" ref="U3:U14" si="6">((N3+F3+(LOG(G3)*4/3))*0.21)+((M3+F3+(LOG(G3)*4/3))*0.341)</f>
        <v>5.8324701104434151</v>
      </c>
      <c r="V3" s="358">
        <f t="shared" ref="V3:V14" si="7">T3/2</f>
        <v>1.2908211778059746</v>
      </c>
      <c r="W3" s="531">
        <f t="shared" ref="W3:W14" si="8">(1.66*(F3+H3+N3)+0.55*(F3+H3+O3)-7.6)</f>
        <v>20.061834594481205</v>
      </c>
      <c r="X3" s="318">
        <v>5380</v>
      </c>
      <c r="Y3" s="361">
        <f>29.3*0.9</f>
        <v>26.37</v>
      </c>
      <c r="Z3" s="320">
        <v>1850</v>
      </c>
      <c r="AA3" s="347">
        <f t="shared" ref="AA3:AA14" si="9">X3+(Y3*16*(32-B3-((112-C3)/112)))-Y3</f>
        <v>6819.0485714285714</v>
      </c>
      <c r="AB3" s="347">
        <f t="shared" ref="AB3:AB14" si="10">(AA3)/(32-B3+((112-C3)/112))-((Z3)/(32-B3+((112-C3)/112)))</f>
        <v>1097.6990927021695</v>
      </c>
    </row>
    <row r="4" spans="1:28" x14ac:dyDescent="0.25">
      <c r="A4" s="356" t="s">
        <v>617</v>
      </c>
      <c r="B4" s="318">
        <v>29</v>
      </c>
      <c r="C4" s="347">
        <v>17</v>
      </c>
      <c r="D4" s="323" t="s">
        <v>138</v>
      </c>
      <c r="E4" s="323">
        <v>1</v>
      </c>
      <c r="F4" s="357">
        <v>1</v>
      </c>
      <c r="G4" s="348">
        <v>8</v>
      </c>
      <c r="H4" s="349">
        <f t="shared" si="0"/>
        <v>1.2723233459190999</v>
      </c>
      <c r="I4" s="349">
        <v>0</v>
      </c>
      <c r="J4" s="349">
        <v>3</v>
      </c>
      <c r="K4" s="349">
        <v>14</v>
      </c>
      <c r="L4" s="349">
        <v>2</v>
      </c>
      <c r="M4" s="349">
        <v>11</v>
      </c>
      <c r="N4" s="349">
        <v>12</v>
      </c>
      <c r="O4" s="349">
        <v>14</v>
      </c>
      <c r="P4" s="358">
        <f t="shared" si="1"/>
        <v>0.98357867672196986</v>
      </c>
      <c r="Q4" s="358">
        <f t="shared" si="2"/>
        <v>2.0816479930623699</v>
      </c>
      <c r="R4" s="358">
        <f t="shared" si="3"/>
        <v>0.49178933836098493</v>
      </c>
      <c r="S4" s="358">
        <f t="shared" si="4"/>
        <v>16.204119982655925</v>
      </c>
      <c r="T4" s="358">
        <f t="shared" si="5"/>
        <v>3.3406423556119491</v>
      </c>
      <c r="U4" s="358">
        <f t="shared" si="6"/>
        <v>7.4854701104434156</v>
      </c>
      <c r="V4" s="358">
        <f t="shared" si="7"/>
        <v>1.6703211778059746</v>
      </c>
      <c r="W4" s="531">
        <f t="shared" si="8"/>
        <v>25.041834594481209</v>
      </c>
      <c r="X4" s="318">
        <v>7300</v>
      </c>
      <c r="Y4" s="361">
        <v>32.299999999999997</v>
      </c>
      <c r="Z4" s="320">
        <v>3800</v>
      </c>
      <c r="AA4" s="347">
        <f t="shared" si="9"/>
        <v>8379.7428571428572</v>
      </c>
      <c r="AB4" s="347">
        <f t="shared" si="10"/>
        <v>1190.0955916473317</v>
      </c>
    </row>
    <row r="5" spans="1:28" x14ac:dyDescent="0.25">
      <c r="A5" s="356" t="s">
        <v>619</v>
      </c>
      <c r="B5" s="318">
        <v>29</v>
      </c>
      <c r="C5" s="347">
        <v>75</v>
      </c>
      <c r="D5" s="323"/>
      <c r="E5" s="323">
        <v>4</v>
      </c>
      <c r="F5" s="357">
        <v>1</v>
      </c>
      <c r="G5" s="348">
        <v>11</v>
      </c>
      <c r="H5" s="349">
        <f t="shared" si="0"/>
        <v>1.4389083280634998</v>
      </c>
      <c r="I5" s="349">
        <v>0</v>
      </c>
      <c r="J5" s="349">
        <v>13</v>
      </c>
      <c r="K5" s="349">
        <v>13</v>
      </c>
      <c r="L5" s="349">
        <v>3</v>
      </c>
      <c r="M5" s="349">
        <v>5</v>
      </c>
      <c r="N5" s="349">
        <v>7</v>
      </c>
      <c r="O5" s="349">
        <v>17</v>
      </c>
      <c r="P5" s="358">
        <f t="shared" si="1"/>
        <v>2.9084309566598727</v>
      </c>
      <c r="Q5" s="358">
        <f t="shared" si="2"/>
        <v>6.1554094320843866</v>
      </c>
      <c r="R5" s="358">
        <f t="shared" si="3"/>
        <v>1.4542154783299364</v>
      </c>
      <c r="S5" s="358">
        <f t="shared" si="4"/>
        <v>15.388523580210967</v>
      </c>
      <c r="T5" s="358">
        <f t="shared" si="5"/>
        <v>1.8692964657933746</v>
      </c>
      <c r="U5" s="358">
        <f t="shared" si="6"/>
        <v>4.4910764926962425</v>
      </c>
      <c r="V5" s="358">
        <f t="shared" si="7"/>
        <v>0.9346482328966873</v>
      </c>
      <c r="W5" s="531">
        <f t="shared" si="8"/>
        <v>18.759987405020333</v>
      </c>
      <c r="X5" s="318">
        <v>4800</v>
      </c>
      <c r="Y5" s="361">
        <v>26.4</v>
      </c>
      <c r="Z5" s="320">
        <v>1900</v>
      </c>
      <c r="AA5" s="347">
        <f t="shared" si="9"/>
        <v>5901.2571428571428</v>
      </c>
      <c r="AB5" s="347">
        <f t="shared" si="10"/>
        <v>1201.4498659517426</v>
      </c>
    </row>
    <row r="6" spans="1:28" x14ac:dyDescent="0.25">
      <c r="A6" s="356" t="s">
        <v>614</v>
      </c>
      <c r="B6" s="318">
        <v>28</v>
      </c>
      <c r="C6" s="347">
        <v>103</v>
      </c>
      <c r="D6" s="323" t="s">
        <v>134</v>
      </c>
      <c r="E6" s="323">
        <v>2</v>
      </c>
      <c r="F6" s="357">
        <v>1</v>
      </c>
      <c r="G6" s="348">
        <v>10</v>
      </c>
      <c r="H6" s="349">
        <f t="shared" si="0"/>
        <v>1.3885235802109668</v>
      </c>
      <c r="I6" s="349">
        <v>0</v>
      </c>
      <c r="J6" s="349">
        <v>8</v>
      </c>
      <c r="K6" s="349">
        <v>14</v>
      </c>
      <c r="L6" s="349">
        <v>4</v>
      </c>
      <c r="M6" s="349">
        <v>7</v>
      </c>
      <c r="N6" s="349">
        <v>7</v>
      </c>
      <c r="O6" s="349">
        <v>16</v>
      </c>
      <c r="P6" s="358">
        <f t="shared" si="1"/>
        <v>1.9530000000000001</v>
      </c>
      <c r="Q6" s="358">
        <f t="shared" si="2"/>
        <v>4.1333333333333337</v>
      </c>
      <c r="R6" s="358">
        <f t="shared" si="3"/>
        <v>0.97650000000000003</v>
      </c>
      <c r="S6" s="358">
        <f t="shared" si="4"/>
        <v>16.333333333333332</v>
      </c>
      <c r="T6" s="358">
        <f t="shared" si="5"/>
        <v>2.3613333333333335</v>
      </c>
      <c r="U6" s="358">
        <f t="shared" si="6"/>
        <v>5.1426666666666669</v>
      </c>
      <c r="V6" s="358">
        <f t="shared" si="7"/>
        <v>1.1806666666666668</v>
      </c>
      <c r="W6" s="531">
        <f t="shared" si="8"/>
        <v>18.098637112266232</v>
      </c>
      <c r="X6" s="318">
        <v>4850</v>
      </c>
      <c r="Y6" s="361">
        <v>31.5</v>
      </c>
      <c r="Z6" s="320">
        <v>1850</v>
      </c>
      <c r="AA6" s="347">
        <f t="shared" si="9"/>
        <v>6794</v>
      </c>
      <c r="AB6" s="347">
        <f t="shared" si="10"/>
        <v>1211.6586433260395</v>
      </c>
    </row>
    <row r="7" spans="1:28" x14ac:dyDescent="0.25">
      <c r="A7" s="356" t="s">
        <v>615</v>
      </c>
      <c r="B7" s="318">
        <v>28</v>
      </c>
      <c r="C7" s="347">
        <v>12</v>
      </c>
      <c r="D7" s="323"/>
      <c r="E7" s="323">
        <v>3</v>
      </c>
      <c r="F7" s="357">
        <v>1</v>
      </c>
      <c r="G7" s="348">
        <v>6</v>
      </c>
      <c r="H7" s="349">
        <f t="shared" si="0"/>
        <v>1.1267973866856758</v>
      </c>
      <c r="I7" s="349">
        <v>0</v>
      </c>
      <c r="J7" s="349">
        <v>8</v>
      </c>
      <c r="K7" s="349">
        <v>15</v>
      </c>
      <c r="L7" s="349">
        <v>2</v>
      </c>
      <c r="M7" s="349">
        <v>3</v>
      </c>
      <c r="N7" s="349">
        <v>9</v>
      </c>
      <c r="O7" s="349">
        <v>18</v>
      </c>
      <c r="P7" s="358">
        <f t="shared" si="1"/>
        <v>1.8970941150966782</v>
      </c>
      <c r="Q7" s="358">
        <f t="shared" si="2"/>
        <v>4.0150140002046104</v>
      </c>
      <c r="R7" s="358">
        <f t="shared" si="3"/>
        <v>0.94854705754833912</v>
      </c>
      <c r="S7" s="358">
        <f t="shared" si="4"/>
        <v>17.037535000511525</v>
      </c>
      <c r="T7" s="358">
        <f t="shared" si="5"/>
        <v>1.2744963551294159</v>
      </c>
      <c r="U7" s="358">
        <f t="shared" si="6"/>
        <v>4.0356817852818505</v>
      </c>
      <c r="V7" s="358">
        <f t="shared" si="7"/>
        <v>0.63724817756470797</v>
      </c>
      <c r="W7" s="531">
        <f t="shared" si="8"/>
        <v>21.940222224575344</v>
      </c>
      <c r="X7" s="318">
        <v>6250</v>
      </c>
      <c r="Y7" s="361">
        <f>45.7*1.2</f>
        <v>54.84</v>
      </c>
      <c r="Z7" s="320">
        <v>2800</v>
      </c>
      <c r="AA7" s="347">
        <f t="shared" si="9"/>
        <v>8921.4914285714294</v>
      </c>
      <c r="AB7" s="347">
        <f t="shared" si="10"/>
        <v>1251.1077372262775</v>
      </c>
    </row>
    <row r="8" spans="1:28" x14ac:dyDescent="0.25">
      <c r="A8" s="356" t="s">
        <v>618</v>
      </c>
      <c r="B8" s="318">
        <v>28</v>
      </c>
      <c r="C8" s="347">
        <v>87</v>
      </c>
      <c r="D8" s="323" t="s">
        <v>156</v>
      </c>
      <c r="E8" s="323">
        <v>4</v>
      </c>
      <c r="F8" s="357">
        <v>1</v>
      </c>
      <c r="G8" s="348">
        <v>7</v>
      </c>
      <c r="H8" s="349">
        <f t="shared" si="0"/>
        <v>1.2041199826559248</v>
      </c>
      <c r="I8" s="349">
        <v>0</v>
      </c>
      <c r="J8" s="349">
        <v>5</v>
      </c>
      <c r="K8" s="349">
        <v>14</v>
      </c>
      <c r="L8" s="349">
        <v>5</v>
      </c>
      <c r="M8" s="349">
        <v>6</v>
      </c>
      <c r="N8" s="349">
        <v>12</v>
      </c>
      <c r="O8" s="349">
        <v>14</v>
      </c>
      <c r="P8" s="358">
        <f t="shared" si="1"/>
        <v>1.3469647060835925</v>
      </c>
      <c r="Q8" s="358">
        <f t="shared" si="2"/>
        <v>2.8507189546742704</v>
      </c>
      <c r="R8" s="358">
        <f t="shared" si="3"/>
        <v>0.67348235304179627</v>
      </c>
      <c r="S8" s="358">
        <f t="shared" si="4"/>
        <v>16.126797386685677</v>
      </c>
      <c r="T8" s="358">
        <f t="shared" si="5"/>
        <v>2.056079738831476</v>
      </c>
      <c r="U8" s="358">
        <f t="shared" si="6"/>
        <v>5.7378653600638074</v>
      </c>
      <c r="V8" s="358">
        <f t="shared" si="7"/>
        <v>1.028039869415738</v>
      </c>
      <c r="W8" s="531">
        <f t="shared" si="8"/>
        <v>24.891105161669593</v>
      </c>
      <c r="X8" s="318">
        <v>5750</v>
      </c>
      <c r="Y8" s="361">
        <v>37.9</v>
      </c>
      <c r="Z8" s="320">
        <v>2684</v>
      </c>
      <c r="AA8" s="347">
        <f t="shared" si="9"/>
        <v>8002.3428571428576</v>
      </c>
      <c r="AB8" s="347">
        <f t="shared" si="10"/>
        <v>1259.3116279069768</v>
      </c>
    </row>
    <row r="9" spans="1:28" x14ac:dyDescent="0.25">
      <c r="A9" s="356" t="s">
        <v>616</v>
      </c>
      <c r="B9" s="318">
        <v>28</v>
      </c>
      <c r="C9" s="347">
        <v>57</v>
      </c>
      <c r="D9" s="323" t="s">
        <v>128</v>
      </c>
      <c r="E9" s="323">
        <v>4</v>
      </c>
      <c r="F9" s="357">
        <v>1</v>
      </c>
      <c r="G9" s="348">
        <v>7</v>
      </c>
      <c r="H9" s="349">
        <f t="shared" si="0"/>
        <v>1.2041199826559248</v>
      </c>
      <c r="I9" s="349">
        <v>0</v>
      </c>
      <c r="J9" s="349">
        <v>3</v>
      </c>
      <c r="K9" s="349">
        <v>14</v>
      </c>
      <c r="L9" s="349">
        <v>4</v>
      </c>
      <c r="M9" s="349">
        <v>8</v>
      </c>
      <c r="N9" s="349">
        <v>10</v>
      </c>
      <c r="O9" s="349">
        <v>15</v>
      </c>
      <c r="P9" s="358">
        <f t="shared" si="1"/>
        <v>0.96896470608359264</v>
      </c>
      <c r="Q9" s="358">
        <f t="shared" si="2"/>
        <v>2.0507189546742701</v>
      </c>
      <c r="R9" s="358">
        <f t="shared" si="3"/>
        <v>0.48448235304179632</v>
      </c>
      <c r="S9" s="358">
        <f t="shared" si="4"/>
        <v>16.126797386685677</v>
      </c>
      <c r="T9" s="358">
        <f t="shared" si="5"/>
        <v>2.5620797388314758</v>
      </c>
      <c r="U9" s="358">
        <f t="shared" si="6"/>
        <v>5.9998653600638079</v>
      </c>
      <c r="V9" s="358">
        <f t="shared" si="7"/>
        <v>1.2810398694157379</v>
      </c>
      <c r="W9" s="531">
        <f t="shared" si="8"/>
        <v>22.12110516166959</v>
      </c>
      <c r="X9" s="318">
        <v>5500</v>
      </c>
      <c r="Y9" s="361">
        <v>30.4</v>
      </c>
      <c r="Z9" s="320">
        <v>1350</v>
      </c>
      <c r="AA9" s="347">
        <f t="shared" si="9"/>
        <v>7176.3428571428576</v>
      </c>
      <c r="AB9" s="347">
        <f t="shared" si="10"/>
        <v>1297.3168986083499</v>
      </c>
    </row>
    <row r="10" spans="1:28" x14ac:dyDescent="0.25">
      <c r="A10" s="356" t="s">
        <v>613</v>
      </c>
      <c r="B10" s="318">
        <v>26</v>
      </c>
      <c r="C10" s="347">
        <v>20</v>
      </c>
      <c r="D10" s="323" t="s">
        <v>138</v>
      </c>
      <c r="E10" s="323">
        <v>3</v>
      </c>
      <c r="F10" s="357">
        <v>1</v>
      </c>
      <c r="G10" s="348">
        <v>6</v>
      </c>
      <c r="H10" s="349">
        <f t="shared" si="0"/>
        <v>1.1267973866856758</v>
      </c>
      <c r="I10" s="349">
        <v>0</v>
      </c>
      <c r="J10" s="349">
        <v>9</v>
      </c>
      <c r="K10" s="349">
        <v>14</v>
      </c>
      <c r="L10" s="349">
        <v>3</v>
      </c>
      <c r="M10" s="349">
        <v>3</v>
      </c>
      <c r="N10" s="349">
        <v>8</v>
      </c>
      <c r="O10" s="349">
        <v>16</v>
      </c>
      <c r="P10" s="358">
        <f t="shared" si="1"/>
        <v>2.0860941150966781</v>
      </c>
      <c r="Q10" s="358">
        <f t="shared" si="2"/>
        <v>4.4150140002046099</v>
      </c>
      <c r="R10" s="358">
        <f t="shared" si="3"/>
        <v>1.043047057548339</v>
      </c>
      <c r="S10" s="358">
        <f t="shared" si="4"/>
        <v>16.037535000511525</v>
      </c>
      <c r="T10" s="358">
        <f t="shared" si="5"/>
        <v>1.2744963551294159</v>
      </c>
      <c r="U10" s="358">
        <f t="shared" si="6"/>
        <v>3.8256817852818505</v>
      </c>
      <c r="V10" s="358">
        <f t="shared" si="7"/>
        <v>0.63724817756470797</v>
      </c>
      <c r="W10" s="531">
        <f t="shared" si="8"/>
        <v>19.180222224575346</v>
      </c>
      <c r="X10" s="318">
        <v>9000</v>
      </c>
      <c r="Y10" s="361">
        <f>25.3*1.2</f>
        <v>30.36</v>
      </c>
      <c r="Z10" s="320">
        <v>2500</v>
      </c>
      <c r="AA10" s="347">
        <f t="shared" si="9"/>
        <v>11485.182857142856</v>
      </c>
      <c r="AB10" s="347">
        <f t="shared" si="10"/>
        <v>1317.1995811518323</v>
      </c>
    </row>
    <row r="11" spans="1:28" x14ac:dyDescent="0.25">
      <c r="A11" s="356" t="s">
        <v>612</v>
      </c>
      <c r="B11" s="318">
        <v>26</v>
      </c>
      <c r="C11" s="347">
        <v>38</v>
      </c>
      <c r="D11" s="323" t="s">
        <v>156</v>
      </c>
      <c r="E11" s="323">
        <v>4</v>
      </c>
      <c r="F11" s="357">
        <v>1</v>
      </c>
      <c r="G11" s="348">
        <v>6</v>
      </c>
      <c r="H11" s="349">
        <f t="shared" si="0"/>
        <v>1.1267973866856758</v>
      </c>
      <c r="I11" s="349">
        <v>0</v>
      </c>
      <c r="J11" s="349">
        <v>9</v>
      </c>
      <c r="K11" s="349">
        <v>14</v>
      </c>
      <c r="L11" s="349">
        <v>4</v>
      </c>
      <c r="M11" s="349">
        <v>3</v>
      </c>
      <c r="N11" s="349">
        <v>8</v>
      </c>
      <c r="O11" s="349">
        <v>17</v>
      </c>
      <c r="P11" s="358">
        <f t="shared" si="1"/>
        <v>2.0860941150966781</v>
      </c>
      <c r="Q11" s="358">
        <f t="shared" si="2"/>
        <v>4.4150140002046099</v>
      </c>
      <c r="R11" s="358">
        <f t="shared" si="3"/>
        <v>1.043047057548339</v>
      </c>
      <c r="S11" s="358">
        <f t="shared" si="4"/>
        <v>16.037535000511525</v>
      </c>
      <c r="T11" s="358">
        <f t="shared" si="5"/>
        <v>1.2744963551294159</v>
      </c>
      <c r="U11" s="358">
        <f t="shared" si="6"/>
        <v>3.8256817852818505</v>
      </c>
      <c r="V11" s="358">
        <f t="shared" si="7"/>
        <v>0.63724817756470797</v>
      </c>
      <c r="W11" s="531">
        <f t="shared" si="8"/>
        <v>19.730222224575343</v>
      </c>
      <c r="X11" s="318">
        <v>9000</v>
      </c>
      <c r="Y11" s="361">
        <v>28.1</v>
      </c>
      <c r="Z11" s="320">
        <v>2500</v>
      </c>
      <c r="AA11" s="347">
        <f t="shared" si="9"/>
        <v>11372.442857142856</v>
      </c>
      <c r="AB11" s="347">
        <f t="shared" si="10"/>
        <v>1332.0557640750667</v>
      </c>
    </row>
    <row r="12" spans="1:28" x14ac:dyDescent="0.25">
      <c r="A12" s="356" t="s">
        <v>611</v>
      </c>
      <c r="B12" s="318">
        <v>26</v>
      </c>
      <c r="C12" s="347">
        <v>36</v>
      </c>
      <c r="D12" s="323" t="s">
        <v>134</v>
      </c>
      <c r="E12" s="323">
        <v>1</v>
      </c>
      <c r="F12" s="357">
        <v>1</v>
      </c>
      <c r="G12" s="348">
        <v>5</v>
      </c>
      <c r="H12" s="349">
        <f t="shared" si="0"/>
        <v>1.0375350005115249</v>
      </c>
      <c r="I12" s="349">
        <v>0</v>
      </c>
      <c r="J12" s="349">
        <v>9</v>
      </c>
      <c r="K12" s="349">
        <v>14</v>
      </c>
      <c r="L12" s="349">
        <v>3</v>
      </c>
      <c r="M12" s="349">
        <v>2</v>
      </c>
      <c r="N12" s="349">
        <v>9</v>
      </c>
      <c r="O12" s="349">
        <v>16</v>
      </c>
      <c r="P12" s="358">
        <f t="shared" si="1"/>
        <v>2.0661404410926765</v>
      </c>
      <c r="Q12" s="358">
        <f t="shared" si="2"/>
        <v>4.3727840023125433</v>
      </c>
      <c r="R12" s="358">
        <f t="shared" si="3"/>
        <v>1.0330702205463382</v>
      </c>
      <c r="S12" s="358">
        <f t="shared" si="4"/>
        <v>15.931960005781358</v>
      </c>
      <c r="T12" s="358">
        <f t="shared" si="5"/>
        <v>0.99478588146268376</v>
      </c>
      <c r="U12" s="358">
        <f t="shared" si="6"/>
        <v>3.6365099631855284</v>
      </c>
      <c r="V12" s="358">
        <f t="shared" si="7"/>
        <v>0.49739294073134188</v>
      </c>
      <c r="W12" s="531">
        <f t="shared" si="8"/>
        <v>20.642952351130468</v>
      </c>
      <c r="X12" s="318">
        <v>9000</v>
      </c>
      <c r="Y12" s="361">
        <v>28.9</v>
      </c>
      <c r="Z12" s="320">
        <v>2500</v>
      </c>
      <c r="AA12" s="347">
        <f t="shared" si="9"/>
        <v>11431.728571428572</v>
      </c>
      <c r="AB12" s="347">
        <f t="shared" si="10"/>
        <v>1337.3711229946525</v>
      </c>
    </row>
    <row r="13" spans="1:28" x14ac:dyDescent="0.25">
      <c r="A13" s="356" t="s">
        <v>610</v>
      </c>
      <c r="B13" s="318">
        <v>26</v>
      </c>
      <c r="C13" s="347">
        <v>21</v>
      </c>
      <c r="D13" s="323" t="s">
        <v>128</v>
      </c>
      <c r="E13" s="323">
        <v>4</v>
      </c>
      <c r="F13" s="357">
        <v>1</v>
      </c>
      <c r="G13" s="348">
        <v>6</v>
      </c>
      <c r="H13" s="349">
        <f t="shared" si="0"/>
        <v>1.1267973866856758</v>
      </c>
      <c r="I13" s="349">
        <v>0</v>
      </c>
      <c r="J13" s="349">
        <v>9</v>
      </c>
      <c r="K13" s="349">
        <v>14</v>
      </c>
      <c r="L13" s="349">
        <v>3</v>
      </c>
      <c r="M13" s="349">
        <v>2</v>
      </c>
      <c r="N13" s="349">
        <v>9</v>
      </c>
      <c r="O13" s="349">
        <v>16</v>
      </c>
      <c r="P13" s="358">
        <f t="shared" si="1"/>
        <v>2.0860941150966781</v>
      </c>
      <c r="Q13" s="358">
        <f t="shared" si="2"/>
        <v>4.4150140002046099</v>
      </c>
      <c r="R13" s="358">
        <f t="shared" si="3"/>
        <v>1.043047057548339</v>
      </c>
      <c r="S13" s="358">
        <f t="shared" si="4"/>
        <v>16.037535000511525</v>
      </c>
      <c r="T13" s="358">
        <f t="shared" si="5"/>
        <v>1.0214963551294158</v>
      </c>
      <c r="U13" s="358">
        <f t="shared" si="6"/>
        <v>3.6946817852818503</v>
      </c>
      <c r="V13" s="358">
        <f t="shared" si="7"/>
        <v>0.51074817756470792</v>
      </c>
      <c r="W13" s="531">
        <f t="shared" si="8"/>
        <v>20.840222224575342</v>
      </c>
      <c r="X13" s="318">
        <v>9000</v>
      </c>
      <c r="Y13" s="361">
        <v>34</v>
      </c>
      <c r="Z13" s="320">
        <v>2500</v>
      </c>
      <c r="AA13" s="347">
        <f t="shared" si="9"/>
        <v>11788</v>
      </c>
      <c r="AB13" s="347">
        <f t="shared" si="10"/>
        <v>1363.3761467889908</v>
      </c>
    </row>
    <row r="14" spans="1:28" x14ac:dyDescent="0.25">
      <c r="A14" s="356" t="s">
        <v>609</v>
      </c>
      <c r="B14" s="318">
        <v>26</v>
      </c>
      <c r="C14" s="347">
        <v>59</v>
      </c>
      <c r="D14" s="323" t="s">
        <v>128</v>
      </c>
      <c r="E14" s="323">
        <v>4</v>
      </c>
      <c r="F14" s="357">
        <v>1</v>
      </c>
      <c r="G14" s="348">
        <v>5</v>
      </c>
      <c r="H14" s="349">
        <f t="shared" si="0"/>
        <v>1.0375350005115249</v>
      </c>
      <c r="I14" s="349">
        <v>0</v>
      </c>
      <c r="J14" s="349">
        <v>9</v>
      </c>
      <c r="K14" s="349">
        <v>14</v>
      </c>
      <c r="L14" s="349">
        <v>2</v>
      </c>
      <c r="M14" s="349">
        <v>4</v>
      </c>
      <c r="N14" s="349">
        <v>8</v>
      </c>
      <c r="O14" s="349">
        <v>16</v>
      </c>
      <c r="P14" s="358">
        <f t="shared" si="1"/>
        <v>2.0661404410926765</v>
      </c>
      <c r="Q14" s="358">
        <f t="shared" si="2"/>
        <v>4.3727840023125433</v>
      </c>
      <c r="R14" s="358">
        <f t="shared" si="3"/>
        <v>1.0330702205463382</v>
      </c>
      <c r="S14" s="358">
        <f t="shared" si="4"/>
        <v>15.931960005781358</v>
      </c>
      <c r="T14" s="358">
        <f t="shared" si="5"/>
        <v>1.5007858814626838</v>
      </c>
      <c r="U14" s="358">
        <f t="shared" si="6"/>
        <v>4.1085099631855284</v>
      </c>
      <c r="V14" s="358">
        <f t="shared" si="7"/>
        <v>0.75039294073134188</v>
      </c>
      <c r="W14" s="531">
        <f t="shared" si="8"/>
        <v>18.982952351130471</v>
      </c>
      <c r="X14" s="318">
        <v>9000</v>
      </c>
      <c r="Y14" s="361">
        <v>33.4</v>
      </c>
      <c r="Z14" s="320">
        <v>2300</v>
      </c>
      <c r="AA14" s="347">
        <f t="shared" si="9"/>
        <v>11920.114285714286</v>
      </c>
      <c r="AB14" s="347">
        <f t="shared" si="10"/>
        <v>1486.1417931034482</v>
      </c>
    </row>
    <row r="15" spans="1:28" x14ac:dyDescent="0.25">
      <c r="A15" s="356"/>
      <c r="C15" s="347"/>
      <c r="D15" s="323"/>
      <c r="E15" s="323"/>
      <c r="F15" s="357"/>
      <c r="G15" s="348"/>
      <c r="H15" s="349"/>
      <c r="I15" s="349"/>
      <c r="J15" s="349"/>
      <c r="K15" s="349"/>
      <c r="L15" s="349"/>
      <c r="M15" s="349"/>
      <c r="N15" s="349"/>
      <c r="O15" s="349"/>
      <c r="P15" s="358"/>
      <c r="Q15" s="358"/>
      <c r="R15" s="358"/>
      <c r="S15" s="358"/>
      <c r="T15" s="358"/>
      <c r="U15" s="358"/>
      <c r="V15" s="358"/>
      <c r="W15" s="531"/>
      <c r="Y15" s="361"/>
      <c r="Z15" s="320"/>
      <c r="AA15" s="347"/>
      <c r="AB15" s="347"/>
    </row>
    <row r="16" spans="1:28" x14ac:dyDescent="0.25">
      <c r="A16" s="356"/>
      <c r="C16" s="347"/>
      <c r="D16" s="323"/>
      <c r="E16" s="323"/>
      <c r="F16" s="357"/>
      <c r="G16" s="348"/>
      <c r="H16" s="349"/>
      <c r="I16" s="349"/>
      <c r="J16" s="349"/>
      <c r="K16" s="349"/>
      <c r="L16" s="349"/>
      <c r="M16" s="349"/>
      <c r="N16" s="349"/>
      <c r="O16" s="349"/>
      <c r="P16" s="358"/>
      <c r="Q16" s="358"/>
      <c r="R16" s="358"/>
      <c r="S16" s="358"/>
      <c r="T16" s="358"/>
      <c r="U16" s="358"/>
      <c r="V16" s="358"/>
      <c r="W16" s="531"/>
      <c r="Y16" s="361"/>
      <c r="Z16" s="320"/>
      <c r="AA16" s="347"/>
      <c r="AB16" s="347"/>
    </row>
    <row r="17" spans="1:28" x14ac:dyDescent="0.25">
      <c r="A17" s="356"/>
      <c r="C17" s="347"/>
      <c r="D17" s="323"/>
      <c r="E17" s="323"/>
      <c r="F17" s="357"/>
      <c r="G17" s="348"/>
      <c r="H17" s="349"/>
      <c r="I17" s="349"/>
      <c r="J17" s="349"/>
      <c r="K17" s="349"/>
      <c r="L17" s="349"/>
      <c r="M17" s="349"/>
      <c r="N17" s="349"/>
      <c r="O17" s="349"/>
      <c r="P17" s="358"/>
      <c r="Q17" s="358"/>
      <c r="R17" s="358"/>
      <c r="S17" s="358"/>
      <c r="T17" s="358"/>
      <c r="U17" s="358"/>
      <c r="V17" s="358"/>
      <c r="W17" s="531"/>
      <c r="Y17" s="361"/>
      <c r="Z17" s="320"/>
      <c r="AA17" s="347"/>
      <c r="AB17" s="347"/>
    </row>
    <row r="18" spans="1:28" x14ac:dyDescent="0.25">
      <c r="A18" s="356"/>
      <c r="C18" s="347"/>
      <c r="D18" s="323"/>
      <c r="E18" s="323"/>
      <c r="F18" s="357"/>
      <c r="G18" s="348"/>
      <c r="H18" s="349"/>
      <c r="I18" s="349"/>
      <c r="J18" s="349"/>
      <c r="K18" s="349"/>
      <c r="L18" s="349"/>
      <c r="M18" s="349"/>
      <c r="N18" s="349"/>
      <c r="O18" s="349"/>
      <c r="P18" s="358"/>
      <c r="Q18" s="358"/>
      <c r="R18" s="358"/>
      <c r="S18" s="358"/>
      <c r="T18" s="358"/>
      <c r="U18" s="358"/>
      <c r="V18" s="358"/>
      <c r="W18" s="531"/>
      <c r="Y18" s="361"/>
      <c r="Z18" s="320"/>
      <c r="AA18" s="347"/>
      <c r="AB18" s="347"/>
    </row>
    <row r="19" spans="1:28" x14ac:dyDescent="0.25">
      <c r="A19" s="356"/>
      <c r="C19" s="347"/>
      <c r="D19" s="323"/>
      <c r="E19" s="323"/>
      <c r="F19" s="357"/>
      <c r="G19" s="348"/>
      <c r="H19" s="349"/>
      <c r="I19" s="349"/>
      <c r="J19" s="349"/>
      <c r="K19" s="349"/>
      <c r="L19" s="349"/>
      <c r="M19" s="349"/>
      <c r="N19" s="349"/>
      <c r="O19" s="349"/>
      <c r="P19" s="358"/>
      <c r="Q19" s="358"/>
      <c r="R19" s="358"/>
      <c r="S19" s="358"/>
      <c r="T19" s="358"/>
      <c r="U19" s="358"/>
      <c r="V19" s="358"/>
      <c r="W19" s="531"/>
      <c r="Y19" s="361"/>
      <c r="Z19" s="320"/>
      <c r="AA19" s="347"/>
      <c r="AB19" s="347"/>
    </row>
    <row r="20" spans="1:28" x14ac:dyDescent="0.25">
      <c r="A20" s="356"/>
      <c r="C20" s="347"/>
      <c r="D20" s="323"/>
      <c r="E20" s="323"/>
      <c r="F20" s="357"/>
      <c r="G20" s="348"/>
      <c r="H20" s="349"/>
      <c r="I20" s="349"/>
      <c r="J20" s="349"/>
      <c r="K20" s="349"/>
      <c r="L20" s="349"/>
      <c r="M20" s="349"/>
      <c r="N20" s="349"/>
      <c r="O20" s="349"/>
      <c r="P20" s="358"/>
      <c r="Q20" s="358"/>
      <c r="R20" s="358"/>
      <c r="S20" s="358"/>
      <c r="T20" s="358"/>
      <c r="U20" s="358"/>
      <c r="V20" s="358"/>
      <c r="W20" s="531"/>
      <c r="Y20" s="361"/>
      <c r="Z20" s="320"/>
      <c r="AA20" s="347"/>
      <c r="AB20" s="347"/>
    </row>
    <row r="21" spans="1:28" x14ac:dyDescent="0.25">
      <c r="A21" s="356"/>
      <c r="C21" s="347"/>
      <c r="D21" s="323"/>
      <c r="E21" s="323"/>
      <c r="F21" s="357"/>
      <c r="G21" s="348"/>
      <c r="H21" s="349"/>
      <c r="I21" s="349"/>
      <c r="J21" s="349"/>
      <c r="K21" s="349"/>
      <c r="L21" s="349"/>
      <c r="M21" s="349"/>
      <c r="N21" s="349"/>
      <c r="O21" s="349"/>
      <c r="P21" s="358"/>
      <c r="Q21" s="358"/>
      <c r="R21" s="358"/>
      <c r="S21" s="358"/>
      <c r="T21" s="358"/>
      <c r="U21" s="358"/>
      <c r="V21" s="358"/>
      <c r="W21" s="531"/>
      <c r="Y21" s="361"/>
      <c r="Z21" s="320"/>
      <c r="AA21" s="347"/>
      <c r="AB21" s="347"/>
    </row>
  </sheetData>
  <conditionalFormatting sqref="G3:H21">
    <cfRule type="cellIs" dxfId="1" priority="20" operator="greaterThan">
      <formula>7</formula>
    </cfRule>
  </conditionalFormatting>
  <conditionalFormatting sqref="P15:V21 P3:R14 T3:V14">
    <cfRule type="cellIs" dxfId="0" priority="19" operator="greaterThan">
      <formula>12.5</formula>
    </cfRule>
  </conditionalFormatting>
  <conditionalFormatting sqref="W10:W2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8:O21">
    <cfRule type="colorScale" priority="565">
      <colorScale>
        <cfvo type="min"/>
        <cfvo type="max"/>
        <color rgb="FFFCFCFF"/>
        <color rgb="FFF8696B"/>
      </colorScale>
    </cfRule>
  </conditionalFormatting>
  <conditionalFormatting sqref="P8:R21">
    <cfRule type="colorScale" priority="567">
      <colorScale>
        <cfvo type="min"/>
        <cfvo type="max"/>
        <color rgb="FFFCFCFF"/>
        <color rgb="FFF8696B"/>
      </colorScale>
    </cfRule>
  </conditionalFormatting>
  <conditionalFormatting sqref="S15:S21">
    <cfRule type="colorScale" priority="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:V21">
    <cfRule type="colorScale" priority="571">
      <colorScale>
        <cfvo type="min"/>
        <cfvo type="max"/>
        <color rgb="FFFCFCFF"/>
        <color rgb="FF63BE7B"/>
      </colorScale>
    </cfRule>
  </conditionalFormatting>
  <conditionalFormatting sqref="I3:O7">
    <cfRule type="colorScale" priority="601">
      <colorScale>
        <cfvo type="min"/>
        <cfvo type="max"/>
        <color rgb="FFFCFCFF"/>
        <color rgb="FFF8696B"/>
      </colorScale>
    </cfRule>
  </conditionalFormatting>
  <conditionalFormatting sqref="P3:R7">
    <cfRule type="colorScale" priority="602">
      <colorScale>
        <cfvo type="min"/>
        <cfvo type="max"/>
        <color rgb="FFFCFCFF"/>
        <color rgb="FFF8696B"/>
      </colorScale>
    </cfRule>
  </conditionalFormatting>
  <conditionalFormatting sqref="T3:V7">
    <cfRule type="colorScale" priority="604">
      <colorScale>
        <cfvo type="min"/>
        <cfvo type="max"/>
        <color rgb="FFFCFCFF"/>
        <color rgb="FF63BE7B"/>
      </colorScale>
    </cfRule>
  </conditionalFormatting>
  <conditionalFormatting sqref="W3:W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AB3:AB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{87FA32BA-0320-4585-9E07-1821D16A9B46}</x14:id>
        </ext>
      </extLst>
    </cfRule>
  </conditionalFormatting>
  <conditionalFormatting sqref="AB3:AB21">
    <cfRule type="dataBar" priority="6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{53EE0BE7-505C-485E-931B-8E8603DC2A0C}</x14:id>
        </ext>
      </extLst>
    </cfRule>
  </conditionalFormatting>
  <conditionalFormatting sqref="S3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AA10:AA21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AA3:AA21</xm:sqref>
        </x14:conditionalFormatting>
        <x14:conditionalFormatting xmlns:xm="http://schemas.microsoft.com/office/excel/2006/main">
          <x14:cfRule type="dataBar" id="{87FA32BA-0320-4585-9E07-1821D16A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AB3:AB21</xm:sqref>
        </x14:conditionalFormatting>
        <x14:conditionalFormatting xmlns:xm="http://schemas.microsoft.com/office/excel/2006/main">
          <x14:cfRule type="dataBar" id="{53EE0BE7-505C-485E-931B-8E8603DC2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AB3:AB21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621</v>
      </c>
      <c r="B1" s="534">
        <v>44377</v>
      </c>
      <c r="C1" s="533"/>
    </row>
    <row r="2" spans="1:4" x14ac:dyDescent="0.25">
      <c r="A2" t="s">
        <v>622</v>
      </c>
      <c r="B2" s="534">
        <v>44392</v>
      </c>
      <c r="C2" s="533"/>
    </row>
    <row r="3" spans="1:4" x14ac:dyDescent="0.25">
      <c r="C3" s="533"/>
    </row>
    <row r="4" spans="1:4" x14ac:dyDescent="0.25">
      <c r="A4" s="3" t="s">
        <v>623</v>
      </c>
      <c r="B4" s="3" t="s">
        <v>624</v>
      </c>
      <c r="C4" s="2" t="s">
        <v>625</v>
      </c>
      <c r="D4" s="2" t="s">
        <v>626</v>
      </c>
    </row>
    <row r="5" spans="1:4" x14ac:dyDescent="0.25">
      <c r="A5" t="s">
        <v>627</v>
      </c>
      <c r="B5" t="s">
        <v>628</v>
      </c>
      <c r="C5" s="533">
        <v>2</v>
      </c>
      <c r="D5" s="533">
        <v>4</v>
      </c>
    </row>
    <row r="6" spans="1:4" x14ac:dyDescent="0.25">
      <c r="A6" t="s">
        <v>629</v>
      </c>
      <c r="B6" t="s">
        <v>630</v>
      </c>
      <c r="C6" s="533">
        <v>0</v>
      </c>
      <c r="D6" s="533">
        <v>1</v>
      </c>
    </row>
    <row r="7" spans="1:4" x14ac:dyDescent="0.25">
      <c r="A7" t="s">
        <v>631</v>
      </c>
      <c r="B7" t="s">
        <v>632</v>
      </c>
      <c r="C7" s="533">
        <v>0</v>
      </c>
      <c r="D7" s="533">
        <v>2</v>
      </c>
    </row>
    <row r="8" spans="1:4" x14ac:dyDescent="0.25">
      <c r="A8" t="s">
        <v>633</v>
      </c>
      <c r="B8" t="s">
        <v>634</v>
      </c>
      <c r="C8" s="533">
        <v>0</v>
      </c>
      <c r="D8" s="533">
        <v>2</v>
      </c>
    </row>
    <row r="9" spans="1:4" x14ac:dyDescent="0.25">
      <c r="A9" t="s">
        <v>635</v>
      </c>
      <c r="B9" t="s">
        <v>636</v>
      </c>
      <c r="C9" s="535" t="s">
        <v>637</v>
      </c>
      <c r="D9" s="5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33"/>
  <sheetViews>
    <sheetView tabSelected="1" zoomScale="110" workbookViewId="0">
      <pane xSplit="9" ySplit="3" topLeftCell="J4" activePane="bottomRight" state="frozen"/>
      <selection pane="topRight"/>
      <selection pane="bottomLeft"/>
      <selection pane="bottomRight" activeCell="F18" sqref="F18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8" customWidth="1"/>
    <col min="4" max="4" width="15.140625" style="52" bestFit="1" customWidth="1"/>
    <col min="5" max="5" width="5.5703125" customWidth="1"/>
    <col min="6" max="6" width="5" customWidth="1"/>
    <col min="7" max="7" width="4.5703125" style="57" customWidth="1"/>
    <col min="8" max="8" width="3.7109375" style="3" customWidth="1"/>
    <col min="9" max="9" width="4.85546875" customWidth="1"/>
    <col min="10" max="10" width="4.5703125" customWidth="1"/>
    <col min="11" max="11" width="4.7109375" style="57" customWidth="1"/>
    <col min="12" max="12" width="5.140625" customWidth="1"/>
    <col min="13" max="13" width="4.28515625" style="57" customWidth="1"/>
    <col min="14" max="14" width="5" style="57" customWidth="1"/>
    <col min="15" max="15" width="10.42578125" style="57" customWidth="1"/>
    <col min="16" max="16" width="5.5703125" style="57" customWidth="1"/>
    <col min="17" max="17" width="4.140625" style="57" customWidth="1"/>
    <col min="18" max="19" width="5.7109375" style="57" customWidth="1"/>
    <col min="20" max="20" width="12" customWidth="1"/>
    <col min="21" max="21" width="10.5703125" customWidth="1"/>
    <col min="22" max="22" width="11.140625" style="46" customWidth="1"/>
    <col min="23" max="23" width="7.5703125" style="46" customWidth="1"/>
    <col min="24" max="24" width="6.140625" style="46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62" customWidth="1"/>
    <col min="34" max="34" width="7" style="376" bestFit="1" customWidth="1"/>
    <col min="35" max="35" width="6" style="262" bestFit="1" customWidth="1"/>
    <col min="36" max="36" width="6.5703125" style="262" customWidth="1"/>
    <col min="37" max="37" width="7" style="262" customWidth="1"/>
    <col min="38" max="38" width="6.5703125" style="262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5" s="65" customFormat="1" x14ac:dyDescent="0.25">
      <c r="C1" s="207"/>
      <c r="D1" s="97">
        <f ca="1">TODAY()</f>
        <v>44728</v>
      </c>
      <c r="E1" s="552">
        <v>41471</v>
      </c>
      <c r="F1" s="552"/>
      <c r="G1" s="552"/>
      <c r="H1" s="66"/>
      <c r="I1" s="66"/>
      <c r="J1" s="66"/>
      <c r="K1" s="67"/>
      <c r="L1" s="66"/>
      <c r="M1" s="67"/>
      <c r="N1" s="67"/>
      <c r="O1" s="67"/>
      <c r="P1" s="67"/>
      <c r="Q1" s="207"/>
      <c r="R1" s="67"/>
      <c r="S1" s="67"/>
      <c r="T1" s="66"/>
      <c r="U1" s="66"/>
      <c r="V1" s="66"/>
      <c r="W1" s="66"/>
      <c r="X1" s="86"/>
      <c r="Y1" s="66"/>
      <c r="Z1" s="66"/>
      <c r="AA1" s="66"/>
      <c r="AB1" s="66"/>
      <c r="AC1" s="66"/>
      <c r="AD1" s="66"/>
      <c r="AE1" s="86"/>
      <c r="AF1" s="255"/>
      <c r="AG1" s="255"/>
      <c r="AH1" s="372"/>
      <c r="AI1" s="257"/>
      <c r="AJ1" s="256"/>
      <c r="AK1" s="256"/>
      <c r="AL1" s="256"/>
      <c r="AM1" s="66"/>
      <c r="AN1" s="66"/>
      <c r="AO1" s="66"/>
    </row>
    <row r="2" spans="1:45" s="2" customFormat="1" x14ac:dyDescent="0.25">
      <c r="A2" s="2">
        <v>16</v>
      </c>
      <c r="B2" s="72"/>
      <c r="C2" s="239"/>
      <c r="D2" s="240"/>
      <c r="E2" s="207"/>
      <c r="F2" s="207"/>
      <c r="I2" s="241">
        <f>AVERAGE(I4:I19)</f>
        <v>9.3874999999999993</v>
      </c>
      <c r="J2" s="207"/>
      <c r="K2" s="207"/>
      <c r="M2" s="241">
        <f>AVERAGE(M4:M19)</f>
        <v>6.7250000000000005</v>
      </c>
      <c r="N2" s="207"/>
      <c r="O2" s="207"/>
      <c r="P2" s="207"/>
      <c r="Q2" s="241">
        <f>AVERAGE(Q4:Q19)</f>
        <v>5.625</v>
      </c>
      <c r="R2" s="242">
        <f>AVERAGE(R4:R19)</f>
        <v>0.89199627087802213</v>
      </c>
      <c r="S2" s="242">
        <f>AVERAGE(S4:S19)</f>
        <v>0.95590521119792105</v>
      </c>
      <c r="T2" s="243">
        <f>AVERAGE(T4:T19)</f>
        <v>142201.875</v>
      </c>
      <c r="U2" s="243">
        <f>AVERAGE(U4:U19)</f>
        <v>7898.75</v>
      </c>
      <c r="V2" s="243">
        <f>AVERAGE(V4:V19)</f>
        <v>29386.75</v>
      </c>
      <c r="W2" s="74"/>
      <c r="X2" s="244">
        <f>(X4+X5)/2</f>
        <v>9.4749999999999996</v>
      </c>
      <c r="Y2" s="244">
        <f>AVERAGE(Y4:Y15)</f>
        <v>11.567134485884486</v>
      </c>
      <c r="Z2" s="244">
        <f>AVERAGE(Z14:Z14)</f>
        <v>14.166666666666666</v>
      </c>
      <c r="AA2" s="244">
        <f>AVERAGE(AA6:AA9)</f>
        <v>2</v>
      </c>
      <c r="AB2" s="244">
        <f>AVERAGE(AB5:AB15)</f>
        <v>4.6318181818181818</v>
      </c>
      <c r="AC2" s="244">
        <f>AVERAGE(AC10:AC10)</f>
        <v>9</v>
      </c>
      <c r="AD2" s="244">
        <f>AVERAGE(AD4:AD15)</f>
        <v>17.797222222222221</v>
      </c>
      <c r="AE2" s="74"/>
      <c r="AF2" s="258"/>
      <c r="AG2" s="258"/>
      <c r="AH2" s="373"/>
      <c r="AI2" s="259"/>
      <c r="AJ2" s="259"/>
      <c r="AK2" s="259"/>
      <c r="AL2" s="259"/>
    </row>
    <row r="3" spans="1:45" x14ac:dyDescent="0.25">
      <c r="A3" s="79" t="s">
        <v>82</v>
      </c>
      <c r="B3" s="79" t="s">
        <v>83</v>
      </c>
      <c r="C3" s="80" t="s">
        <v>506</v>
      </c>
      <c r="D3" s="81" t="s">
        <v>84</v>
      </c>
      <c r="E3" s="79" t="s">
        <v>85</v>
      </c>
      <c r="F3" s="79" t="s">
        <v>86</v>
      </c>
      <c r="G3" s="79" t="s">
        <v>87</v>
      </c>
      <c r="H3" s="79" t="s">
        <v>88</v>
      </c>
      <c r="I3" s="79" t="s">
        <v>89</v>
      </c>
      <c r="J3" s="79" t="s">
        <v>90</v>
      </c>
      <c r="K3" s="82" t="s">
        <v>91</v>
      </c>
      <c r="L3" s="82" t="s">
        <v>92</v>
      </c>
      <c r="M3" s="79" t="s">
        <v>93</v>
      </c>
      <c r="N3" s="79" t="s">
        <v>94</v>
      </c>
      <c r="O3" s="79" t="s">
        <v>95</v>
      </c>
      <c r="P3" s="79" t="s">
        <v>96</v>
      </c>
      <c r="Q3" s="79" t="s">
        <v>97</v>
      </c>
      <c r="R3" s="144" t="s">
        <v>98</v>
      </c>
      <c r="S3" s="144" t="s">
        <v>99</v>
      </c>
      <c r="T3" s="79" t="s">
        <v>100</v>
      </c>
      <c r="U3" s="79" t="s">
        <v>101</v>
      </c>
      <c r="V3" s="79" t="s">
        <v>102</v>
      </c>
      <c r="W3" s="79" t="s">
        <v>103</v>
      </c>
      <c r="X3" s="79" t="s">
        <v>104</v>
      </c>
      <c r="Y3" s="79" t="s">
        <v>105</v>
      </c>
      <c r="Z3" s="79" t="s">
        <v>106</v>
      </c>
      <c r="AA3" s="79" t="s">
        <v>107</v>
      </c>
      <c r="AB3" s="79" t="s">
        <v>108</v>
      </c>
      <c r="AC3" s="79" t="s">
        <v>109</v>
      </c>
      <c r="AD3" s="79" t="s">
        <v>87</v>
      </c>
      <c r="AE3" s="79" t="s">
        <v>110</v>
      </c>
      <c r="AF3" s="96" t="s">
        <v>111</v>
      </c>
      <c r="AG3" s="96" t="s">
        <v>112</v>
      </c>
      <c r="AH3" s="374" t="s">
        <v>114</v>
      </c>
      <c r="AI3" s="96" t="s">
        <v>115</v>
      </c>
      <c r="AJ3" s="96" t="s">
        <v>116</v>
      </c>
      <c r="AK3" s="96" t="s">
        <v>117</v>
      </c>
      <c r="AL3" s="96" t="s">
        <v>113</v>
      </c>
      <c r="AM3" s="79" t="s">
        <v>118</v>
      </c>
      <c r="AN3" s="79" t="s">
        <v>119</v>
      </c>
      <c r="AO3" s="79" t="s">
        <v>120</v>
      </c>
      <c r="AP3" s="121" t="s">
        <v>124</v>
      </c>
      <c r="AQ3" s="235" t="s">
        <v>125</v>
      </c>
    </row>
    <row r="4" spans="1:45" x14ac:dyDescent="0.25">
      <c r="A4" s="4" t="s">
        <v>503</v>
      </c>
      <c r="B4" s="4" t="s">
        <v>14</v>
      </c>
      <c r="C4" s="109">
        <f ca="1">((36*112)-(E4*112)-(F4))/112</f>
        <v>-8.7321428571428577</v>
      </c>
      <c r="D4" s="367" t="s">
        <v>126</v>
      </c>
      <c r="E4" s="54">
        <v>44</v>
      </c>
      <c r="F4" s="55">
        <f ca="1">-42406+$D$1-112-112-112-112-112-112-112-112-112-112-112-112-112-112-112-112-112-112-112-112</f>
        <v>82</v>
      </c>
      <c r="G4" s="70"/>
      <c r="H4" s="232">
        <v>6</v>
      </c>
      <c r="I4" s="56">
        <v>26.2</v>
      </c>
      <c r="J4" s="141">
        <f t="shared" ref="J4:J9" si="0">LOG(I4+1)*4/3</f>
        <v>1.912758538712265</v>
      </c>
      <c r="K4" s="83">
        <f t="shared" ref="K4:K9" si="1">(H4)*(H4)*(I4)</f>
        <v>943.19999999999993</v>
      </c>
      <c r="L4" s="83">
        <f t="shared" ref="L4:L9" si="2">(H4+1)*(H4+1)*I4</f>
        <v>1283.8</v>
      </c>
      <c r="M4" s="77">
        <v>1.5</v>
      </c>
      <c r="N4" s="138">
        <f t="shared" ref="N4:N9" si="3">M4*10+19</f>
        <v>34</v>
      </c>
      <c r="O4" s="265">
        <v>42468</v>
      </c>
      <c r="P4" s="231">
        <f ca="1">IF((TODAY()-O4)&gt;335,1,((TODAY()-O4)^0.64)/(336^0.64))</f>
        <v>1</v>
      </c>
      <c r="Q4" s="138">
        <v>3</v>
      </c>
      <c r="R4" s="154">
        <f t="shared" ref="R4:R9" si="4">(Q4/7)^0.5</f>
        <v>0.65465367070797709</v>
      </c>
      <c r="S4" s="154">
        <f t="shared" ref="S4:S9" si="5">IF(Q4=7,1,((Q4+0.99)/7)^0.5)</f>
        <v>0.75498344352707503</v>
      </c>
      <c r="T4" s="91">
        <v>30</v>
      </c>
      <c r="U4" s="206">
        <f t="shared" ref="U4:U19" si="6">T4-AP4</f>
        <v>-750</v>
      </c>
      <c r="V4" s="91">
        <v>384</v>
      </c>
      <c r="W4" s="89">
        <f t="shared" ref="W4:W20" si="7">T4/V4</f>
        <v>7.8125E-2</v>
      </c>
      <c r="X4" s="140">
        <v>3.95</v>
      </c>
      <c r="Y4" s="141">
        <v>0</v>
      </c>
      <c r="Z4" s="140">
        <v>0</v>
      </c>
      <c r="AA4" s="141">
        <v>0</v>
      </c>
      <c r="AB4" s="140">
        <v>0</v>
      </c>
      <c r="AC4" s="141">
        <v>0</v>
      </c>
      <c r="AD4" s="140">
        <v>8</v>
      </c>
      <c r="AE4" s="234">
        <v>85</v>
      </c>
      <c r="AF4" s="260">
        <f t="shared" ref="AF4:AF9" ca="1" si="8">(Z4+P4+J4)*(Q4/7)^0.5</f>
        <v>1.9068480692539878</v>
      </c>
      <c r="AG4" s="260">
        <f t="shared" ref="AG4:AG9" ca="1" si="9">(Z4+P4+J4)*(IF(Q4=7,(Q4/7)^0.5,((Q4+1)/7)^0.5))</f>
        <v>2.2018384921750158</v>
      </c>
      <c r="AH4" s="446">
        <f t="shared" ref="AH4:AH15" ca="1" si="10">(1.66*(AC4+J4+P4)+0.55*(AD4+J4+P4)-7.6)*(Q4/7)^0.5</f>
        <v>2.1192424867857871</v>
      </c>
      <c r="AI4" s="444">
        <f t="shared" ref="AI4:AI15" ca="1" si="11">((AD4+J4+P4)*0.7+(AC4+J4+P4)*0.3)*(Q4/7)^0.5</f>
        <v>5.572908625218659</v>
      </c>
      <c r="AJ4" s="261">
        <f t="shared" ref="AJ4:AJ15" ca="1" si="12">(AD4+P4+(LOG(I4)*4/3))*(Q4/7)^0.5</f>
        <v>7.1298778984149074</v>
      </c>
      <c r="AK4" s="261">
        <f t="shared" ref="AK4:AK15" ca="1" si="13">(AD4+P4+(LOG(I4)*4/3))*(IF(Q4=7,(Q4/7)^0.5,((Q4+1)/7)^0.5))</f>
        <v>8.2328738478780199</v>
      </c>
      <c r="AL4" s="89">
        <f t="shared" ref="AL4:AL19" ca="1" si="14">(((Y4+P4+J4)+(AB4+P4+J4)*2)/8)*(Q4/7)^0.5</f>
        <v>0.71506802597024555</v>
      </c>
      <c r="AM4" s="138">
        <v>2</v>
      </c>
      <c r="AN4" s="138">
        <v>2</v>
      </c>
      <c r="AO4" s="154">
        <f t="shared" ref="AO4:AO9" si="15">IF(AM4=4,IF(AN4=0,0.137+0.0697,0.137+0.02),IF(AM4=3,IF(AN4=0,0.0958+0.0697,0.0958+0.02),IF(AM4=2,IF(AN4=0,0.0415+0.0697,0.0415+0.02),IF(AM4=1,IF(AN4=0,0.0294+0.0697,0.0294+0.02),IF(AM4=0,IF(AN4=0,0.0063+0.0697,0.0063+0.02))))))</f>
        <v>6.1499999999999999E-2</v>
      </c>
      <c r="AP4" s="91">
        <v>780</v>
      </c>
      <c r="AQ4" s="236"/>
      <c r="AR4" s="110"/>
      <c r="AS4" s="112"/>
    </row>
    <row r="5" spans="1:45" x14ac:dyDescent="0.25">
      <c r="A5" s="4" t="s">
        <v>127</v>
      </c>
      <c r="B5" s="4" t="s">
        <v>14</v>
      </c>
      <c r="C5" s="109">
        <f t="shared" ref="C5:C19" ca="1" si="16">((36*112)-(E5*112)-(F5))/112</f>
        <v>6.9196428571428568</v>
      </c>
      <c r="D5" s="368" t="s">
        <v>485</v>
      </c>
      <c r="E5" s="54">
        <v>29</v>
      </c>
      <c r="F5" s="55">
        <f ca="1">82-44017+$D$1-112-112-112-112-112-112-112</f>
        <v>9</v>
      </c>
      <c r="G5" s="70" t="s">
        <v>128</v>
      </c>
      <c r="H5" s="108">
        <v>0</v>
      </c>
      <c r="I5" s="56">
        <v>9</v>
      </c>
      <c r="J5" s="141">
        <f t="shared" si="0"/>
        <v>1.3333333333333333</v>
      </c>
      <c r="K5" s="83">
        <f t="shared" si="1"/>
        <v>0</v>
      </c>
      <c r="L5" s="83">
        <f t="shared" si="2"/>
        <v>9</v>
      </c>
      <c r="M5" s="77">
        <v>7</v>
      </c>
      <c r="N5" s="138">
        <f t="shared" si="3"/>
        <v>89</v>
      </c>
      <c r="O5" s="265">
        <v>43878</v>
      </c>
      <c r="P5" s="231">
        <f ca="1">IF((TODAY()-O5)&gt;335,1,((TODAY()-O5)^0.64)/(336^0.64))</f>
        <v>1</v>
      </c>
      <c r="Q5" s="138">
        <v>6</v>
      </c>
      <c r="R5" s="154">
        <f t="shared" si="4"/>
        <v>0.92582009977255142</v>
      </c>
      <c r="S5" s="154">
        <f t="shared" si="5"/>
        <v>0.99928545900129484</v>
      </c>
      <c r="T5" s="315">
        <v>65510</v>
      </c>
      <c r="U5" s="206">
        <f t="shared" si="6"/>
        <v>-3920</v>
      </c>
      <c r="V5" s="91">
        <v>28500</v>
      </c>
      <c r="W5" s="89">
        <f t="shared" si="7"/>
        <v>2.2985964912280701</v>
      </c>
      <c r="X5" s="140">
        <v>15</v>
      </c>
      <c r="Y5" s="141">
        <f>9+2/9</f>
        <v>9.2222222222222214</v>
      </c>
      <c r="Z5" s="140">
        <v>3</v>
      </c>
      <c r="AA5" s="141">
        <v>1</v>
      </c>
      <c r="AB5" s="140">
        <v>5</v>
      </c>
      <c r="AC5" s="141">
        <f>5+2/4</f>
        <v>5.5</v>
      </c>
      <c r="AD5" s="140">
        <v>22</v>
      </c>
      <c r="AE5" s="234">
        <v>1591</v>
      </c>
      <c r="AF5" s="260">
        <f t="shared" ca="1" si="8"/>
        <v>4.9377071987869403</v>
      </c>
      <c r="AG5" s="260">
        <f t="shared" ca="1" si="9"/>
        <v>5.333333333333333</v>
      </c>
      <c r="AH5" s="446">
        <f t="shared" ca="1" si="10"/>
        <v>17.393073607727001</v>
      </c>
      <c r="AI5" s="444">
        <f t="shared" ca="1" si="11"/>
        <v>17.945479600591288</v>
      </c>
      <c r="AJ5" s="261">
        <f t="shared" ca="1" si="12"/>
        <v>22.471804821830453</v>
      </c>
      <c r="AK5" s="261">
        <f t="shared" ca="1" si="13"/>
        <v>24.272323345919101</v>
      </c>
      <c r="AL5" s="89">
        <f t="shared" ca="1" si="14"/>
        <v>3.0346325492544741</v>
      </c>
      <c r="AM5" s="138">
        <v>4</v>
      </c>
      <c r="AN5" s="138">
        <v>3</v>
      </c>
      <c r="AO5" s="154">
        <f t="shared" si="15"/>
        <v>0.157</v>
      </c>
      <c r="AP5" s="315">
        <v>69430</v>
      </c>
      <c r="AQ5" s="236"/>
      <c r="AR5" s="110"/>
      <c r="AS5" s="112"/>
    </row>
    <row r="6" spans="1:45" s="65" customFormat="1" x14ac:dyDescent="0.25">
      <c r="A6" s="4" t="s">
        <v>139</v>
      </c>
      <c r="B6" s="4" t="s">
        <v>168</v>
      </c>
      <c r="C6" s="109">
        <f t="shared" ca="1" si="16"/>
        <v>8.5535714285714288</v>
      </c>
      <c r="D6" s="368" t="s">
        <v>140</v>
      </c>
      <c r="E6" s="54">
        <v>27</v>
      </c>
      <c r="F6" s="55">
        <f ca="1">-43670+$D$1-112-112-112-112-112-112-112-112-112</f>
        <v>50</v>
      </c>
      <c r="G6" s="70"/>
      <c r="H6" s="108">
        <v>3</v>
      </c>
      <c r="I6" s="56">
        <v>7</v>
      </c>
      <c r="J6" s="141">
        <f t="shared" si="0"/>
        <v>1.2041199826559248</v>
      </c>
      <c r="K6" s="83">
        <f t="shared" si="1"/>
        <v>63</v>
      </c>
      <c r="L6" s="83">
        <f t="shared" si="2"/>
        <v>112</v>
      </c>
      <c r="M6" s="77">
        <v>7</v>
      </c>
      <c r="N6" s="138">
        <f t="shared" si="3"/>
        <v>89</v>
      </c>
      <c r="O6" s="265">
        <v>43756</v>
      </c>
      <c r="P6" s="231">
        <f t="shared" ref="P6:P15" ca="1" si="17">IF((TODAY()-O6)&gt;335,1,((TODAY()-O6)^0.64)/(336^0.64))</f>
        <v>1</v>
      </c>
      <c r="Q6" s="138">
        <v>6</v>
      </c>
      <c r="R6" s="154">
        <f t="shared" si="4"/>
        <v>0.92582009977255142</v>
      </c>
      <c r="S6" s="154">
        <f t="shared" si="5"/>
        <v>0.99928545900129484</v>
      </c>
      <c r="T6" s="315">
        <v>134530</v>
      </c>
      <c r="U6" s="206">
        <f t="shared" si="6"/>
        <v>21630</v>
      </c>
      <c r="V6" s="91">
        <v>26600</v>
      </c>
      <c r="W6" s="89">
        <f t="shared" si="7"/>
        <v>5.0575187969924809</v>
      </c>
      <c r="X6" s="140">
        <v>0</v>
      </c>
      <c r="Y6" s="141">
        <v>15</v>
      </c>
      <c r="Z6" s="140">
        <f>8+1/8</f>
        <v>8.125</v>
      </c>
      <c r="AA6" s="141">
        <v>3</v>
      </c>
      <c r="AB6" s="140">
        <v>5</v>
      </c>
      <c r="AC6" s="141">
        <f>7+2/6</f>
        <v>7.333333333333333</v>
      </c>
      <c r="AD6" s="140">
        <f>19</f>
        <v>19</v>
      </c>
      <c r="AE6" s="234">
        <v>1804</v>
      </c>
      <c r="AF6" s="260">
        <f t="shared" ca="1" si="8"/>
        <v>9.562906892905163</v>
      </c>
      <c r="AG6" s="260">
        <f t="shared" ca="1" si="9"/>
        <v>10.329119982655925</v>
      </c>
      <c r="AH6" s="446">
        <f t="shared" ca="1" si="10"/>
        <v>18.418671032362493</v>
      </c>
      <c r="AI6" s="444">
        <f t="shared" ca="1" si="11"/>
        <v>16.390830128727728</v>
      </c>
      <c r="AJ6" s="261">
        <f t="shared" ca="1" si="12"/>
        <v>19.559613664415814</v>
      </c>
      <c r="AK6" s="261">
        <f t="shared" ca="1" si="13"/>
        <v>21.126797386685677</v>
      </c>
      <c r="AL6" s="89">
        <f t="shared" ca="1" si="14"/>
        <v>3.6584197801341669</v>
      </c>
      <c r="AM6" s="138">
        <v>3</v>
      </c>
      <c r="AN6" s="138">
        <v>1</v>
      </c>
      <c r="AO6" s="154">
        <f t="shared" si="15"/>
        <v>0.1158</v>
      </c>
      <c r="AP6" s="315">
        <v>112900</v>
      </c>
      <c r="AQ6" s="236">
        <v>2121</v>
      </c>
      <c r="AR6" s="110"/>
      <c r="AS6" s="112"/>
    </row>
    <row r="7" spans="1:45" x14ac:dyDescent="0.25">
      <c r="A7" s="4" t="s">
        <v>132</v>
      </c>
      <c r="B7" s="4" t="s">
        <v>37</v>
      </c>
      <c r="C7" s="109">
        <f t="shared" ca="1" si="16"/>
        <v>8.6607142857142865</v>
      </c>
      <c r="D7" s="368" t="s">
        <v>135</v>
      </c>
      <c r="E7" s="54">
        <v>27</v>
      </c>
      <c r="F7" s="55">
        <f ca="1">84-41471+$D$1-2631-112-112-112-112-112-112</f>
        <v>38</v>
      </c>
      <c r="G7" s="70" t="s">
        <v>128</v>
      </c>
      <c r="H7" s="111">
        <v>2</v>
      </c>
      <c r="I7" s="56">
        <v>8</v>
      </c>
      <c r="J7" s="141">
        <f>LOG(I7+1)*4/3</f>
        <v>1.2723233459190999</v>
      </c>
      <c r="K7" s="83">
        <f>(H7)*(H7)*(I7)</f>
        <v>32</v>
      </c>
      <c r="L7" s="83">
        <f>(H7+1)*(H7+1)*I7</f>
        <v>72</v>
      </c>
      <c r="M7" s="77">
        <v>7.2</v>
      </c>
      <c r="N7" s="138">
        <f>M7*10+19</f>
        <v>91</v>
      </c>
      <c r="O7" s="265">
        <v>43884</v>
      </c>
      <c r="P7" s="231">
        <f ca="1">IF((TODAY()-O7)&gt;335,1,((TODAY()-O7)^0.64)/(336^0.64))</f>
        <v>1</v>
      </c>
      <c r="Q7" s="138">
        <v>5</v>
      </c>
      <c r="R7" s="154">
        <f>(Q7/7)^0.5</f>
        <v>0.84515425472851657</v>
      </c>
      <c r="S7" s="154">
        <f>IF(Q7=7,1,((Q7+0.99)/7)^0.5)</f>
        <v>0.92504826128926143</v>
      </c>
      <c r="T7" s="91">
        <v>143280</v>
      </c>
      <c r="U7" s="206">
        <f t="shared" si="6"/>
        <v>19320</v>
      </c>
      <c r="V7" s="91">
        <v>31476</v>
      </c>
      <c r="W7" s="89">
        <f>T7/V7</f>
        <v>4.5520396492565762</v>
      </c>
      <c r="X7" s="140">
        <v>0</v>
      </c>
      <c r="Y7" s="141">
        <f>14+15/20</f>
        <v>14.75</v>
      </c>
      <c r="Z7" s="140">
        <f>9+5/7</f>
        <v>9.7142857142857135</v>
      </c>
      <c r="AA7" s="141">
        <v>1</v>
      </c>
      <c r="AB7" s="140">
        <v>3</v>
      </c>
      <c r="AC7" s="141">
        <f>7+5/6</f>
        <v>7.833333333333333</v>
      </c>
      <c r="AD7" s="140">
        <f>18+3/4</f>
        <v>18.75</v>
      </c>
      <c r="AE7" s="234">
        <v>1598</v>
      </c>
      <c r="AF7" s="260">
        <f ca="1">(Z7+P7+J7)*(Q7/7)^0.5</f>
        <v>10.130533646999483</v>
      </c>
      <c r="AG7" s="260">
        <f ca="1">(Z7+P7+J7)*(IF(Q7=7,(Q7/7)^0.5,((Q7+1)/7)^0.5))</f>
        <v>11.097443596053388</v>
      </c>
      <c r="AH7" s="446">
        <f t="shared" ca="1" si="10"/>
        <v>17.526528282339559</v>
      </c>
      <c r="AI7" s="444">
        <f t="shared" ca="1" si="11"/>
        <v>14.999225835846259</v>
      </c>
      <c r="AJ7" s="261">
        <f t="shared" ca="1" si="12"/>
        <v>17.709463657433485</v>
      </c>
      <c r="AK7" s="261">
        <f t="shared" ca="1" si="13"/>
        <v>19.399745452988522</v>
      </c>
      <c r="AL7" s="89">
        <f t="shared" ca="1" si="14"/>
        <v>2.9122927521730149</v>
      </c>
      <c r="AM7" s="138">
        <v>2</v>
      </c>
      <c r="AN7" s="138">
        <v>3</v>
      </c>
      <c r="AO7" s="154">
        <f>IF(AM7=4,IF(AN7=0,0.137+0.0697,0.137+0.02),IF(AM7=3,IF(AN7=0,0.0958+0.0697,0.0958+0.02),IF(AM7=2,IF(AN7=0,0.0415+0.0697,0.0415+0.02),IF(AM7=1,IF(AN7=0,0.0294+0.0697,0.0294+0.02),IF(AM7=0,IF(AN7=0,0.0063+0.0697,0.0063+0.02))))))</f>
        <v>6.1499999999999999E-2</v>
      </c>
      <c r="AP7" s="91">
        <v>123960</v>
      </c>
      <c r="AQ7" s="236"/>
      <c r="AR7" s="110"/>
      <c r="AS7" s="112"/>
    </row>
    <row r="8" spans="1:45" s="65" customFormat="1" x14ac:dyDescent="0.25">
      <c r="A8" s="4" t="s">
        <v>136</v>
      </c>
      <c r="B8" s="4" t="s">
        <v>37</v>
      </c>
      <c r="C8" s="109">
        <f t="shared" ca="1" si="16"/>
        <v>8.4553571428571423</v>
      </c>
      <c r="D8" s="368" t="s">
        <v>137</v>
      </c>
      <c r="E8" s="54">
        <v>27</v>
      </c>
      <c r="F8" s="55">
        <f ca="1">-43570+$D$1-89-112-112-112-112-112-112-112-112-112</f>
        <v>61</v>
      </c>
      <c r="G8" s="70" t="s">
        <v>138</v>
      </c>
      <c r="H8" s="108">
        <v>2</v>
      </c>
      <c r="I8" s="56">
        <v>8</v>
      </c>
      <c r="J8" s="141">
        <f>LOG(I8+1)*4/3</f>
        <v>1.2723233459190999</v>
      </c>
      <c r="K8" s="83">
        <f>(H8)*(H8)*(I8)</f>
        <v>32</v>
      </c>
      <c r="L8" s="83">
        <f>(H8+1)*(H8+1)*I8</f>
        <v>72</v>
      </c>
      <c r="M8" s="77">
        <v>7.1</v>
      </c>
      <c r="N8" s="138">
        <f>M8*10+19</f>
        <v>90</v>
      </c>
      <c r="O8" s="265">
        <v>43739</v>
      </c>
      <c r="P8" s="231">
        <f ca="1">IF((TODAY()-O8)&gt;335,1,((TODAY()-O8)^0.64)/(336^0.64))</f>
        <v>1</v>
      </c>
      <c r="Q8" s="138">
        <v>5</v>
      </c>
      <c r="R8" s="154">
        <f>(Q8/7)^0.5</f>
        <v>0.84515425472851657</v>
      </c>
      <c r="S8" s="154">
        <f>IF(Q8=7,1,((Q8+0.99)/7)^0.5)</f>
        <v>0.92504826128926143</v>
      </c>
      <c r="T8" s="91">
        <v>132870</v>
      </c>
      <c r="U8" s="206">
        <f t="shared" si="6"/>
        <v>15690</v>
      </c>
      <c r="V8" s="91">
        <v>31212</v>
      </c>
      <c r="W8" s="89">
        <f>T8/V8</f>
        <v>4.2570165321030373</v>
      </c>
      <c r="X8" s="140">
        <v>0</v>
      </c>
      <c r="Y8" s="141">
        <f>14+17/20</f>
        <v>14.85</v>
      </c>
      <c r="Z8" s="140">
        <f>9+7/8</f>
        <v>9.875</v>
      </c>
      <c r="AA8" s="141">
        <v>3</v>
      </c>
      <c r="AB8" s="140">
        <v>3</v>
      </c>
      <c r="AC8" s="141">
        <f>7+1/7</f>
        <v>7.1428571428571432</v>
      </c>
      <c r="AD8" s="140">
        <f>18+1/5</f>
        <v>18.2</v>
      </c>
      <c r="AE8" s="234">
        <v>1627</v>
      </c>
      <c r="AF8" s="260">
        <f ca="1">(Z8+P8+J8)*(Q8/7)^0.5</f>
        <v>10.266362009366567</v>
      </c>
      <c r="AG8" s="260">
        <f ca="1">(Z8+P8+J8)*(IF(Q8=7,(Q8/7)^0.5,((Q8+1)/7)^0.5))</f>
        <v>11.246236112088264</v>
      </c>
      <c r="AH8" s="446">
        <f t="shared" ca="1" si="10"/>
        <v>16.302161362602501</v>
      </c>
      <c r="AI8" s="444">
        <f t="shared" ca="1" si="11"/>
        <v>14.498773780724873</v>
      </c>
      <c r="AJ8" s="261">
        <f t="shared" ca="1" si="12"/>
        <v>17.244628817332799</v>
      </c>
      <c r="AK8" s="261">
        <f t="shared" ca="1" si="13"/>
        <v>18.890544398113619</v>
      </c>
      <c r="AL8" s="89">
        <f t="shared" ca="1" si="14"/>
        <v>2.9228571803571208</v>
      </c>
      <c r="AM8" s="138">
        <v>2</v>
      </c>
      <c r="AN8" s="138">
        <v>2</v>
      </c>
      <c r="AO8" s="154">
        <f>IF(AM8=4,IF(AN8=0,0.137+0.0697,0.137+0.02),IF(AM8=3,IF(AN8=0,0.0958+0.0697,0.0958+0.02),IF(AM8=2,IF(AN8=0,0.0415+0.0697,0.0415+0.02),IF(AM8=1,IF(AN8=0,0.0294+0.0697,0.0294+0.02),IF(AM8=0,IF(AN8=0,0.0063+0.0697,0.0063+0.02))))))</f>
        <v>6.1499999999999999E-2</v>
      </c>
      <c r="AP8" s="91">
        <v>117180</v>
      </c>
      <c r="AQ8" s="236">
        <v>2040</v>
      </c>
      <c r="AR8" s="110"/>
      <c r="AS8" s="112"/>
    </row>
    <row r="9" spans="1:45" s="65" customFormat="1" x14ac:dyDescent="0.25">
      <c r="A9" s="4" t="s">
        <v>142</v>
      </c>
      <c r="B9" s="4" t="s">
        <v>37</v>
      </c>
      <c r="C9" s="109">
        <f t="shared" ca="1" si="16"/>
        <v>8.2053571428571423</v>
      </c>
      <c r="D9" s="368" t="s">
        <v>143</v>
      </c>
      <c r="E9" s="54">
        <v>27</v>
      </c>
      <c r="F9" s="55">
        <f ca="1">-43657+$D$1-32-278-112-112-112-112-112-112</f>
        <v>89</v>
      </c>
      <c r="G9" s="70" t="s">
        <v>128</v>
      </c>
      <c r="H9" s="108">
        <v>3</v>
      </c>
      <c r="I9" s="56">
        <v>7</v>
      </c>
      <c r="J9" s="141">
        <f t="shared" si="0"/>
        <v>1.2041199826559248</v>
      </c>
      <c r="K9" s="83">
        <f t="shared" si="1"/>
        <v>63</v>
      </c>
      <c r="L9" s="83">
        <f t="shared" si="2"/>
        <v>112</v>
      </c>
      <c r="M9" s="77">
        <v>7.1</v>
      </c>
      <c r="N9" s="138">
        <f t="shared" si="3"/>
        <v>90</v>
      </c>
      <c r="O9" s="265">
        <v>43898</v>
      </c>
      <c r="P9" s="231">
        <f t="shared" ca="1" si="17"/>
        <v>1</v>
      </c>
      <c r="Q9" s="138">
        <v>7</v>
      </c>
      <c r="R9" s="154">
        <f t="shared" si="4"/>
        <v>1</v>
      </c>
      <c r="S9" s="154">
        <f t="shared" si="5"/>
        <v>1</v>
      </c>
      <c r="T9" s="315">
        <v>131890</v>
      </c>
      <c r="U9" s="206">
        <f t="shared" si="6"/>
        <v>51600</v>
      </c>
      <c r="V9" s="91">
        <v>20004</v>
      </c>
      <c r="W9" s="89">
        <f t="shared" si="7"/>
        <v>6.5931813637272549</v>
      </c>
      <c r="X9" s="140">
        <v>0</v>
      </c>
      <c r="Y9" s="141">
        <f>14+0/20</f>
        <v>14</v>
      </c>
      <c r="Z9" s="140">
        <f>9+1/8</f>
        <v>9.125</v>
      </c>
      <c r="AA9" s="141">
        <v>1</v>
      </c>
      <c r="AB9" s="140">
        <v>6</v>
      </c>
      <c r="AC9" s="141">
        <f>6+2/5</f>
        <v>6.4</v>
      </c>
      <c r="AD9" s="140">
        <f>19+1/5</f>
        <v>19.2</v>
      </c>
      <c r="AE9" s="234">
        <v>1684</v>
      </c>
      <c r="AF9" s="260">
        <f t="shared" ca="1" si="8"/>
        <v>11.329119982655925</v>
      </c>
      <c r="AG9" s="260">
        <f t="shared" ca="1" si="9"/>
        <v>11.329119982655925</v>
      </c>
      <c r="AH9" s="446">
        <f t="shared" ca="1" si="10"/>
        <v>18.455105161669593</v>
      </c>
      <c r="AI9" s="444">
        <f t="shared" ca="1" si="11"/>
        <v>17.564119982655924</v>
      </c>
      <c r="AJ9" s="261">
        <f t="shared" ca="1" si="12"/>
        <v>21.326797386685676</v>
      </c>
      <c r="AK9" s="261">
        <f t="shared" ca="1" si="13"/>
        <v>21.326797386685676</v>
      </c>
      <c r="AL9" s="89">
        <f t="shared" ca="1" si="14"/>
        <v>4.0765449934959719</v>
      </c>
      <c r="AM9" s="138">
        <v>3</v>
      </c>
      <c r="AN9" s="138">
        <v>3</v>
      </c>
      <c r="AO9" s="154">
        <f t="shared" si="15"/>
        <v>0.1158</v>
      </c>
      <c r="AP9" s="315">
        <v>80290</v>
      </c>
      <c r="AQ9" s="236">
        <v>5093</v>
      </c>
      <c r="AR9" s="110"/>
      <c r="AS9" s="112"/>
    </row>
    <row r="10" spans="1:45" s="65" customFormat="1" x14ac:dyDescent="0.25">
      <c r="A10" s="4" t="s">
        <v>660</v>
      </c>
      <c r="B10" s="4" t="s">
        <v>28</v>
      </c>
      <c r="C10" s="109">
        <f ca="1">((36*112)-(E10*112)-(F10))/112</f>
        <v>5.5714285714285712</v>
      </c>
      <c r="D10" s="367" t="s">
        <v>659</v>
      </c>
      <c r="E10" s="54">
        <v>30</v>
      </c>
      <c r="F10" s="55">
        <f ca="1">-171-44285+$D$1-112-112</f>
        <v>48</v>
      </c>
      <c r="G10" s="70" t="s">
        <v>128</v>
      </c>
      <c r="H10" s="108">
        <v>5</v>
      </c>
      <c r="I10" s="56">
        <v>8</v>
      </c>
      <c r="J10" s="141">
        <f>LOG(I10+1)*4/3</f>
        <v>1.2723233459190999</v>
      </c>
      <c r="K10" s="83">
        <f>(H10)*(H10)*(I10)</f>
        <v>200</v>
      </c>
      <c r="L10" s="83">
        <f>(H10+1)*(H10+1)*I10</f>
        <v>288</v>
      </c>
      <c r="M10" s="77">
        <v>7</v>
      </c>
      <c r="N10" s="138">
        <f>M10*10+19</f>
        <v>89</v>
      </c>
      <c r="O10" s="265">
        <v>44531</v>
      </c>
      <c r="P10" s="231">
        <f ca="1">IF((TODAY()-O10)&gt;335,1,((TODAY()-O10)^0.64)/(336^0.64))</f>
        <v>0.71056080396655619</v>
      </c>
      <c r="Q10" s="138">
        <v>6</v>
      </c>
      <c r="R10" s="154">
        <f>(Q10/7)^0.5</f>
        <v>0.92582009977255142</v>
      </c>
      <c r="S10" s="154">
        <f>IF(Q10=7,1,((Q10+0.99)/7)^0.5)</f>
        <v>0.99928545900129484</v>
      </c>
      <c r="T10" s="315">
        <v>234490</v>
      </c>
      <c r="U10" s="206">
        <f>T10-AP10</f>
        <v>-17280</v>
      </c>
      <c r="V10" s="91">
        <v>30288</v>
      </c>
      <c r="W10" s="89">
        <f>T10/V10</f>
        <v>7.7420100369783409</v>
      </c>
      <c r="X10" s="140">
        <v>0</v>
      </c>
      <c r="Y10" s="141">
        <f>14+10/22</f>
        <v>14.454545454545455</v>
      </c>
      <c r="Z10" s="140">
        <v>13</v>
      </c>
      <c r="AA10" s="141">
        <v>1</v>
      </c>
      <c r="AB10" s="140">
        <v>9</v>
      </c>
      <c r="AC10" s="141">
        <v>9</v>
      </c>
      <c r="AD10" s="140">
        <v>16</v>
      </c>
      <c r="AE10" s="314">
        <v>2136</v>
      </c>
      <c r="AF10" s="260">
        <f ca="1">(Z10+P10+J10)*(Q10/7)^0.5</f>
        <v>13.871455298527717</v>
      </c>
      <c r="AG10" s="260">
        <f ca="1">(Z10+P10+J10)*(IF(Q10=7,(Q10/7)^0.5,((Q10+1)/7)^0.5))</f>
        <v>14.982884149885656</v>
      </c>
      <c r="AH10" s="446">
        <f ca="1">(1.66*(AC10+J10+P10)+0.55*(AD10+J10+P10)-7.6)*(Q10/7)^0.5</f>
        <v>18.999841153609832</v>
      </c>
      <c r="AI10" s="444">
        <f ca="1">((AD10+J10+P10)*0.7+(AC10+J10+P10)*0.3)*(Q10/7)^0.5</f>
        <v>14.704693388323014</v>
      </c>
      <c r="AJ10" s="261">
        <f ca="1">(AD10+P10+(LOG(I10)*4/3))*(Q10/7)^0.5</f>
        <v>16.585771553264234</v>
      </c>
      <c r="AK10" s="261">
        <f ca="1">(AD10+P10+(LOG(I10)*4/3))*(IF(Q10=7,(Q10/7)^0.5,((Q10+1)/7)^0.5))</f>
        <v>17.91468078662248</v>
      </c>
      <c r="AL10" s="89">
        <f ca="1">(((Y10+P10+J10)+(AB10+P10+J10)*2)/8)*(Q10/7)^0.5</f>
        <v>4.4443065644067161</v>
      </c>
      <c r="AM10" s="138">
        <v>1</v>
      </c>
      <c r="AN10" s="138">
        <v>2</v>
      </c>
      <c r="AO10" s="154">
        <f>IF(AM10=4,IF(AN10=0,0.137+0.0697,0.137+0.02),IF(AM10=3,IF(AN10=0,0.0958+0.0697,0.0958+0.02),IF(AM10=2,IF(AN10=0,0.0415+0.0697,0.0415+0.02),IF(AM10=1,IF(AN10=0,0.0294+0.0697,0.0294+0.02),IF(AM10=0,IF(AN10=0,0.0063+0.0697,0.0063+0.02))))))</f>
        <v>4.9399999999999999E-2</v>
      </c>
      <c r="AP10" s="315">
        <v>251770</v>
      </c>
      <c r="AQ10" s="236">
        <v>5400</v>
      </c>
      <c r="AR10" s="110"/>
      <c r="AS10" s="112"/>
    </row>
    <row r="11" spans="1:45" s="65" customFormat="1" x14ac:dyDescent="0.25">
      <c r="A11" s="268" t="s">
        <v>498</v>
      </c>
      <c r="B11" s="268" t="s">
        <v>28</v>
      </c>
      <c r="C11" s="109">
        <f ca="1">((36*112)-(E11*112)-(F11))/112</f>
        <v>6.6428571428571432</v>
      </c>
      <c r="D11" s="369" t="s">
        <v>679</v>
      </c>
      <c r="E11" s="269">
        <v>29</v>
      </c>
      <c r="F11" s="270">
        <f ca="1">-44688+$D$1</f>
        <v>40</v>
      </c>
      <c r="G11" s="271" t="s">
        <v>134</v>
      </c>
      <c r="H11" s="272">
        <v>1</v>
      </c>
      <c r="I11" s="273">
        <v>9</v>
      </c>
      <c r="J11" s="274">
        <f>LOG(I11+1)*4/3</f>
        <v>1.3333333333333333</v>
      </c>
      <c r="K11" s="275">
        <f>(H11)*(H11)*(I11)</f>
        <v>9</v>
      </c>
      <c r="L11" s="275">
        <f>(H11+1)*(H11+1)*I11</f>
        <v>36</v>
      </c>
      <c r="M11" s="276">
        <v>7</v>
      </c>
      <c r="N11" s="277">
        <f>M11*10+19</f>
        <v>89</v>
      </c>
      <c r="O11" s="370">
        <v>44652</v>
      </c>
      <c r="P11" s="278">
        <f ca="1">IF((TODAY()-O11)&gt;335,1,((TODAY()-O11)^0.64)/(336^0.64))</f>
        <v>0.38624561461075513</v>
      </c>
      <c r="Q11" s="277">
        <v>5</v>
      </c>
      <c r="R11" s="279">
        <f>(Q11/7)^0.5</f>
        <v>0.84515425472851657</v>
      </c>
      <c r="S11" s="279">
        <f>IF(Q11=7,1,((Q11+0.99)/7)^0.5)</f>
        <v>0.92504826128926143</v>
      </c>
      <c r="T11" s="280">
        <v>168570</v>
      </c>
      <c r="U11" s="281">
        <f>T11-AP11</f>
        <v>0</v>
      </c>
      <c r="V11" s="280">
        <v>34308</v>
      </c>
      <c r="W11" s="282">
        <f>T11/V11</f>
        <v>4.9134312696747111</v>
      </c>
      <c r="X11" s="283">
        <v>0</v>
      </c>
      <c r="Y11" s="274">
        <v>13</v>
      </c>
      <c r="Z11" s="283">
        <v>14</v>
      </c>
      <c r="AA11" s="274">
        <v>2</v>
      </c>
      <c r="AB11" s="283">
        <v>2</v>
      </c>
      <c r="AC11" s="274">
        <v>7</v>
      </c>
      <c r="AD11" s="283">
        <v>19</v>
      </c>
      <c r="AE11" s="284">
        <v>1916</v>
      </c>
      <c r="AF11" s="285">
        <f t="shared" ref="AF11" ca="1" si="18">(Z11+P11+J11)*(Q11/7)^0.5</f>
        <v>13.285469030395765</v>
      </c>
      <c r="AG11" s="285">
        <f t="shared" ref="AG11" ca="1" si="19">(Z11+P11+J11)*(IF(Q11=7,(Q11/7)^0.5,((Q11+1)/7)^0.5))</f>
        <v>14.553502149968097</v>
      </c>
      <c r="AH11" s="447">
        <f ca="1">(1.66*(AC11+J11+P11)+0.55*(AD11+J11+P11)-7.6)*(Q11/7)^0.5</f>
        <v>15.441195981795973</v>
      </c>
      <c r="AI11" s="445">
        <f ca="1">((AD11+J11+P11)*0.7+(AC11+J11+P11)*0.3)*(Q11/7)^0.5</f>
        <v>14.468684987015685</v>
      </c>
      <c r="AJ11" s="362">
        <f ca="1">(AD11+P11+(LOG(I11)*4/3))*(Q11/7)^0.5</f>
        <v>17.459677453594274</v>
      </c>
      <c r="AK11" s="362">
        <f ca="1">(AD11+P11+(LOG(I11)*4/3))*(IF(Q11=7,(Q11/7)^0.5,((Q11+1)/7)^0.5))</f>
        <v>19.126118376195883</v>
      </c>
      <c r="AL11" s="282">
        <f ca="1">(((Y11+P11+J11)+(AB11+P11+J11)*2)/8)*(Q11/7)^0.5</f>
        <v>2.3409438403717977</v>
      </c>
      <c r="AM11" s="277">
        <v>3</v>
      </c>
      <c r="AN11" s="277">
        <v>2</v>
      </c>
      <c r="AO11" s="279">
        <f>IF(AM11=4,IF(AN11=0,0.137+0.0697,0.137+0.02),IF(AM11=3,IF(AN11=0,0.0958+0.0697,0.0958+0.02),IF(AM11=2,IF(AN11=0,0.0415+0.0697,0.0415+0.02),IF(AM11=1,IF(AN11=0,0.0294+0.0697,0.0294+0.02),IF(AM11=0,IF(AN11=0,0.0063+0.0697,0.0063+0.02))))))</f>
        <v>0.1158</v>
      </c>
      <c r="AP11" s="280">
        <v>168570</v>
      </c>
      <c r="AQ11" s="286"/>
      <c r="AR11" s="110"/>
      <c r="AS11" s="112"/>
    </row>
    <row r="12" spans="1:45" s="65" customFormat="1" x14ac:dyDescent="0.25">
      <c r="A12" s="4" t="s">
        <v>154</v>
      </c>
      <c r="B12" s="4" t="s">
        <v>28</v>
      </c>
      <c r="C12" s="109">
        <f ca="1">((36*112)-(E12*112)-(F12))/112</f>
        <v>7.1607142857142856</v>
      </c>
      <c r="D12" s="368" t="s">
        <v>155</v>
      </c>
      <c r="E12" s="54">
        <v>28</v>
      </c>
      <c r="F12" s="55">
        <f ca="1">-43626+$D$1-112-112-112-112-112-112-112-112-112</f>
        <v>94</v>
      </c>
      <c r="G12" s="70" t="s">
        <v>156</v>
      </c>
      <c r="H12" s="108">
        <v>4</v>
      </c>
      <c r="I12" s="56">
        <v>8</v>
      </c>
      <c r="J12" s="141">
        <f>LOG(I12+1)*4/3</f>
        <v>1.2723233459190999</v>
      </c>
      <c r="K12" s="83">
        <f>(H12)*(H12)*(I12)</f>
        <v>128</v>
      </c>
      <c r="L12" s="83">
        <f>(H12+1)*(H12+1)*I12</f>
        <v>200</v>
      </c>
      <c r="M12" s="77">
        <v>7.1</v>
      </c>
      <c r="N12" s="138">
        <f>M12*10+19</f>
        <v>90</v>
      </c>
      <c r="O12" s="265">
        <v>43626</v>
      </c>
      <c r="P12" s="231">
        <f ca="1">IF((TODAY()-O12)&gt;335,1,((TODAY()-O12)^0.64)/(336^0.64))</f>
        <v>1</v>
      </c>
      <c r="Q12" s="138">
        <v>6</v>
      </c>
      <c r="R12" s="154">
        <f>(Q12/7)^0.5</f>
        <v>0.92582009977255142</v>
      </c>
      <c r="S12" s="154">
        <f>IF(Q12=7,1,((Q12+0.99)/7)^0.5)</f>
        <v>0.99928545900129484</v>
      </c>
      <c r="T12" s="91">
        <v>192200</v>
      </c>
      <c r="U12" s="206">
        <f>T12-AP12</f>
        <v>30060</v>
      </c>
      <c r="V12" s="91">
        <v>33540</v>
      </c>
      <c r="W12" s="89">
        <f>T12/V12</f>
        <v>5.7304710793082885</v>
      </c>
      <c r="X12" s="140">
        <v>0</v>
      </c>
      <c r="Y12" s="141">
        <f>11+9/13</f>
        <v>11.692307692307692</v>
      </c>
      <c r="Z12" s="140">
        <f>14+9/13</f>
        <v>14.692307692307692</v>
      </c>
      <c r="AA12" s="141">
        <v>3</v>
      </c>
      <c r="AB12" s="140">
        <v>4</v>
      </c>
      <c r="AC12" s="141">
        <f>7+3/6</f>
        <v>7.5</v>
      </c>
      <c r="AD12" s="140">
        <v>19</v>
      </c>
      <c r="AE12" s="234">
        <v>1771</v>
      </c>
      <c r="AF12" s="260">
        <f ca="1">(Z12+P12+J12)*(Q12/7)^0.5</f>
        <v>15.706196400415651</v>
      </c>
      <c r="AG12" s="260">
        <f ca="1">(Z12+P12+J12)*(IF(Q12=7,(Q12/7)^0.5,((Q12+1)/7)^0.5))</f>
        <v>16.964631038226791</v>
      </c>
      <c r="AH12" s="446">
        <f ca="1">(1.66*(AC12+J12+P12)+0.55*(AD12+J12+P12)-7.6)*(Q12/7)^0.5</f>
        <v>18.814362931823879</v>
      </c>
      <c r="AI12" s="444">
        <f ca="1">((AD12+J12+P12)*0.7+(AC12+J12+P12)*0.3)*(Q12/7)^0.5</f>
        <v>16.500265178297497</v>
      </c>
      <c r="AJ12" s="261">
        <f ca="1">(AD12+P12+(LOG(I12)*4/3))*(Q12/7)^0.5</f>
        <v>19.63120047793166</v>
      </c>
      <c r="AK12" s="261">
        <f ca="1">(AD12+P12+(LOG(I12)*4/3))*(IF(Q12=7,(Q12/7)^0.5,((Q12+1)/7)^0.5))</f>
        <v>21.204119982655925</v>
      </c>
      <c r="AL12" s="89">
        <f ca="1">(((Y12+P12+J12)+(AB12+P12+J12)*2)/8)*(Q12/7)^0.5</f>
        <v>3.0678527691183808</v>
      </c>
      <c r="AM12" s="138">
        <v>3</v>
      </c>
      <c r="AN12" s="138">
        <v>3</v>
      </c>
      <c r="AO12" s="154">
        <f>IF(AM12=4,IF(AN12=0,0.137+0.0697,0.137+0.02),IF(AM12=3,IF(AN12=0,0.0958+0.0697,0.0958+0.02),IF(AM12=2,IF(AN12=0,0.0415+0.0697,0.0415+0.02),IF(AM12=1,IF(AN12=0,0.0294+0.0697,0.0294+0.02),IF(AM12=0,IF(AN12=0,0.0063+0.0697,0.0063+0.02))))))</f>
        <v>0.1158</v>
      </c>
      <c r="AP12" s="91">
        <v>162140</v>
      </c>
      <c r="AQ12" s="236">
        <v>1308</v>
      </c>
      <c r="AR12" s="110"/>
      <c r="AS12" s="112"/>
    </row>
    <row r="13" spans="1:45" s="65" customFormat="1" x14ac:dyDescent="0.25">
      <c r="A13" s="268" t="s">
        <v>157</v>
      </c>
      <c r="B13" s="268" t="s">
        <v>28</v>
      </c>
      <c r="C13" s="109">
        <f ca="1">((36*112)-(E13*112)-(F13))/112</f>
        <v>6.3214285714285712</v>
      </c>
      <c r="D13" s="367" t="s">
        <v>612</v>
      </c>
      <c r="E13" s="269">
        <v>29</v>
      </c>
      <c r="F13" s="270">
        <f ca="1">-43570+$D$1-746-112-112-112</f>
        <v>76</v>
      </c>
      <c r="G13" s="271" t="s">
        <v>156</v>
      </c>
      <c r="H13" s="272">
        <v>4</v>
      </c>
      <c r="I13" s="273">
        <v>9</v>
      </c>
      <c r="J13" s="274">
        <f>LOG(I13+1)*4/3</f>
        <v>1.3333333333333333</v>
      </c>
      <c r="K13" s="275">
        <f>(H13)*(H13)*(I13)</f>
        <v>144</v>
      </c>
      <c r="L13" s="275">
        <f>(H13+1)*(H13+1)*I13</f>
        <v>225</v>
      </c>
      <c r="M13" s="276">
        <v>7</v>
      </c>
      <c r="N13" s="277">
        <f>M13*10+19</f>
        <v>89</v>
      </c>
      <c r="O13" s="370">
        <v>44354</v>
      </c>
      <c r="P13" s="278">
        <f ca="1">IF((TODAY()-O13)&gt;335,1,((TODAY()-O13)^0.64)/(336^0.64))</f>
        <v>1</v>
      </c>
      <c r="Q13" s="277">
        <v>7</v>
      </c>
      <c r="R13" s="279">
        <f>(Q13/7)^0.5</f>
        <v>1</v>
      </c>
      <c r="S13" s="279">
        <f>IF(Q13=7,1,((Q13+0.99)/7)^0.5)</f>
        <v>1</v>
      </c>
      <c r="T13" s="536">
        <v>191380</v>
      </c>
      <c r="U13" s="281">
        <f>T13-AP13</f>
        <v>-19030</v>
      </c>
      <c r="V13" s="280">
        <v>32980</v>
      </c>
      <c r="W13" s="282">
        <f>T13/V13</f>
        <v>5.8029108550636748</v>
      </c>
      <c r="X13" s="283">
        <v>0</v>
      </c>
      <c r="Y13" s="274">
        <f>11+4/13</f>
        <v>11.307692307692308</v>
      </c>
      <c r="Z13" s="283">
        <v>15</v>
      </c>
      <c r="AA13" s="274">
        <v>4</v>
      </c>
      <c r="AB13" s="283">
        <v>3</v>
      </c>
      <c r="AC13" s="274">
        <v>9</v>
      </c>
      <c r="AD13" s="283">
        <f>18+1/4</f>
        <v>18.25</v>
      </c>
      <c r="AE13" s="284">
        <v>1932</v>
      </c>
      <c r="AF13" s="285">
        <f ca="1">(Z13+P13+J13)*(Q13/7)^0.5</f>
        <v>17.333333333333332</v>
      </c>
      <c r="AG13" s="285">
        <f ca="1">(Z13+P13+J13)*(IF(Q13=7,(Q13/7)^0.5,((Q13+1)/7)^0.5))</f>
        <v>17.333333333333332</v>
      </c>
      <c r="AH13" s="446">
        <f t="shared" ref="AH13" ca="1" si="20">(1.66*(AC13+J13+P13)+0.55*(AD13+J13+P13)-7.6)*(Q13/7)^0.5</f>
        <v>22.534166666666664</v>
      </c>
      <c r="AI13" s="444">
        <f t="shared" ref="AI13" ca="1" si="21">((AD13+J13+P13)*0.7+(AC13+J13+P13)*0.3)*(Q13/7)^0.5</f>
        <v>17.80833333333333</v>
      </c>
      <c r="AJ13" s="261">
        <f t="shared" ref="AJ13" ca="1" si="22">(AD13+P13+(LOG(I13)*4/3))*(Q13/7)^0.5</f>
        <v>20.522323345919101</v>
      </c>
      <c r="AK13" s="261">
        <f t="shared" ref="AK13" ca="1" si="23">(AD13+P13+(LOG(I13)*4/3))*(IF(Q13=7,(Q13/7)^0.5,((Q13+1)/7)^0.5))</f>
        <v>20.522323345919101</v>
      </c>
      <c r="AL13" s="282">
        <f ca="1">(((Y13+P13+J13)+(AB13+P13+J13)*2)/8)*(Q13/7)^0.5</f>
        <v>3.0384615384615383</v>
      </c>
      <c r="AM13" s="277">
        <v>2</v>
      </c>
      <c r="AN13" s="277">
        <v>1</v>
      </c>
      <c r="AO13" s="279">
        <f>IF(AM13=4,IF(AN13=0,0.137+0.0697,0.137+0.02),IF(AM13=3,IF(AN13=0,0.0958+0.0697,0.0958+0.02),IF(AM13=2,IF(AN13=0,0.0415+0.0697,0.0415+0.02),IF(AM13=1,IF(AN13=0,0.0294+0.0697,0.0294+0.02),IF(AM13=0,IF(AN13=0,0.0063+0.0697,0.0063+0.02))))))</f>
        <v>6.1499999999999999E-2</v>
      </c>
      <c r="AP13" s="536">
        <v>210410</v>
      </c>
      <c r="AQ13" s="286">
        <v>9000</v>
      </c>
      <c r="AR13" s="110"/>
      <c r="AS13" s="112"/>
    </row>
    <row r="14" spans="1:45" s="65" customFormat="1" x14ac:dyDescent="0.25">
      <c r="A14" s="4" t="s">
        <v>152</v>
      </c>
      <c r="B14" s="4" t="s">
        <v>28</v>
      </c>
      <c r="C14" s="109">
        <f ca="1">((36*112)-(E14*112)-(F14))/112</f>
        <v>7.6517857142857144</v>
      </c>
      <c r="D14" s="368" t="s">
        <v>153</v>
      </c>
      <c r="E14" s="54">
        <v>28</v>
      </c>
      <c r="F14" s="55">
        <f ca="1">-43569+$D$1-112-112-112-112-112-112-112-112-112-112</f>
        <v>39</v>
      </c>
      <c r="G14" s="70" t="s">
        <v>134</v>
      </c>
      <c r="H14" s="108">
        <v>4</v>
      </c>
      <c r="I14" s="56">
        <v>7</v>
      </c>
      <c r="J14" s="141">
        <f>LOG(I14+1)*4/3</f>
        <v>1.2041199826559248</v>
      </c>
      <c r="K14" s="83">
        <f>(H14)*(H14)*(I14)</f>
        <v>112</v>
      </c>
      <c r="L14" s="83">
        <f>(H14+1)*(H14+1)*I14</f>
        <v>175</v>
      </c>
      <c r="M14" s="77">
        <v>7.2</v>
      </c>
      <c r="N14" s="138">
        <f>M14*10+19</f>
        <v>91</v>
      </c>
      <c r="O14" s="265">
        <v>43626</v>
      </c>
      <c r="P14" s="231">
        <f ca="1">IF((TODAY()-O14)&gt;335,1,((TODAY()-O14)^0.64)/(336^0.64))</f>
        <v>1</v>
      </c>
      <c r="Q14" s="138">
        <v>6</v>
      </c>
      <c r="R14" s="154">
        <f>(Q14/7)^0.5</f>
        <v>0.92582009977255142</v>
      </c>
      <c r="S14" s="154">
        <f>IF(Q14=7,1,((Q14+0.99)/7)^0.5)</f>
        <v>0.99928545900129484</v>
      </c>
      <c r="T14" s="315">
        <v>157770</v>
      </c>
      <c r="U14" s="206">
        <f>T14-AP14</f>
        <v>20390</v>
      </c>
      <c r="V14" s="91">
        <v>31812</v>
      </c>
      <c r="W14" s="89">
        <f>T14/V14</f>
        <v>4.9594492644285175</v>
      </c>
      <c r="X14" s="140">
        <v>0</v>
      </c>
      <c r="Y14" s="141">
        <f>11+2/13</f>
        <v>11.153846153846153</v>
      </c>
      <c r="Z14" s="140">
        <f>14+3/18</f>
        <v>14.166666666666666</v>
      </c>
      <c r="AA14" s="141">
        <v>2</v>
      </c>
      <c r="AB14" s="140">
        <v>3</v>
      </c>
      <c r="AC14" s="141">
        <v>8</v>
      </c>
      <c r="AD14" s="140">
        <f>20+1/6</f>
        <v>20.166666666666668</v>
      </c>
      <c r="AE14" s="234">
        <v>1821</v>
      </c>
      <c r="AF14" s="260">
        <f ca="1">(Z14+P14+J14)*(Q14/7)^0.5</f>
        <v>15.156403329030992</v>
      </c>
      <c r="AG14" s="260">
        <f ca="1">(Z14+P14+J14)*(IF(Q14=7,(Q14/7)^0.5,((Q14+1)/7)^0.5))</f>
        <v>16.370786649322589</v>
      </c>
      <c r="AH14" s="446">
        <f ca="1">(1.66*(AC14+J14+P14)+0.55*(AD14+J14+P14)-7.6)*(Q14/7)^0.5</f>
        <v>20.037313173464838</v>
      </c>
      <c r="AI14" s="444">
        <f ca="1">((AD14+J14+P14)*0.7+(AC14+J14+P14)*0.3)*(Q14/7)^0.5</f>
        <v>17.33208056349649</v>
      </c>
      <c r="AJ14" s="261">
        <f ca="1">(AD14+P14+(LOG(I14)*4/3))*(Q14/7)^0.5</f>
        <v>20.639737114150456</v>
      </c>
      <c r="AK14" s="261">
        <f ca="1">(AD14+P14+(LOG(I14)*4/3))*(IF(Q14=7,(Q14/7)^0.5,((Q14+1)/7)^0.5))</f>
        <v>22.293464053352345</v>
      </c>
      <c r="AL14" s="89">
        <f ca="1">(((Y14+P14+J14)+(AB14+P14+J14)*2)/8)*(Q14/7)^0.5</f>
        <v>2.7504039130495488</v>
      </c>
      <c r="AM14" s="138">
        <v>2</v>
      </c>
      <c r="AN14" s="138">
        <v>3</v>
      </c>
      <c r="AO14" s="154">
        <f>IF(AM14=4,IF(AN14=0,0.137+0.0697,0.137+0.02),IF(AM14=3,IF(AN14=0,0.0958+0.0697,0.0958+0.02),IF(AM14=2,IF(AN14=0,0.0415+0.0697,0.0415+0.02),IF(AM14=1,IF(AN14=0,0.0294+0.0697,0.0294+0.02),IF(AM14=0,IF(AN14=0,0.0063+0.0697,0.0063+0.02))))))</f>
        <v>6.1499999999999999E-2</v>
      </c>
      <c r="AP14" s="315">
        <v>137380</v>
      </c>
      <c r="AQ14" s="236">
        <v>1548</v>
      </c>
      <c r="AR14" s="110"/>
      <c r="AS14" s="112"/>
    </row>
    <row r="15" spans="1:45" s="1" customFormat="1" x14ac:dyDescent="0.25">
      <c r="A15" s="84" t="s">
        <v>505</v>
      </c>
      <c r="B15" s="4" t="s">
        <v>28</v>
      </c>
      <c r="C15" s="109">
        <f t="shared" ca="1" si="16"/>
        <v>3.7589285714285716</v>
      </c>
      <c r="D15" s="367" t="s">
        <v>504</v>
      </c>
      <c r="E15" s="54">
        <v>32</v>
      </c>
      <c r="F15" s="55">
        <f ca="1">+$D$1-44253-112-112-112-112</f>
        <v>27</v>
      </c>
      <c r="G15" s="70" t="s">
        <v>138</v>
      </c>
      <c r="H15" s="108">
        <v>4</v>
      </c>
      <c r="I15" s="56">
        <v>11</v>
      </c>
      <c r="J15" s="141">
        <f>LOG(I15+1)*4/3</f>
        <v>1.4389083280634998</v>
      </c>
      <c r="K15" s="83">
        <f>(H15)*(H15)*(I15)</f>
        <v>176</v>
      </c>
      <c r="L15" s="83">
        <f>(H15+1)*(H15+1)*I15</f>
        <v>275</v>
      </c>
      <c r="M15" s="77">
        <v>6.6</v>
      </c>
      <c r="N15" s="138">
        <f>M15*10+19</f>
        <v>85</v>
      </c>
      <c r="O15" s="265">
        <v>44307</v>
      </c>
      <c r="P15" s="231">
        <f t="shared" ca="1" si="17"/>
        <v>1</v>
      </c>
      <c r="Q15" s="138">
        <v>6</v>
      </c>
      <c r="R15" s="154">
        <f>(Q15/7)^0.5</f>
        <v>0.92582009977255142</v>
      </c>
      <c r="S15" s="154">
        <f>IF(Q15=7,1,((Q15+0.99)/7)^0.5)</f>
        <v>0.99928545900129484</v>
      </c>
      <c r="T15" s="315">
        <v>77150</v>
      </c>
      <c r="U15" s="206">
        <f t="shared" si="6"/>
        <v>-53360</v>
      </c>
      <c r="V15" s="91">
        <v>19524</v>
      </c>
      <c r="W15" s="89">
        <f>T15/V15</f>
        <v>3.9515468141774228</v>
      </c>
      <c r="X15" s="140">
        <v>0</v>
      </c>
      <c r="Y15" s="141">
        <f>9+3/8</f>
        <v>9.375</v>
      </c>
      <c r="Z15" s="140">
        <v>14</v>
      </c>
      <c r="AA15" s="141">
        <v>7</v>
      </c>
      <c r="AB15" s="140">
        <v>7.95</v>
      </c>
      <c r="AC15" s="141">
        <f>9+0.5/8</f>
        <v>9.0625</v>
      </c>
      <c r="AD15" s="140">
        <v>16</v>
      </c>
      <c r="AE15" s="234">
        <v>1792</v>
      </c>
      <c r="AF15" s="260">
        <f ca="1">(Z15+P15+J15)*(Q15/7)^0.5</f>
        <v>15.219471748439577</v>
      </c>
      <c r="AG15" s="260">
        <f ca="1">(Z15+P15+J15)*(IF(Q15=7,(Q15/7)^0.5,((Q15+1)/7)^0.5))</f>
        <v>16.438908328063501</v>
      </c>
      <c r="AH15" s="446">
        <f t="shared" ca="1" si="10"/>
        <v>20.028948922769104</v>
      </c>
      <c r="AI15" s="444">
        <f t="shared" ca="1" si="11"/>
        <v>15.144248865333056</v>
      </c>
      <c r="AJ15" s="261">
        <f t="shared" ca="1" si="12"/>
        <v>17.024464735700832</v>
      </c>
      <c r="AK15" s="261">
        <f t="shared" ca="1" si="13"/>
        <v>18.388523580210968</v>
      </c>
      <c r="AL15" s="89">
        <f t="shared" ca="1" si="14"/>
        <v>3.7717592595778506</v>
      </c>
      <c r="AM15" s="138">
        <v>1</v>
      </c>
      <c r="AN15" s="138">
        <v>2</v>
      </c>
      <c r="AO15" s="154">
        <f>IF(AM15=4,IF(AN15=0,0.137+0.0697,0.137+0.02),IF(AM15=3,IF(AN15=0,0.0958+0.0697,0.0958+0.02),IF(AM15=2,IF(AN15=0,0.0415+0.0697,0.0415+0.02),IF(AM15=1,IF(AN15=0,0.0294+0.0697,0.0294+0.02),IF(AM15=0,IF(AN15=0,0.0063+0.0697,0.0063+0.02))))))</f>
        <v>4.9399999999999999E-2</v>
      </c>
      <c r="AP15" s="315">
        <v>130510</v>
      </c>
      <c r="AQ15" s="236"/>
      <c r="AR15" s="110"/>
      <c r="AS15" s="112"/>
    </row>
    <row r="16" spans="1:45" s="65" customFormat="1" x14ac:dyDescent="0.25">
      <c r="A16" s="4" t="s">
        <v>144</v>
      </c>
      <c r="B16" s="4" t="s">
        <v>30</v>
      </c>
      <c r="C16" s="109">
        <f t="shared" ca="1" si="16"/>
        <v>7.6696428571428568</v>
      </c>
      <c r="D16" s="368" t="s">
        <v>145</v>
      </c>
      <c r="E16" s="54">
        <v>28</v>
      </c>
      <c r="F16" s="55">
        <f ca="1">-43571+$D$1-112-112-112-112-112-112-112-112-112-112</f>
        <v>37</v>
      </c>
      <c r="G16" s="70" t="s">
        <v>134</v>
      </c>
      <c r="H16" s="108">
        <v>4</v>
      </c>
      <c r="I16" s="56">
        <v>7</v>
      </c>
      <c r="J16" s="141">
        <f>LOG(I16+1)*4/3</f>
        <v>1.2041199826559248</v>
      </c>
      <c r="K16" s="83">
        <f>(H16)*(H16)*(I16)</f>
        <v>112</v>
      </c>
      <c r="L16" s="83">
        <f>(H16+1)*(H16+1)*I16</f>
        <v>175</v>
      </c>
      <c r="M16" s="77">
        <v>7.2</v>
      </c>
      <c r="N16" s="138">
        <f>M16*10+19</f>
        <v>91</v>
      </c>
      <c r="O16" s="265">
        <v>43626</v>
      </c>
      <c r="P16" s="231">
        <f ca="1">IF((TODAY()-O16)&gt;335,1,((TODAY()-O16)^0.64)/(336^0.64))</f>
        <v>1</v>
      </c>
      <c r="Q16" s="138">
        <v>7</v>
      </c>
      <c r="R16" s="154">
        <f>(Q16/7)^0.5</f>
        <v>1</v>
      </c>
      <c r="S16" s="154">
        <f>IF(Q16=7,1,((Q16+0.99)/7)^0.5)</f>
        <v>1</v>
      </c>
      <c r="T16" s="315">
        <v>177120</v>
      </c>
      <c r="U16" s="206">
        <f t="shared" si="6"/>
        <v>20470</v>
      </c>
      <c r="V16" s="91">
        <v>42012</v>
      </c>
      <c r="W16" s="89">
        <f>T16/V16</f>
        <v>4.2159383033419022</v>
      </c>
      <c r="X16" s="140">
        <v>0</v>
      </c>
      <c r="Y16" s="141">
        <f>8+6/7</f>
        <v>8.8571428571428577</v>
      </c>
      <c r="Z16" s="140">
        <v>15</v>
      </c>
      <c r="AA16" s="141">
        <v>3</v>
      </c>
      <c r="AB16" s="140">
        <v>4</v>
      </c>
      <c r="AC16" s="141">
        <f>8+2/7</f>
        <v>8.2857142857142865</v>
      </c>
      <c r="AD16" s="140">
        <f>19+2/5</f>
        <v>19.399999999999999</v>
      </c>
      <c r="AE16" s="234">
        <v>1773</v>
      </c>
      <c r="AF16" s="260">
        <f ca="1">(Z16+P16+J16)*(Q16/7)^0.5</f>
        <v>17.204119982655925</v>
      </c>
      <c r="AG16" s="260">
        <f ca="1">(Z16+P16+J16)*(IF(Q16=7,(Q16/7)^0.5,((Q16+1)/7)^0.5))</f>
        <v>17.204119982655925</v>
      </c>
      <c r="AH16" s="446">
        <f ca="1">(1.66*(AC16+J16+P16)+0.55*(AD16+J16+P16)-7.6)*(Q16/7)^0.5</f>
        <v>21.695390875955312</v>
      </c>
      <c r="AI16" s="444">
        <f ca="1">((AD16+J16+P16)*0.7+(AC16+J16+P16)*0.3)*(Q16/7)^0.5</f>
        <v>18.269834268370207</v>
      </c>
      <c r="AJ16" s="261">
        <f ca="1">(AD16+P16+(LOG(I16)*4/3))*(Q16/7)^0.5</f>
        <v>21.526797386685676</v>
      </c>
      <c r="AK16" s="261">
        <f ca="1">(AD16+P16+(LOG(I16)*4/3))*(IF(Q16=7,(Q16/7)^0.5,((Q16+1)/7)^0.5))</f>
        <v>21.526797386685676</v>
      </c>
      <c r="AL16" s="89">
        <f t="shared" ca="1" si="14"/>
        <v>2.9336878506388291</v>
      </c>
      <c r="AM16" s="138">
        <v>4</v>
      </c>
      <c r="AN16" s="138">
        <v>3</v>
      </c>
      <c r="AO16" s="154">
        <f>IF(AM16=4,IF(AN16=0,0.137+0.0697,0.137+0.02),IF(AM16=3,IF(AN16=0,0.0958+0.0697,0.0958+0.02),IF(AM16=2,IF(AN16=0,0.0415+0.0697,0.0415+0.02),IF(AM16=1,IF(AN16=0,0.0294+0.0697,0.0294+0.02),IF(AM16=0,IF(AN16=0,0.0063+0.0697,0.0063+0.02))))))</f>
        <v>0.157</v>
      </c>
      <c r="AP16" s="315">
        <v>156650</v>
      </c>
      <c r="AQ16" s="236">
        <v>2327</v>
      </c>
      <c r="AR16" s="110"/>
      <c r="AS16" s="112"/>
    </row>
    <row r="17" spans="1:45" s="65" customFormat="1" x14ac:dyDescent="0.25">
      <c r="A17" s="4" t="s">
        <v>146</v>
      </c>
      <c r="B17" s="4" t="s">
        <v>30</v>
      </c>
      <c r="C17" s="109">
        <f t="shared" ca="1" si="16"/>
        <v>8.1785714285714288</v>
      </c>
      <c r="D17" s="368" t="s">
        <v>147</v>
      </c>
      <c r="E17" s="54">
        <v>27</v>
      </c>
      <c r="F17" s="55">
        <f ca="1">-43628+$D$1-112-112-112-112-112-112-112-112-112</f>
        <v>92</v>
      </c>
      <c r="G17" s="70" t="s">
        <v>138</v>
      </c>
      <c r="H17" s="232">
        <v>6</v>
      </c>
      <c r="I17" s="56">
        <v>8</v>
      </c>
      <c r="J17" s="141">
        <f>LOG(I17+1)*4/3</f>
        <v>1.2723233459190999</v>
      </c>
      <c r="K17" s="83">
        <f>(H17)*(H17)*(I17)</f>
        <v>288</v>
      </c>
      <c r="L17" s="83">
        <f>(H17+1)*(H17+1)*I17</f>
        <v>392</v>
      </c>
      <c r="M17" s="77">
        <v>7.4</v>
      </c>
      <c r="N17" s="138">
        <f>M17*10+19</f>
        <v>93</v>
      </c>
      <c r="O17" s="265">
        <v>43633</v>
      </c>
      <c r="P17" s="231">
        <f ca="1">IF((TODAY()-O17)&gt;335,1,((TODAY()-O17)^0.64)/(336^0.64))</f>
        <v>1</v>
      </c>
      <c r="Q17" s="138">
        <v>6</v>
      </c>
      <c r="R17" s="154">
        <f>(Q17/7)^0.5</f>
        <v>0.92582009977255142</v>
      </c>
      <c r="S17" s="154">
        <f>IF(Q17=7,1,((Q17+0.99)/7)^0.5)</f>
        <v>0.99928545900129484</v>
      </c>
      <c r="T17" s="315">
        <v>164990</v>
      </c>
      <c r="U17" s="206">
        <f t="shared" si="6"/>
        <v>43200</v>
      </c>
      <c r="V17" s="91">
        <v>23260</v>
      </c>
      <c r="W17" s="89">
        <f>T17/V17</f>
        <v>7.0932932072226995</v>
      </c>
      <c r="X17" s="140">
        <v>0</v>
      </c>
      <c r="Y17" s="141">
        <f>8+1/6</f>
        <v>8.1666666666666661</v>
      </c>
      <c r="Z17" s="140">
        <f>13+9/11</f>
        <v>13.818181818181818</v>
      </c>
      <c r="AA17" s="141">
        <v>2</v>
      </c>
      <c r="AB17" s="140">
        <v>6</v>
      </c>
      <c r="AC17" s="141">
        <v>10</v>
      </c>
      <c r="AD17" s="140">
        <v>19</v>
      </c>
      <c r="AE17" s="234">
        <v>1660</v>
      </c>
      <c r="AF17" s="260">
        <f ca="1">(Z17+P17+J17)*(Q17/7)^0.5</f>
        <v>14.896913096418666</v>
      </c>
      <c r="AG17" s="260">
        <f ca="1">(Z17+P17+J17)*(IF(Q17=7,(Q17/7)^0.5,((Q17+1)/7)^0.5))</f>
        <v>16.090505164100918</v>
      </c>
      <c r="AH17" s="446">
        <f ca="1">(1.66*(AC17+J17+P17)+0.55*(AD17+J17+P17)-7.6)*(Q17/7)^0.5</f>
        <v>22.656516345879968</v>
      </c>
      <c r="AI17" s="444">
        <f ca="1">((AD17+J17+P17)*0.7+(AC17+J17+P17)*0.3)*(Q17/7)^0.5</f>
        <v>17.19463025312691</v>
      </c>
      <c r="AJ17" s="261">
        <f ca="1">(AD17+P17+(LOG(I17)*4/3))*(Q17/7)^0.5</f>
        <v>19.63120047793166</v>
      </c>
      <c r="AK17" s="261">
        <f ca="1">(AD17+P17+(LOG(I17)*4/3))*(IF(Q17=7,(Q17/7)^0.5,((Q17+1)/7)^0.5))</f>
        <v>21.204119982655925</v>
      </c>
      <c r="AL17" s="89">
        <f t="shared" ca="1" si="14"/>
        <v>3.1227491532395093</v>
      </c>
      <c r="AM17" s="138">
        <v>4</v>
      </c>
      <c r="AN17" s="138">
        <v>2</v>
      </c>
      <c r="AO17" s="154">
        <f>IF(AM17=4,IF(AN17=0,0.137+0.0697,0.137+0.02),IF(AM17=3,IF(AN17=0,0.0958+0.0697,0.0958+0.02),IF(AM17=2,IF(AN17=0,0.0415+0.0697,0.0415+0.02),IF(AM17=1,IF(AN17=0,0.0294+0.0697,0.0294+0.02),IF(AM17=0,IF(AN17=0,0.0063+0.0697,0.0063+0.02))))))</f>
        <v>0.157</v>
      </c>
      <c r="AP17" s="315">
        <v>121790</v>
      </c>
      <c r="AQ17" s="236">
        <v>4689</v>
      </c>
      <c r="AR17" s="110"/>
      <c r="AS17" s="112"/>
    </row>
    <row r="18" spans="1:45" s="65" customFormat="1" x14ac:dyDescent="0.25">
      <c r="A18" s="4" t="s">
        <v>148</v>
      </c>
      <c r="B18" s="4" t="s">
        <v>30</v>
      </c>
      <c r="C18" s="109">
        <f t="shared" ca="1" si="16"/>
        <v>7.5267857142857144</v>
      </c>
      <c r="D18" s="368" t="s">
        <v>149</v>
      </c>
      <c r="E18" s="54">
        <v>28</v>
      </c>
      <c r="F18" s="55">
        <f ca="1">-43569+$D$1+14-112-112-112-112-112-112-112-112-112-112</f>
        <v>53</v>
      </c>
      <c r="G18" s="70" t="s">
        <v>128</v>
      </c>
      <c r="H18" s="108">
        <v>1</v>
      </c>
      <c r="I18" s="56">
        <v>9</v>
      </c>
      <c r="J18" s="141">
        <f>LOG(I18+1)*4/3</f>
        <v>1.3333333333333333</v>
      </c>
      <c r="K18" s="83">
        <f>(H18)*(H18)*(I18)</f>
        <v>9</v>
      </c>
      <c r="L18" s="83">
        <f>(H18+1)*(H18+1)*I18</f>
        <v>36</v>
      </c>
      <c r="M18" s="77">
        <v>7.2</v>
      </c>
      <c r="N18" s="138">
        <f>M18*10+19</f>
        <v>91</v>
      </c>
      <c r="O18" s="265">
        <v>43630</v>
      </c>
      <c r="P18" s="231">
        <f ca="1">IF((TODAY()-O18)&gt;335,1,((TODAY()-O18)^0.64)/(336^0.64))</f>
        <v>1</v>
      </c>
      <c r="Q18" s="138">
        <v>4</v>
      </c>
      <c r="R18" s="154">
        <f>(Q18/7)^0.5</f>
        <v>0.7559289460184544</v>
      </c>
      <c r="S18" s="154">
        <f>IF(Q18=7,1,((Q18+0.99)/7)^0.5)</f>
        <v>0.84430867747355465</v>
      </c>
      <c r="T18" s="91">
        <v>153830</v>
      </c>
      <c r="U18" s="206">
        <f t="shared" si="6"/>
        <v>-4430</v>
      </c>
      <c r="V18" s="91">
        <v>44004</v>
      </c>
      <c r="W18" s="89">
        <f>T18/V18</f>
        <v>3.4958185619489139</v>
      </c>
      <c r="X18" s="140">
        <v>0</v>
      </c>
      <c r="Y18" s="141">
        <f>9+2/8</f>
        <v>9.25</v>
      </c>
      <c r="Z18" s="140">
        <v>15</v>
      </c>
      <c r="AA18" s="141">
        <v>3</v>
      </c>
      <c r="AB18" s="140">
        <v>2</v>
      </c>
      <c r="AC18" s="141">
        <f>9+2/8</f>
        <v>9.25</v>
      </c>
      <c r="AD18" s="140">
        <f>18+4/6</f>
        <v>18.666666666666668</v>
      </c>
      <c r="AE18" s="234">
        <v>1739</v>
      </c>
      <c r="AF18" s="260">
        <f ca="1">(Z18+P18+J18)*(Q18/7)^0.5</f>
        <v>13.102768397653209</v>
      </c>
      <c r="AG18" s="260">
        <f ca="1">(Z18+P18+J18)*(IF(Q18=7,(Q18/7)^0.5,((Q18+1)/7)^0.5))</f>
        <v>14.649340415294287</v>
      </c>
      <c r="AH18" s="446">
        <f ca="1">(1.66*(AC18+J18+P18)+0.55*(AD18+J18+P18)-7.6)*(Q18/7)^0.5</f>
        <v>17.521173087131075</v>
      </c>
      <c r="AI18" s="444">
        <f ca="1">((AD18+J18+P18)*0.7+(AC18+J18+P18)*0.3)*(Q18/7)^0.5</f>
        <v>13.739008593885409</v>
      </c>
      <c r="AJ18" s="261">
        <f ca="1">(AD18+P18+(LOG(I18)*4/3))*(Q18/7)^0.5</f>
        <v>15.828388650904904</v>
      </c>
      <c r="AK18" s="261">
        <f ca="1">(AD18+P18+(LOG(I18)*4/3))*(IF(Q18=7,(Q18/7)^0.5,((Q18+1)/7)^0.5))</f>
        <v>17.696676498854778</v>
      </c>
      <c r="AL18" s="89">
        <f t="shared" ca="1" si="14"/>
        <v>1.9134451446092127</v>
      </c>
      <c r="AM18" s="138">
        <v>3</v>
      </c>
      <c r="AN18" s="138">
        <v>0</v>
      </c>
      <c r="AO18" s="154">
        <f>IF(AM18=4,IF(AN18=0,0.137+0.0697,0.137+0.02),IF(AM18=3,IF(AN18=0,0.0958+0.0697,0.0958+0.02),IF(AM18=2,IF(AN18=0,0.0415+0.0697,0.0415+0.02),IF(AM18=1,IF(AN18=0,0.0294+0.0697,0.0294+0.02),IF(AM18=0,IF(AN18=0,0.0063+0.0697,0.0063+0.02))))))</f>
        <v>0.16549999999999998</v>
      </c>
      <c r="AP18" s="91">
        <v>158260</v>
      </c>
      <c r="AQ18" s="236">
        <v>1887</v>
      </c>
      <c r="AR18" s="110"/>
      <c r="AS18" s="112"/>
    </row>
    <row r="19" spans="1:45" s="65" customFormat="1" x14ac:dyDescent="0.25">
      <c r="A19" s="4" t="s">
        <v>150</v>
      </c>
      <c r="B19" s="4" t="s">
        <v>30</v>
      </c>
      <c r="C19" s="109">
        <f t="shared" ca="1" si="16"/>
        <v>7.5267857142857144</v>
      </c>
      <c r="D19" s="368" t="s">
        <v>151</v>
      </c>
      <c r="E19" s="54">
        <v>28</v>
      </c>
      <c r="F19" s="55">
        <f ca="1">-43569+$D$1+14-112-112-112-112-112-112-112-112-112-112</f>
        <v>53</v>
      </c>
      <c r="G19" s="70" t="s">
        <v>138</v>
      </c>
      <c r="H19" s="108">
        <v>1</v>
      </c>
      <c r="I19" s="56">
        <v>9</v>
      </c>
      <c r="J19" s="141">
        <f>LOG(I19+1)*4/3</f>
        <v>1.3333333333333333</v>
      </c>
      <c r="K19" s="83">
        <f>(H19)*(H19)*(I19)</f>
        <v>9</v>
      </c>
      <c r="L19" s="83">
        <f>(H19+1)*(H19+1)*I19</f>
        <v>36</v>
      </c>
      <c r="M19" s="77">
        <v>7</v>
      </c>
      <c r="N19" s="138">
        <f>M19*10+19</f>
        <v>89</v>
      </c>
      <c r="O19" s="265">
        <v>43627</v>
      </c>
      <c r="P19" s="231">
        <f ca="1">IF((TODAY()-O19)&gt;335,1,((TODAY()-O19)^0.64)/(336^0.64))</f>
        <v>1</v>
      </c>
      <c r="Q19" s="138">
        <v>5</v>
      </c>
      <c r="R19" s="154">
        <f>(Q19/7)^0.5</f>
        <v>0.84515425472851657</v>
      </c>
      <c r="S19" s="154">
        <f>IF(Q19=7,1,((Q19+0.99)/7)^0.5)</f>
        <v>0.92504826128926143</v>
      </c>
      <c r="T19" s="315">
        <v>149620</v>
      </c>
      <c r="U19" s="206">
        <f t="shared" si="6"/>
        <v>2790</v>
      </c>
      <c r="V19" s="91">
        <v>40284</v>
      </c>
      <c r="W19" s="89">
        <f>T19/V19</f>
        <v>3.7141296792771326</v>
      </c>
      <c r="X19" s="140">
        <v>0</v>
      </c>
      <c r="Y19" s="141">
        <f>8+0/6</f>
        <v>8</v>
      </c>
      <c r="Z19" s="140">
        <f>14+11/13</f>
        <v>14.846153846153847</v>
      </c>
      <c r="AA19" s="141">
        <v>5</v>
      </c>
      <c r="AB19" s="140">
        <v>4</v>
      </c>
      <c r="AC19" s="141">
        <f>9+1/8</f>
        <v>9.125</v>
      </c>
      <c r="AD19" s="140">
        <f>20+1/6</f>
        <v>20.166666666666668</v>
      </c>
      <c r="AE19" s="234">
        <v>1739</v>
      </c>
      <c r="AF19" s="260">
        <f ca="1">(Z19+P19+J19)*(Q19/7)^0.5</f>
        <v>14.519316683797593</v>
      </c>
      <c r="AG19" s="260">
        <f ca="1">(Z19+P19+J19)*(IF(Q19=7,(Q19/7)^0.5,((Q19+1)/7)^0.5))</f>
        <v>15.905114534554087</v>
      </c>
      <c r="AH19" s="446">
        <f ca="1">(1.66*(AC19+J19+P19)+0.55*(AD19+J19+P19)-7.6)*(Q19/7)^0.5</f>
        <v>20.111149786477327</v>
      </c>
      <c r="AI19" s="444">
        <f ca="1">((AD19+J19+P19)*0.7+(AC19+J19+P19)*0.3)*(Q19/7)^0.5</f>
        <v>16.216397262603412</v>
      </c>
      <c r="AJ19" s="261">
        <f ca="1">(AD19+P19+(LOG(I19)*4/3))*(Q19/7)^0.5</f>
        <v>18.964407880947551</v>
      </c>
      <c r="AK19" s="261">
        <f ca="1">(AD19+P19+(LOG(I19)*4/3))*(IF(Q19=7,(Q19/7)^0.5,((Q19+1)/7)^0.5))</f>
        <v>20.774467972247443</v>
      </c>
      <c r="AL19" s="89">
        <f t="shared" ca="1" si="14"/>
        <v>2.4298184823444853</v>
      </c>
      <c r="AM19" s="138">
        <v>4</v>
      </c>
      <c r="AN19" s="138">
        <v>2</v>
      </c>
      <c r="AO19" s="154">
        <f>IF(AM19=4,IF(AN19=0,0.137+0.0697,0.137+0.02),IF(AM19=3,IF(AN19=0,0.0958+0.0697,0.0958+0.02),IF(AM19=2,IF(AN19=0,0.0415+0.0697,0.0415+0.02),IF(AM19=1,IF(AN19=0,0.0294+0.0697,0.0294+0.02),IF(AM19=0,IF(AN19=0,0.0063+0.0697,0.0063+0.02))))))</f>
        <v>0.157</v>
      </c>
      <c r="AP19" s="315">
        <v>146830</v>
      </c>
      <c r="AQ19" s="236">
        <v>3853</v>
      </c>
      <c r="AR19" s="110"/>
      <c r="AS19" s="112"/>
    </row>
    <row r="20" spans="1:45" x14ac:dyDescent="0.25">
      <c r="G20" s="3"/>
      <c r="H20"/>
      <c r="I20" s="57"/>
      <c r="J20" s="57"/>
      <c r="K20"/>
      <c r="T20" s="64">
        <f>SUM(T4:T19)</f>
        <v>2275230</v>
      </c>
      <c r="U20" s="64">
        <f>SUM(U4:U19)</f>
        <v>126380</v>
      </c>
      <c r="V20" s="64">
        <f>SUM(V4:V19)</f>
        <v>470188</v>
      </c>
      <c r="W20" s="88">
        <f t="shared" si="7"/>
        <v>4.8389793018962628</v>
      </c>
      <c r="X20"/>
      <c r="AD20" s="57"/>
      <c r="AE20" s="64"/>
      <c r="AH20" s="375"/>
      <c r="AI20" s="263"/>
      <c r="AJ20" s="263"/>
      <c r="AK20" s="263"/>
      <c r="AL20" s="263"/>
    </row>
    <row r="21" spans="1:45" x14ac:dyDescent="0.25">
      <c r="T21" s="87"/>
      <c r="U21" s="87"/>
      <c r="V21" s="87"/>
      <c r="W21" s="74"/>
      <c r="AE21" s="74"/>
      <c r="AH21" s="373"/>
      <c r="AI21" s="259"/>
      <c r="AJ21" s="259"/>
      <c r="AK21" s="259"/>
      <c r="AL21" s="259"/>
    </row>
    <row r="22" spans="1:45" x14ac:dyDescent="0.25">
      <c r="I22" s="71"/>
      <c r="Y22" s="47"/>
    </row>
    <row r="23" spans="1:45" x14ac:dyDescent="0.25">
      <c r="D23" s="193"/>
      <c r="I23" s="71"/>
      <c r="P23" s="48"/>
      <c r="Y23" s="47"/>
      <c r="AE23" s="226"/>
    </row>
    <row r="24" spans="1:45" x14ac:dyDescent="0.25">
      <c r="D24" s="193"/>
      <c r="I24" s="71"/>
      <c r="P24" s="48"/>
      <c r="V24" s="230"/>
      <c r="Y24" s="47"/>
    </row>
    <row r="25" spans="1:45" x14ac:dyDescent="0.25">
      <c r="D25" s="57"/>
      <c r="I25" s="71"/>
      <c r="V25" s="230"/>
      <c r="Y25" s="47"/>
    </row>
    <row r="26" spans="1:45" x14ac:dyDescent="0.25">
      <c r="I26" s="71"/>
      <c r="Y26" s="47"/>
    </row>
    <row r="27" spans="1:45" x14ac:dyDescent="0.25">
      <c r="I27" s="71"/>
      <c r="V27" s="230"/>
      <c r="Y27" s="47"/>
    </row>
    <row r="28" spans="1:45" x14ac:dyDescent="0.25">
      <c r="I28" s="71"/>
      <c r="Y28" s="47"/>
    </row>
    <row r="29" spans="1:45" x14ac:dyDescent="0.25">
      <c r="I29" s="71"/>
      <c r="Y29" s="47"/>
    </row>
    <row r="30" spans="1:45" x14ac:dyDescent="0.25">
      <c r="C30"/>
      <c r="D30"/>
      <c r="G30"/>
      <c r="H30"/>
      <c r="I30" s="71"/>
      <c r="K30"/>
      <c r="M30"/>
      <c r="N30"/>
      <c r="O30"/>
      <c r="P30"/>
      <c r="Q30"/>
      <c r="R30"/>
      <c r="S30"/>
      <c r="V30"/>
      <c r="W30"/>
      <c r="X30"/>
      <c r="AE30"/>
    </row>
    <row r="31" spans="1:45" x14ac:dyDescent="0.25">
      <c r="C31"/>
      <c r="D31"/>
      <c r="G31"/>
      <c r="H31"/>
      <c r="I31" s="71"/>
      <c r="K31"/>
      <c r="M31"/>
      <c r="N31"/>
      <c r="O31"/>
      <c r="P31"/>
      <c r="Q31"/>
      <c r="R31"/>
      <c r="S31"/>
      <c r="V31"/>
      <c r="W31"/>
      <c r="X31"/>
      <c r="AE31"/>
    </row>
    <row r="32" spans="1:45" x14ac:dyDescent="0.25">
      <c r="C32"/>
      <c r="D32"/>
      <c r="G32"/>
      <c r="H32"/>
      <c r="I32" s="71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1"/>
      <c r="K33"/>
      <c r="M33"/>
      <c r="N33"/>
      <c r="O33"/>
      <c r="P33"/>
      <c r="Q33"/>
      <c r="R33"/>
      <c r="S33"/>
      <c r="V33"/>
      <c r="W33"/>
      <c r="X33"/>
      <c r="AE33"/>
    </row>
  </sheetData>
  <mergeCells count="1">
    <mergeCell ref="E1:G1"/>
  </mergeCells>
  <conditionalFormatting sqref="AO4:AO19">
    <cfRule type="cellIs" dxfId="66" priority="46" operator="lessThan">
      <formula>0.07</formula>
    </cfRule>
  </conditionalFormatting>
  <conditionalFormatting sqref="AO4:AO19">
    <cfRule type="cellIs" dxfId="65" priority="47" operator="greaterThan">
      <formula>0.1</formula>
    </cfRule>
  </conditionalFormatting>
  <conditionalFormatting sqref="R4:S19">
    <cfRule type="cellIs" dxfId="64" priority="48" operator="greaterThan">
      <formula>0.95</formula>
    </cfRule>
  </conditionalFormatting>
  <conditionalFormatting sqref="R4:S19">
    <cfRule type="cellIs" dxfId="63" priority="49" operator="lessThan">
      <formula>0.85</formula>
    </cfRule>
  </conditionalFormatting>
  <conditionalFormatting sqref="Q4:Q19">
    <cfRule type="cellIs" dxfId="62" priority="50" operator="greaterThan">
      <formula>6</formula>
    </cfRule>
  </conditionalFormatting>
  <conditionalFormatting sqref="Q4:Q19">
    <cfRule type="cellIs" dxfId="61" priority="51" operator="lessThan">
      <formula>5</formula>
    </cfRule>
  </conditionalFormatting>
  <conditionalFormatting sqref="X4:AD19">
    <cfRule type="cellIs" dxfId="60" priority="19" operator="greaterThan">
      <formula>12</formula>
    </cfRule>
  </conditionalFormatting>
  <conditionalFormatting sqref="V4:V19">
    <cfRule type="dataBar" priority="6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19">
    <cfRule type="dataBar" priority="6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19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19">
    <cfRule type="dataBar" priority="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19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19">
    <cfRule type="dataBar" priority="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19">
    <cfRule type="dataBar" priority="6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C5:C19">
    <cfRule type="colorScale" priority="687">
      <colorScale>
        <cfvo type="min"/>
        <cfvo type="max"/>
        <color rgb="FFFCFCFF"/>
        <color rgb="FF63BE7B"/>
      </colorScale>
    </cfRule>
  </conditionalFormatting>
  <conditionalFormatting sqref="I5:I19">
    <cfRule type="colorScale" priority="689">
      <colorScale>
        <cfvo type="min"/>
        <cfvo type="max"/>
        <color rgb="FFFCFCFF"/>
        <color rgb="FFF8696B"/>
      </colorScale>
    </cfRule>
  </conditionalFormatting>
  <conditionalFormatting sqref="AF5:AG19">
    <cfRule type="colorScale" priority="691">
      <colorScale>
        <cfvo type="min"/>
        <cfvo type="max"/>
        <color rgb="FFFFEF9C"/>
        <color rgb="FF63BE7B"/>
      </colorScale>
    </cfRule>
  </conditionalFormatting>
  <conditionalFormatting sqref="AH5:AH19">
    <cfRule type="colorScale" priority="693">
      <colorScale>
        <cfvo type="min"/>
        <cfvo type="max"/>
        <color rgb="FFFCFCFF"/>
        <color rgb="FFF8696B"/>
      </colorScale>
    </cfRule>
  </conditionalFormatting>
  <conditionalFormatting sqref="AJ5:AK19">
    <cfRule type="colorScale" priority="695">
      <colorScale>
        <cfvo type="min"/>
        <cfvo type="max"/>
        <color rgb="FFFFEF9C"/>
        <color rgb="FF63BE7B"/>
      </colorScale>
    </cfRule>
  </conditionalFormatting>
  <conditionalFormatting sqref="X4:AC19">
    <cfRule type="colorScale" priority="697">
      <colorScale>
        <cfvo type="min"/>
        <cfvo type="max"/>
        <color rgb="FFFFEF9C"/>
        <color rgb="FF63BE7B"/>
      </colorScale>
    </cfRule>
  </conditionalFormatting>
  <conditionalFormatting sqref="AD4:AD19">
    <cfRule type="colorScale" priority="699">
      <colorScale>
        <cfvo type="min"/>
        <cfvo type="max"/>
        <color rgb="FFFCFCFF"/>
        <color rgb="FFF8696B"/>
      </colorScale>
    </cfRule>
  </conditionalFormatting>
  <conditionalFormatting sqref="AL4:AL19">
    <cfRule type="colorScale" priority="701">
      <colorScale>
        <cfvo type="min"/>
        <cfvo type="max"/>
        <color rgb="FFFCFCFF"/>
        <color rgb="FF63BE7B"/>
      </colorScale>
    </cfRule>
  </conditionalFormatting>
  <conditionalFormatting sqref="N5:N19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9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9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9">
    <cfRule type="colorScale" priority="711">
      <colorScale>
        <cfvo type="min"/>
        <cfvo type="max"/>
        <color rgb="FFFFEF9C"/>
        <color rgb="FF63BE7B"/>
      </colorScale>
    </cfRule>
  </conditionalFormatting>
  <conditionalFormatting sqref="AP4:AP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{922366D2-59BB-471F-9C8B-99774E6F643D}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W4:W19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AE4:AE19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U4:U19</xm:sqref>
        </x14:conditionalFormatting>
        <x14:conditionalFormatting xmlns:xm="http://schemas.microsoft.com/office/excel/2006/main">
          <x14:cfRule type="dataBar" id="{922366D2-59BB-471F-9C8B-99774E6F6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28" sqref="C28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6.14062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454" t="s">
        <v>161</v>
      </c>
      <c r="B1" s="454"/>
      <c r="C1" s="454"/>
      <c r="D1" s="455"/>
      <c r="E1" s="454"/>
      <c r="F1" s="455"/>
      <c r="G1" s="456"/>
      <c r="H1" s="455"/>
      <c r="I1" s="454"/>
      <c r="J1" s="454"/>
      <c r="K1" s="454"/>
      <c r="L1" s="454"/>
      <c r="M1" s="454"/>
      <c r="N1" s="454"/>
      <c r="O1" s="454"/>
      <c r="P1" s="454"/>
      <c r="Q1" s="454"/>
      <c r="R1" s="454"/>
      <c r="S1" s="454"/>
      <c r="T1" s="454"/>
      <c r="U1" s="454"/>
      <c r="V1" s="454"/>
      <c r="W1" s="455"/>
      <c r="X1" s="455"/>
      <c r="Y1" s="455"/>
      <c r="Z1" s="455"/>
      <c r="AA1" s="457"/>
      <c r="AB1" s="457"/>
      <c r="AC1" s="457"/>
      <c r="AD1" s="457"/>
      <c r="AE1" s="457"/>
      <c r="AF1" s="457"/>
      <c r="AG1" s="456"/>
    </row>
    <row r="2" spans="1:33" x14ac:dyDescent="0.25">
      <c r="A2" s="458" t="s">
        <v>84</v>
      </c>
      <c r="B2" s="458" t="s">
        <v>162</v>
      </c>
      <c r="C2" s="458" t="s">
        <v>86</v>
      </c>
      <c r="D2" s="459" t="s">
        <v>163</v>
      </c>
      <c r="E2" s="458" t="s">
        <v>164</v>
      </c>
      <c r="F2" s="459" t="s">
        <v>589</v>
      </c>
      <c r="G2" s="460" t="s">
        <v>590</v>
      </c>
      <c r="H2" s="459" t="s">
        <v>88</v>
      </c>
      <c r="I2" s="461" t="s">
        <v>14</v>
      </c>
      <c r="J2" s="461" t="s">
        <v>166</v>
      </c>
      <c r="K2" s="461" t="s">
        <v>37</v>
      </c>
      <c r="L2" s="461" t="s">
        <v>166</v>
      </c>
      <c r="M2" s="461" t="s">
        <v>167</v>
      </c>
      <c r="N2" s="461" t="s">
        <v>166</v>
      </c>
      <c r="O2" s="461" t="s">
        <v>168</v>
      </c>
      <c r="P2" s="461" t="s">
        <v>166</v>
      </c>
      <c r="Q2" s="461" t="s">
        <v>169</v>
      </c>
      <c r="R2" s="461" t="s">
        <v>166</v>
      </c>
      <c r="S2" s="461" t="s">
        <v>170</v>
      </c>
      <c r="T2" s="461" t="s">
        <v>166</v>
      </c>
      <c r="U2" s="461" t="s">
        <v>171</v>
      </c>
      <c r="V2" s="461" t="s">
        <v>166</v>
      </c>
      <c r="W2" s="462" t="s">
        <v>591</v>
      </c>
      <c r="X2" s="462" t="s">
        <v>156</v>
      </c>
      <c r="Y2" s="459" t="s">
        <v>172</v>
      </c>
      <c r="Z2" s="459" t="s">
        <v>171</v>
      </c>
      <c r="AA2" s="463" t="s">
        <v>14</v>
      </c>
      <c r="AB2" s="463" t="s">
        <v>37</v>
      </c>
      <c r="AC2" s="463" t="s">
        <v>16</v>
      </c>
      <c r="AD2" s="463" t="s">
        <v>122</v>
      </c>
      <c r="AE2" s="463" t="s">
        <v>30</v>
      </c>
      <c r="AF2" s="463" t="s">
        <v>21</v>
      </c>
      <c r="AG2" s="460" t="s">
        <v>592</v>
      </c>
    </row>
    <row r="3" spans="1:33" x14ac:dyDescent="0.25">
      <c r="A3" s="543" t="s">
        <v>656</v>
      </c>
      <c r="B3" s="464">
        <v>16</v>
      </c>
      <c r="C3" s="509">
        <f ca="1">+A33-3449</f>
        <v>281</v>
      </c>
      <c r="D3" s="466"/>
      <c r="E3" s="467">
        <f ca="1">F3-TODAY()</f>
        <v>-169</v>
      </c>
      <c r="F3" s="468">
        <v>44559</v>
      </c>
      <c r="G3" s="488" t="s">
        <v>593</v>
      </c>
      <c r="H3" s="470" t="s">
        <v>594</v>
      </c>
      <c r="I3" s="471"/>
      <c r="J3" s="471"/>
      <c r="K3" s="471">
        <v>3</v>
      </c>
      <c r="L3" s="471">
        <v>4.99</v>
      </c>
      <c r="M3" s="471">
        <v>2</v>
      </c>
      <c r="N3" s="471">
        <v>2.99</v>
      </c>
      <c r="O3" s="473">
        <v>3</v>
      </c>
      <c r="P3" s="471">
        <v>3.99</v>
      </c>
      <c r="Q3" s="471">
        <v>2</v>
      </c>
      <c r="R3" s="471">
        <v>2.99</v>
      </c>
      <c r="S3" s="471">
        <v>6</v>
      </c>
      <c r="T3" s="472">
        <v>7</v>
      </c>
      <c r="U3" s="471"/>
      <c r="V3" s="471"/>
      <c r="W3" s="474">
        <f>7-(COUNTBLANK(I3)+COUNTBLANK(K3)+COUNTBLANK(M3)+COUNTBLANK(O3)+COUNTBLANK(Q3)+COUNTBLANK(S3)+COUNTBLANK(U3))</f>
        <v>5</v>
      </c>
      <c r="X3" s="470">
        <f>COUNT(V3,R3,T3,P3,N3,L3,J3)</f>
        <v>5</v>
      </c>
      <c r="Y3" s="470"/>
      <c r="Z3" s="470"/>
      <c r="AA3" s="475"/>
      <c r="AB3" s="475">
        <v>3.5</v>
      </c>
      <c r="AC3" s="475">
        <v>4</v>
      </c>
      <c r="AD3" s="475">
        <v>3</v>
      </c>
      <c r="AE3" s="475">
        <v>4</v>
      </c>
      <c r="AF3" s="475">
        <v>6.5</v>
      </c>
      <c r="AG3" s="475"/>
    </row>
    <row r="4" spans="1:33" x14ac:dyDescent="0.25">
      <c r="A4" s="476" t="s">
        <v>595</v>
      </c>
      <c r="B4" s="476"/>
      <c r="C4" s="476"/>
      <c r="D4" s="477"/>
      <c r="E4" s="476"/>
      <c r="F4" s="477"/>
      <c r="G4" s="478"/>
      <c r="H4" s="477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76"/>
      <c r="W4" s="477"/>
      <c r="X4" s="477"/>
      <c r="Y4" s="477"/>
      <c r="Z4" s="477"/>
      <c r="AA4" s="479"/>
      <c r="AB4" s="479"/>
      <c r="AC4" s="479"/>
      <c r="AD4" s="479"/>
      <c r="AE4" s="479"/>
      <c r="AF4" s="479"/>
      <c r="AG4" s="478"/>
    </row>
    <row r="5" spans="1:33" x14ac:dyDescent="0.25">
      <c r="A5" s="480" t="s">
        <v>173</v>
      </c>
      <c r="B5" s="480"/>
      <c r="C5" s="480"/>
      <c r="D5" s="481"/>
      <c r="E5" s="480"/>
      <c r="F5" s="481"/>
      <c r="G5" s="482"/>
      <c r="H5" s="481"/>
      <c r="I5" s="480" t="s">
        <v>174</v>
      </c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  <c r="V5" s="480"/>
      <c r="W5" s="481"/>
      <c r="X5" s="481"/>
      <c r="Y5" s="481"/>
      <c r="Z5" s="481"/>
      <c r="AA5" s="483" t="s">
        <v>1</v>
      </c>
      <c r="AB5" s="483"/>
      <c r="AC5" s="483"/>
      <c r="AD5" s="483"/>
      <c r="AE5" s="483"/>
      <c r="AF5" s="483"/>
      <c r="AG5" s="482"/>
    </row>
    <row r="6" spans="1:33" x14ac:dyDescent="0.25">
      <c r="A6" s="484" t="s">
        <v>84</v>
      </c>
      <c r="B6" s="484" t="s">
        <v>162</v>
      </c>
      <c r="C6" s="484" t="s">
        <v>86</v>
      </c>
      <c r="D6" s="481" t="s">
        <v>163</v>
      </c>
      <c r="E6" s="484" t="s">
        <v>164</v>
      </c>
      <c r="F6" s="481" t="str">
        <f>F2</f>
        <v>Promoción</v>
      </c>
      <c r="G6" s="482" t="str">
        <f>G2</f>
        <v>Nivel</v>
      </c>
      <c r="H6" s="481" t="str">
        <f>H2</f>
        <v>Lid</v>
      </c>
      <c r="I6" s="461" t="s">
        <v>14</v>
      </c>
      <c r="J6" s="461" t="str">
        <f t="shared" ref="J6:Y6" si="0">J2</f>
        <v>Pot</v>
      </c>
      <c r="K6" s="461" t="str">
        <f t="shared" si="0"/>
        <v>DEF</v>
      </c>
      <c r="L6" s="461" t="str">
        <f t="shared" si="0"/>
        <v>Pot</v>
      </c>
      <c r="M6" s="461" t="str">
        <f t="shared" si="0"/>
        <v>JUG</v>
      </c>
      <c r="N6" s="461" t="str">
        <f t="shared" si="0"/>
        <v>Pot</v>
      </c>
      <c r="O6" s="461" t="str">
        <f t="shared" si="0"/>
        <v>LAT</v>
      </c>
      <c r="P6" s="461" t="str">
        <f t="shared" si="0"/>
        <v>Pot</v>
      </c>
      <c r="Q6" s="461" t="str">
        <f t="shared" si="0"/>
        <v>PAS</v>
      </c>
      <c r="R6" s="461" t="str">
        <f t="shared" si="0"/>
        <v>Pot</v>
      </c>
      <c r="S6" s="461" t="str">
        <f t="shared" si="0"/>
        <v>ANO</v>
      </c>
      <c r="T6" s="461" t="str">
        <f t="shared" si="0"/>
        <v>Pot</v>
      </c>
      <c r="U6" s="461" t="str">
        <f t="shared" si="0"/>
        <v>BP</v>
      </c>
      <c r="V6" s="461" t="str">
        <f t="shared" si="0"/>
        <v>Pot</v>
      </c>
      <c r="W6" s="485" t="str">
        <f t="shared" si="0"/>
        <v>HAB</v>
      </c>
      <c r="X6" s="485" t="str">
        <f t="shared" si="0"/>
        <v>POT</v>
      </c>
      <c r="Y6" s="481" t="str">
        <f t="shared" si="0"/>
        <v>Cap</v>
      </c>
      <c r="Z6" s="481" t="s">
        <v>171</v>
      </c>
      <c r="AA6" s="486" t="str">
        <f t="shared" ref="AA6:AG6" si="1">AA2</f>
        <v>POR</v>
      </c>
      <c r="AB6" s="486" t="str">
        <f t="shared" si="1"/>
        <v>DEF</v>
      </c>
      <c r="AC6" s="486" t="str">
        <f t="shared" si="1"/>
        <v>DL</v>
      </c>
      <c r="AD6" s="486" t="str">
        <f t="shared" si="1"/>
        <v>INN</v>
      </c>
      <c r="AE6" s="486" t="str">
        <f t="shared" si="1"/>
        <v>EXT</v>
      </c>
      <c r="AF6" s="486" t="str">
        <f t="shared" si="1"/>
        <v>DAV</v>
      </c>
      <c r="AG6" s="482" t="str">
        <f t="shared" si="1"/>
        <v>Atributs</v>
      </c>
    </row>
    <row r="7" spans="1:33" x14ac:dyDescent="0.25">
      <c r="A7" s="543" t="s">
        <v>647</v>
      </c>
      <c r="B7" s="464">
        <v>16</v>
      </c>
      <c r="C7" s="465">
        <f ca="1">+A33-3410-112</f>
        <v>208</v>
      </c>
      <c r="D7" s="466"/>
      <c r="E7" s="467">
        <f ca="1">F7-TODAY()</f>
        <v>-96</v>
      </c>
      <c r="F7" s="468">
        <v>44632</v>
      </c>
      <c r="G7" s="469">
        <v>4</v>
      </c>
      <c r="H7" s="470" t="s">
        <v>594</v>
      </c>
      <c r="I7" s="471"/>
      <c r="J7" s="472"/>
      <c r="K7" s="471">
        <v>3</v>
      </c>
      <c r="L7" s="472">
        <v>5.99</v>
      </c>
      <c r="M7" s="473">
        <v>4</v>
      </c>
      <c r="N7" s="472">
        <v>5.99</v>
      </c>
      <c r="O7" s="473">
        <v>3</v>
      </c>
      <c r="P7" s="472">
        <v>3.99</v>
      </c>
      <c r="Q7" s="473">
        <v>2</v>
      </c>
      <c r="R7" s="472">
        <v>2.99</v>
      </c>
      <c r="S7" s="471"/>
      <c r="T7" s="472"/>
      <c r="U7" s="471"/>
      <c r="V7" s="472"/>
      <c r="W7" s="474">
        <f>7-(COUNTBLANK(I7)+COUNTBLANK(K7)+COUNTBLANK(M7)+COUNTBLANK(O7)+COUNTBLANK(Q7)+COUNTBLANK(S7)+COUNTBLANK(U7))</f>
        <v>4</v>
      </c>
      <c r="X7" s="470">
        <f>COUNT(V7,R7,T7,P7,N7,L7,J7)</f>
        <v>4</v>
      </c>
      <c r="Y7" s="470"/>
      <c r="Z7" s="470"/>
      <c r="AA7" s="475"/>
      <c r="AB7" s="475"/>
      <c r="AC7" s="475">
        <v>4.5</v>
      </c>
      <c r="AD7" s="475">
        <v>5</v>
      </c>
      <c r="AE7" s="475">
        <v>5</v>
      </c>
      <c r="AF7" s="475"/>
      <c r="AG7" s="475"/>
    </row>
    <row r="8" spans="1:33" x14ac:dyDescent="0.25">
      <c r="A8" s="543" t="s">
        <v>646</v>
      </c>
      <c r="B8" s="464">
        <v>16</v>
      </c>
      <c r="C8" s="465">
        <f ca="1">+A33-3442</f>
        <v>288</v>
      </c>
      <c r="D8" s="466"/>
      <c r="E8" s="467">
        <f ca="1">F8-TODAY()</f>
        <v>-116</v>
      </c>
      <c r="F8" s="468">
        <v>44612</v>
      </c>
      <c r="G8" s="469" t="s">
        <v>594</v>
      </c>
      <c r="H8" s="470" t="s">
        <v>594</v>
      </c>
      <c r="I8" s="471"/>
      <c r="J8" s="471">
        <v>1.99</v>
      </c>
      <c r="K8" s="473"/>
      <c r="L8" s="472">
        <v>6.99</v>
      </c>
      <c r="M8" s="473">
        <v>4</v>
      </c>
      <c r="N8" s="472">
        <v>5.99</v>
      </c>
      <c r="O8" s="471"/>
      <c r="P8" s="472">
        <v>2.99</v>
      </c>
      <c r="Q8" s="473"/>
      <c r="R8" s="472">
        <v>6.99</v>
      </c>
      <c r="S8" s="471"/>
      <c r="T8" s="472"/>
      <c r="U8" s="471"/>
      <c r="V8" s="472"/>
      <c r="W8" s="474">
        <f>7-(COUNTBLANK(I8)+COUNTBLANK(K8)+COUNTBLANK(M8)+COUNTBLANK(O8)+COUNTBLANK(Q8)+COUNTBLANK(S8)+COUNTBLANK(U8))</f>
        <v>1</v>
      </c>
      <c r="X8" s="470">
        <f>COUNT(V8,R8,T8,P8,N8,L8,J8)</f>
        <v>5</v>
      </c>
      <c r="Y8" s="470"/>
      <c r="Z8" s="470"/>
      <c r="AA8" s="475"/>
      <c r="AB8" s="475"/>
      <c r="AC8" s="475"/>
      <c r="AD8" s="475">
        <v>6.5</v>
      </c>
      <c r="AE8" s="475">
        <v>5</v>
      </c>
      <c r="AF8" s="475"/>
      <c r="AG8" s="475"/>
    </row>
    <row r="9" spans="1:33" x14ac:dyDescent="0.25">
      <c r="A9" s="489" t="s">
        <v>596</v>
      </c>
      <c r="B9" s="489"/>
      <c r="C9" s="489"/>
      <c r="D9" s="490"/>
      <c r="E9" s="489"/>
      <c r="F9" s="490"/>
      <c r="G9" s="491"/>
      <c r="H9" s="490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0"/>
      <c r="X9" s="490"/>
      <c r="Y9" s="490"/>
      <c r="Z9" s="490"/>
      <c r="AA9" s="493"/>
      <c r="AB9" s="493"/>
      <c r="AC9" s="493"/>
      <c r="AD9" s="493"/>
      <c r="AE9" s="493"/>
      <c r="AF9" s="493"/>
      <c r="AG9" s="491"/>
    </row>
    <row r="10" spans="1:33" x14ac:dyDescent="0.25">
      <c r="A10" s="494" t="s">
        <v>173</v>
      </c>
      <c r="B10" s="494"/>
      <c r="C10" s="494"/>
      <c r="D10" s="495"/>
      <c r="E10" s="494"/>
      <c r="F10" s="495"/>
      <c r="G10" s="496"/>
      <c r="H10" s="495"/>
      <c r="I10" s="494" t="s">
        <v>174</v>
      </c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5"/>
      <c r="X10" s="495"/>
      <c r="Y10" s="495"/>
      <c r="Z10" s="495"/>
      <c r="AA10" s="497" t="s">
        <v>1</v>
      </c>
      <c r="AB10" s="497"/>
      <c r="AC10" s="497"/>
      <c r="AD10" s="497"/>
      <c r="AE10" s="497"/>
      <c r="AF10" s="497"/>
      <c r="AG10" s="496"/>
    </row>
    <row r="11" spans="1:33" x14ac:dyDescent="0.25">
      <c r="A11" s="498" t="s">
        <v>84</v>
      </c>
      <c r="B11" s="498" t="s">
        <v>162</v>
      </c>
      <c r="C11" s="498" t="s">
        <v>86</v>
      </c>
      <c r="D11" s="495" t="s">
        <v>163</v>
      </c>
      <c r="E11" s="498" t="s">
        <v>164</v>
      </c>
      <c r="F11" s="495" t="str">
        <f>F6</f>
        <v>Promoción</v>
      </c>
      <c r="G11" s="496" t="str">
        <f>G6</f>
        <v>Nivel</v>
      </c>
      <c r="H11" s="495" t="str">
        <f>H6</f>
        <v>Lid</v>
      </c>
      <c r="I11" s="461" t="s">
        <v>14</v>
      </c>
      <c r="J11" s="461" t="str">
        <f t="shared" ref="J11:Y11" si="2">J6</f>
        <v>Pot</v>
      </c>
      <c r="K11" s="461" t="str">
        <f t="shared" si="2"/>
        <v>DEF</v>
      </c>
      <c r="L11" s="461" t="str">
        <f t="shared" si="2"/>
        <v>Pot</v>
      </c>
      <c r="M11" s="461" t="str">
        <f t="shared" si="2"/>
        <v>JUG</v>
      </c>
      <c r="N11" s="461" t="str">
        <f t="shared" si="2"/>
        <v>Pot</v>
      </c>
      <c r="O11" s="461" t="str">
        <f t="shared" si="2"/>
        <v>LAT</v>
      </c>
      <c r="P11" s="461" t="str">
        <f t="shared" si="2"/>
        <v>Pot</v>
      </c>
      <c r="Q11" s="461" t="str">
        <f t="shared" si="2"/>
        <v>PAS</v>
      </c>
      <c r="R11" s="461" t="str">
        <f t="shared" si="2"/>
        <v>Pot</v>
      </c>
      <c r="S11" s="461" t="str">
        <f t="shared" si="2"/>
        <v>ANO</v>
      </c>
      <c r="T11" s="461" t="str">
        <f t="shared" si="2"/>
        <v>Pot</v>
      </c>
      <c r="U11" s="461" t="str">
        <f t="shared" si="2"/>
        <v>BP</v>
      </c>
      <c r="V11" s="461" t="str">
        <f t="shared" si="2"/>
        <v>Pot</v>
      </c>
      <c r="W11" s="499" t="str">
        <f t="shared" si="2"/>
        <v>HAB</v>
      </c>
      <c r="X11" s="499" t="str">
        <f t="shared" si="2"/>
        <v>POT</v>
      </c>
      <c r="Y11" s="495" t="str">
        <f t="shared" si="2"/>
        <v>Cap</v>
      </c>
      <c r="Z11" s="495" t="s">
        <v>171</v>
      </c>
      <c r="AA11" s="500" t="str">
        <f t="shared" ref="AA11:AG11" si="3">AA6</f>
        <v>POR</v>
      </c>
      <c r="AB11" s="500" t="str">
        <f t="shared" si="3"/>
        <v>DEF</v>
      </c>
      <c r="AC11" s="500" t="str">
        <f t="shared" si="3"/>
        <v>DL</v>
      </c>
      <c r="AD11" s="500" t="str">
        <f t="shared" si="3"/>
        <v>INN</v>
      </c>
      <c r="AE11" s="500" t="str">
        <f t="shared" si="3"/>
        <v>EXT</v>
      </c>
      <c r="AF11" s="500" t="str">
        <f t="shared" si="3"/>
        <v>DAV</v>
      </c>
      <c r="AG11" s="496" t="str">
        <f t="shared" si="3"/>
        <v>Atributs</v>
      </c>
    </row>
    <row r="12" spans="1:33" x14ac:dyDescent="0.25">
      <c r="A12" s="543" t="s">
        <v>650</v>
      </c>
      <c r="B12" s="464">
        <v>17</v>
      </c>
      <c r="C12" s="465">
        <f ca="1">+A33-3409-112</f>
        <v>209</v>
      </c>
      <c r="D12" s="466"/>
      <c r="E12" s="467">
        <f ca="1">F12-TODAY()</f>
        <v>-122</v>
      </c>
      <c r="F12" s="468">
        <v>44606</v>
      </c>
      <c r="G12" s="469">
        <v>4</v>
      </c>
      <c r="H12" s="470" t="s">
        <v>594</v>
      </c>
      <c r="I12" s="471"/>
      <c r="J12" s="472"/>
      <c r="K12" s="471">
        <v>4</v>
      </c>
      <c r="L12" s="472">
        <v>5.99</v>
      </c>
      <c r="M12" s="473">
        <v>5</v>
      </c>
      <c r="N12" s="472">
        <v>5.99</v>
      </c>
      <c r="O12" s="471"/>
      <c r="P12" s="472">
        <v>2.99</v>
      </c>
      <c r="Q12" s="473"/>
      <c r="R12" s="472">
        <v>3.99</v>
      </c>
      <c r="S12" s="473">
        <v>3</v>
      </c>
      <c r="T12" s="472"/>
      <c r="U12" s="471"/>
      <c r="V12" s="472"/>
      <c r="W12" s="474">
        <f>7-(COUNTBLANK(I12)+COUNTBLANK(K12)+COUNTBLANK(M12)+COUNTBLANK(O12)+COUNTBLANK(Q12)+COUNTBLANK(S12)+COUNTBLANK(U12))</f>
        <v>3</v>
      </c>
      <c r="X12" s="470">
        <f>COUNT(V12,R12,T12,P12,N12,L12,J12)</f>
        <v>4</v>
      </c>
      <c r="Y12" s="470"/>
      <c r="Z12" s="470"/>
      <c r="AA12" s="475"/>
      <c r="AB12" s="475">
        <v>4.5</v>
      </c>
      <c r="AC12" s="475"/>
      <c r="AD12" s="475">
        <v>6</v>
      </c>
      <c r="AE12" s="475">
        <v>5</v>
      </c>
      <c r="AF12" s="475"/>
      <c r="AG12" s="475"/>
    </row>
    <row r="13" spans="1:33" x14ac:dyDescent="0.25">
      <c r="A13" s="543" t="s">
        <v>653</v>
      </c>
      <c r="B13" s="464">
        <v>16</v>
      </c>
      <c r="C13" s="465">
        <f ca="1">+A33-3244-201</f>
        <v>285</v>
      </c>
      <c r="D13" s="466"/>
      <c r="E13" s="467">
        <f ca="1">F13-TODAY()</f>
        <v>-109</v>
      </c>
      <c r="F13" s="468">
        <v>44619</v>
      </c>
      <c r="G13" s="469" t="s">
        <v>594</v>
      </c>
      <c r="H13" s="470" t="s">
        <v>594</v>
      </c>
      <c r="I13" s="471"/>
      <c r="J13" s="471"/>
      <c r="K13" s="471">
        <v>1</v>
      </c>
      <c r="L13" s="471">
        <v>1.99</v>
      </c>
      <c r="M13" s="471">
        <v>2</v>
      </c>
      <c r="N13" s="471"/>
      <c r="O13" s="471"/>
      <c r="P13" s="471">
        <v>6.99</v>
      </c>
      <c r="Q13" s="471">
        <v>3</v>
      </c>
      <c r="R13" s="471"/>
      <c r="S13" s="473"/>
      <c r="T13" s="472">
        <v>3.99</v>
      </c>
      <c r="U13" s="471"/>
      <c r="V13" s="472"/>
      <c r="W13" s="474">
        <f>7-(COUNTBLANK(I13)+COUNTBLANK(K13)+COUNTBLANK(M13)+COUNTBLANK(O13)+COUNTBLANK(Q13)+COUNTBLANK(S13)+COUNTBLANK(U13))</f>
        <v>3</v>
      </c>
      <c r="X13" s="470">
        <f>COUNT(V13,R13,T13,P13,N13,L13,J13)</f>
        <v>3</v>
      </c>
      <c r="Y13" s="470"/>
      <c r="Z13" s="470"/>
      <c r="AA13" s="475"/>
      <c r="AB13" s="475"/>
      <c r="AC13" s="475"/>
      <c r="AD13" s="475"/>
      <c r="AE13" s="475"/>
      <c r="AF13" s="475"/>
      <c r="AG13" s="475"/>
    </row>
    <row r="14" spans="1:33" x14ac:dyDescent="0.25">
      <c r="A14" s="543" t="s">
        <v>648</v>
      </c>
      <c r="B14" s="464">
        <v>17</v>
      </c>
      <c r="C14" s="465">
        <f ca="1">+A33-3502</f>
        <v>228</v>
      </c>
      <c r="D14" s="466"/>
      <c r="E14" s="467">
        <f ca="1">F14-TODAY()</f>
        <v>-144</v>
      </c>
      <c r="F14" s="468">
        <v>44584</v>
      </c>
      <c r="G14" s="469" t="s">
        <v>594</v>
      </c>
      <c r="H14" s="470" t="s">
        <v>594</v>
      </c>
      <c r="I14" s="471"/>
      <c r="J14" s="472">
        <v>1.99</v>
      </c>
      <c r="K14" s="471"/>
      <c r="L14" s="472">
        <v>2.99</v>
      </c>
      <c r="M14" s="473"/>
      <c r="N14" s="472">
        <v>2.99</v>
      </c>
      <c r="O14" s="473"/>
      <c r="P14" s="472">
        <v>3.99</v>
      </c>
      <c r="Q14" s="473">
        <v>5</v>
      </c>
      <c r="R14" s="472">
        <v>6.99</v>
      </c>
      <c r="S14" s="471">
        <v>4</v>
      </c>
      <c r="T14" s="472">
        <v>5.99</v>
      </c>
      <c r="U14" s="471"/>
      <c r="V14" s="471"/>
      <c r="W14" s="474">
        <f>7-(COUNTBLANK(I14)+COUNTBLANK(K14)+COUNTBLANK(M14)+COUNTBLANK(O14)+COUNTBLANK(Q14)+COUNTBLANK(S14)+COUNTBLANK(U14))</f>
        <v>2</v>
      </c>
      <c r="X14" s="470">
        <f>COUNT(V14,R14,T14,P14,N14,L14,J14)</f>
        <v>6</v>
      </c>
      <c r="Y14" s="470"/>
      <c r="Z14" s="470"/>
      <c r="AA14" s="475"/>
      <c r="AB14" s="475"/>
      <c r="AC14" s="475"/>
      <c r="AD14" s="475"/>
      <c r="AE14" s="475">
        <v>3.5</v>
      </c>
      <c r="AF14" s="475">
        <v>6.5</v>
      </c>
      <c r="AG14" s="475"/>
    </row>
    <row r="15" spans="1:33" x14ac:dyDescent="0.25">
      <c r="A15" s="543" t="s">
        <v>649</v>
      </c>
      <c r="B15" s="464">
        <v>17</v>
      </c>
      <c r="C15" s="465">
        <f ca="1">+A33-3434</f>
        <v>296</v>
      </c>
      <c r="D15" s="466" t="s">
        <v>138</v>
      </c>
      <c r="E15" s="467">
        <f ca="1">F15-TODAY()</f>
        <v>-221</v>
      </c>
      <c r="F15" s="468">
        <v>44507</v>
      </c>
      <c r="G15" s="469" t="s">
        <v>594</v>
      </c>
      <c r="H15" s="470" t="s">
        <v>594</v>
      </c>
      <c r="I15" s="471"/>
      <c r="J15" s="472"/>
      <c r="K15" s="471">
        <v>4</v>
      </c>
      <c r="L15" s="472">
        <v>6.99</v>
      </c>
      <c r="M15" s="473">
        <v>4</v>
      </c>
      <c r="N15" s="472">
        <v>4.99</v>
      </c>
      <c r="O15" s="471">
        <v>4</v>
      </c>
      <c r="P15" s="472">
        <v>4.99</v>
      </c>
      <c r="Q15" s="473">
        <v>5</v>
      </c>
      <c r="R15" s="472">
        <v>5.99</v>
      </c>
      <c r="S15" s="473">
        <v>3</v>
      </c>
      <c r="T15" s="472">
        <v>3.99</v>
      </c>
      <c r="U15" s="471"/>
      <c r="V15" s="472">
        <v>4.99</v>
      </c>
      <c r="W15" s="474">
        <f>7-(COUNTBLANK(I15)+COUNTBLANK(K15)+COUNTBLANK(M15)+COUNTBLANK(O15)+COUNTBLANK(Q15)+COUNTBLANK(S15)+COUNTBLANK(U15))</f>
        <v>5</v>
      </c>
      <c r="X15" s="470">
        <f>COUNT(V15,R15,T15,P15,N15,L15,J15)</f>
        <v>6</v>
      </c>
      <c r="Y15" s="470"/>
      <c r="Z15" s="470"/>
      <c r="AA15" s="475"/>
      <c r="AB15" s="475">
        <v>5</v>
      </c>
      <c r="AC15" s="475">
        <v>5</v>
      </c>
      <c r="AD15" s="475">
        <v>5.5</v>
      </c>
      <c r="AE15" s="475">
        <v>5.5</v>
      </c>
      <c r="AF15" s="475">
        <v>5</v>
      </c>
      <c r="AG15" s="475"/>
    </row>
    <row r="16" spans="1:33" x14ac:dyDescent="0.25">
      <c r="A16" s="543" t="s">
        <v>597</v>
      </c>
      <c r="B16" s="464">
        <v>18</v>
      </c>
      <c r="C16" s="465">
        <f ca="1">+A33-3280-112-112</f>
        <v>226</v>
      </c>
      <c r="D16" s="466"/>
      <c r="E16" s="467">
        <f t="shared" ref="E16" ca="1" si="4">F16-TODAY()</f>
        <v>-338</v>
      </c>
      <c r="F16" s="468">
        <v>44390</v>
      </c>
      <c r="G16" s="469" t="s">
        <v>594</v>
      </c>
      <c r="H16" s="470" t="s">
        <v>594</v>
      </c>
      <c r="I16" s="471"/>
      <c r="J16" s="471"/>
      <c r="K16" s="471">
        <v>2</v>
      </c>
      <c r="L16" s="472">
        <v>2.99</v>
      </c>
      <c r="M16" s="471">
        <v>3</v>
      </c>
      <c r="N16" s="472">
        <v>3.99</v>
      </c>
      <c r="O16" s="473">
        <v>5</v>
      </c>
      <c r="P16" s="472">
        <v>6.99</v>
      </c>
      <c r="Q16" s="473">
        <v>3</v>
      </c>
      <c r="R16" s="472">
        <v>3.99</v>
      </c>
      <c r="S16" s="473">
        <v>3</v>
      </c>
      <c r="T16" s="472">
        <v>3.99</v>
      </c>
      <c r="U16" s="471"/>
      <c r="V16" s="471"/>
      <c r="W16" s="474">
        <f t="shared" ref="W16" si="5">7-(COUNTBLANK(I16)+COUNTBLANK(K16)+COUNTBLANK(M16)+COUNTBLANK(O16)+COUNTBLANK(Q16)+COUNTBLANK(S16)+COUNTBLANK(U16))</f>
        <v>5</v>
      </c>
      <c r="X16" s="470">
        <f t="shared" ref="X16" si="6">COUNT(V16,R16,T16,P16,N16,L16,J16)</f>
        <v>5</v>
      </c>
      <c r="Y16" s="470"/>
      <c r="Z16" s="470"/>
      <c r="AA16" s="475"/>
      <c r="AB16" s="475">
        <v>2.5</v>
      </c>
      <c r="AC16" s="475">
        <v>4</v>
      </c>
      <c r="AD16" s="475">
        <v>4</v>
      </c>
      <c r="AE16" s="475">
        <v>5</v>
      </c>
      <c r="AF16" s="475">
        <v>5.5</v>
      </c>
      <c r="AG16" s="475"/>
    </row>
    <row r="17" spans="1:33" x14ac:dyDescent="0.25">
      <c r="A17" s="543" t="s">
        <v>657</v>
      </c>
      <c r="B17" s="464">
        <v>17</v>
      </c>
      <c r="C17" s="509">
        <f ca="1">+A33-3289-186</f>
        <v>255</v>
      </c>
      <c r="D17" s="466"/>
      <c r="E17" s="467">
        <f t="shared" ref="E17" ca="1" si="7">F17-TODAY()</f>
        <v>-165</v>
      </c>
      <c r="F17" s="468">
        <v>44563</v>
      </c>
      <c r="G17" s="508" t="s">
        <v>594</v>
      </c>
      <c r="H17" s="470" t="s">
        <v>594</v>
      </c>
      <c r="I17" s="471"/>
      <c r="J17" s="471">
        <v>1.99</v>
      </c>
      <c r="K17" s="471"/>
      <c r="L17" s="471">
        <v>5.99</v>
      </c>
      <c r="M17" s="471">
        <v>2</v>
      </c>
      <c r="N17" s="471"/>
      <c r="O17" s="471"/>
      <c r="P17" s="471"/>
      <c r="Q17" s="471"/>
      <c r="R17" s="471">
        <v>1.99</v>
      </c>
      <c r="S17" s="471">
        <v>2</v>
      </c>
      <c r="T17" s="471">
        <v>2.99</v>
      </c>
      <c r="U17" s="471"/>
      <c r="V17" s="471"/>
      <c r="W17" s="474">
        <f t="shared" ref="W17" si="8">7-(COUNTBLANK(I17)+COUNTBLANK(K17)+COUNTBLANK(M17)+COUNTBLANK(O17)+COUNTBLANK(Q17)+COUNTBLANK(S17)+COUNTBLANK(U17))</f>
        <v>2</v>
      </c>
      <c r="X17" s="470">
        <f t="shared" ref="X17" si="9">COUNT(V17,R17,T17,P17,N17,L17,J17)</f>
        <v>4</v>
      </c>
      <c r="Y17" s="470"/>
      <c r="Z17" s="470"/>
      <c r="AA17" s="475"/>
      <c r="AB17" s="475">
        <v>4</v>
      </c>
      <c r="AC17" s="475">
        <v>4.5</v>
      </c>
      <c r="AD17" s="475">
        <v>3</v>
      </c>
      <c r="AE17" s="475">
        <v>4.5</v>
      </c>
      <c r="AF17" s="475"/>
      <c r="AG17" s="475"/>
    </row>
    <row r="18" spans="1:33" x14ac:dyDescent="0.25">
      <c r="A18" s="501" t="s">
        <v>173</v>
      </c>
      <c r="B18" s="501"/>
      <c r="C18" s="501"/>
      <c r="D18" s="502"/>
      <c r="E18" s="501"/>
      <c r="F18" s="502"/>
      <c r="G18" s="503"/>
      <c r="H18" s="502"/>
      <c r="I18" s="501" t="s">
        <v>174</v>
      </c>
      <c r="J18" s="501"/>
      <c r="K18" s="501"/>
      <c r="L18" s="501"/>
      <c r="M18" s="501"/>
      <c r="N18" s="501"/>
      <c r="O18" s="501"/>
      <c r="P18" s="501"/>
      <c r="Q18" s="501"/>
      <c r="R18" s="501"/>
      <c r="S18" s="501"/>
      <c r="T18" s="501"/>
      <c r="U18" s="501"/>
      <c r="V18" s="501"/>
      <c r="W18" s="502"/>
      <c r="X18" s="502"/>
      <c r="Y18" s="502"/>
      <c r="Z18" s="502"/>
      <c r="AA18" s="504" t="s">
        <v>1</v>
      </c>
      <c r="AB18" s="504"/>
      <c r="AC18" s="504"/>
      <c r="AD18" s="504"/>
      <c r="AE18" s="504"/>
      <c r="AF18" s="504"/>
      <c r="AG18" s="503"/>
    </row>
    <row r="19" spans="1:33" x14ac:dyDescent="0.25">
      <c r="A19" s="505" t="s">
        <v>84</v>
      </c>
      <c r="B19" s="505" t="s">
        <v>162</v>
      </c>
      <c r="C19" s="505" t="s">
        <v>86</v>
      </c>
      <c r="D19" s="502" t="s">
        <v>163</v>
      </c>
      <c r="E19" s="505" t="s">
        <v>164</v>
      </c>
      <c r="F19" s="502" t="str">
        <f>F11</f>
        <v>Promoción</v>
      </c>
      <c r="G19" s="503" t="str">
        <f>G11</f>
        <v>Nivel</v>
      </c>
      <c r="H19" s="502" t="str">
        <f>H11</f>
        <v>Lid</v>
      </c>
      <c r="I19" s="461" t="s">
        <v>14</v>
      </c>
      <c r="J19" s="461" t="str">
        <f t="shared" ref="J19:Y19" si="10">J11</f>
        <v>Pot</v>
      </c>
      <c r="K19" s="461" t="str">
        <f t="shared" si="10"/>
        <v>DEF</v>
      </c>
      <c r="L19" s="461" t="str">
        <f t="shared" si="10"/>
        <v>Pot</v>
      </c>
      <c r="M19" s="461" t="str">
        <f t="shared" si="10"/>
        <v>JUG</v>
      </c>
      <c r="N19" s="461" t="str">
        <f t="shared" si="10"/>
        <v>Pot</v>
      </c>
      <c r="O19" s="461" t="str">
        <f t="shared" si="10"/>
        <v>LAT</v>
      </c>
      <c r="P19" s="461" t="str">
        <f t="shared" si="10"/>
        <v>Pot</v>
      </c>
      <c r="Q19" s="461" t="str">
        <f t="shared" si="10"/>
        <v>PAS</v>
      </c>
      <c r="R19" s="461" t="str">
        <f t="shared" si="10"/>
        <v>Pot</v>
      </c>
      <c r="S19" s="461" t="str">
        <f t="shared" si="10"/>
        <v>ANO</v>
      </c>
      <c r="T19" s="461" t="str">
        <f t="shared" si="10"/>
        <v>Pot</v>
      </c>
      <c r="U19" s="461" t="str">
        <f t="shared" si="10"/>
        <v>BP</v>
      </c>
      <c r="V19" s="461" t="str">
        <f t="shared" si="10"/>
        <v>Pot</v>
      </c>
      <c r="W19" s="506" t="str">
        <f t="shared" si="10"/>
        <v>HAB</v>
      </c>
      <c r="X19" s="506" t="str">
        <f t="shared" si="10"/>
        <v>POT</v>
      </c>
      <c r="Y19" s="502" t="str">
        <f t="shared" si="10"/>
        <v>Cap</v>
      </c>
      <c r="Z19" s="502" t="s">
        <v>171</v>
      </c>
      <c r="AA19" s="507" t="str">
        <f t="shared" ref="AA19:AG19" si="11">AA11</f>
        <v>POR</v>
      </c>
      <c r="AB19" s="507" t="str">
        <f t="shared" si="11"/>
        <v>DEF</v>
      </c>
      <c r="AC19" s="507" t="str">
        <f t="shared" si="11"/>
        <v>DL</v>
      </c>
      <c r="AD19" s="507" t="str">
        <f t="shared" si="11"/>
        <v>INN</v>
      </c>
      <c r="AE19" s="507" t="str">
        <f t="shared" si="11"/>
        <v>EXT</v>
      </c>
      <c r="AF19" s="507" t="str">
        <f t="shared" si="11"/>
        <v>DAV</v>
      </c>
      <c r="AG19" s="503" t="str">
        <f t="shared" si="11"/>
        <v>Atributs</v>
      </c>
    </row>
    <row r="20" spans="1:33" x14ac:dyDescent="0.25">
      <c r="A20" s="543" t="s">
        <v>662</v>
      </c>
      <c r="B20" s="464">
        <v>15</v>
      </c>
      <c r="C20" s="465">
        <f ca="1">+A33-3447</f>
        <v>283</v>
      </c>
      <c r="D20" s="466"/>
      <c r="E20" s="467">
        <f ca="1">F20-TODAY()</f>
        <v>-59</v>
      </c>
      <c r="F20" s="468">
        <v>44669</v>
      </c>
      <c r="G20" s="469" t="s">
        <v>594</v>
      </c>
      <c r="H20" s="470" t="s">
        <v>594</v>
      </c>
      <c r="I20" s="471"/>
      <c r="J20" s="472"/>
      <c r="K20" s="471"/>
      <c r="L20" s="472">
        <v>3.99</v>
      </c>
      <c r="M20" s="473"/>
      <c r="N20" s="472"/>
      <c r="O20" s="473"/>
      <c r="P20" s="472"/>
      <c r="Q20" s="473">
        <v>3</v>
      </c>
      <c r="R20" s="472"/>
      <c r="S20" s="473"/>
      <c r="T20" s="472"/>
      <c r="U20" s="471"/>
      <c r="V20" s="471"/>
      <c r="W20" s="474">
        <f>7-(COUNTBLANK(I20)+COUNTBLANK(K20)+COUNTBLANK(M20)+COUNTBLANK(O20)+COUNTBLANK(Q20)+COUNTBLANK(S20)+COUNTBLANK(U20))</f>
        <v>1</v>
      </c>
      <c r="X20" s="470">
        <f>COUNT(V20,R20,T20,P20,N20,L20,J20)</f>
        <v>1</v>
      </c>
      <c r="Y20" s="470"/>
      <c r="Z20" s="470"/>
      <c r="AA20" s="475"/>
      <c r="AB20" s="475"/>
      <c r="AC20" s="475"/>
      <c r="AD20" s="475"/>
      <c r="AE20" s="475"/>
      <c r="AF20" s="475"/>
      <c r="AG20" s="475"/>
    </row>
    <row r="21" spans="1:33" x14ac:dyDescent="0.25">
      <c r="A21" s="543" t="s">
        <v>651</v>
      </c>
      <c r="B21" s="464">
        <v>17</v>
      </c>
      <c r="C21" s="465">
        <f ca="1">+A33-3423-112</f>
        <v>195</v>
      </c>
      <c r="D21" s="466"/>
      <c r="E21" s="467">
        <f ca="1">F21-TODAY()</f>
        <v>-195</v>
      </c>
      <c r="F21" s="468">
        <v>44533</v>
      </c>
      <c r="G21" s="469">
        <v>4</v>
      </c>
      <c r="H21" s="470" t="s">
        <v>594</v>
      </c>
      <c r="I21" s="471">
        <v>3</v>
      </c>
      <c r="J21" s="471">
        <v>6.99</v>
      </c>
      <c r="K21" s="473">
        <v>2</v>
      </c>
      <c r="L21" s="471">
        <v>2.99</v>
      </c>
      <c r="M21" s="471"/>
      <c r="N21" s="472">
        <v>2.99</v>
      </c>
      <c r="O21" s="471">
        <v>0</v>
      </c>
      <c r="P21" s="472">
        <v>0.99</v>
      </c>
      <c r="Q21" s="471"/>
      <c r="R21" s="472">
        <v>1.99</v>
      </c>
      <c r="S21" s="473"/>
      <c r="T21" s="472">
        <v>0.99</v>
      </c>
      <c r="U21" s="471"/>
      <c r="V21" s="471"/>
      <c r="W21" s="474">
        <f>7-(COUNTBLANK(I21)+COUNTBLANK(K21)+COUNTBLANK(M21)+COUNTBLANK(O21)+COUNTBLANK(Q21)+COUNTBLANK(S21)+COUNTBLANK(U21))</f>
        <v>3</v>
      </c>
      <c r="X21" s="470">
        <f>COUNT(V21,R21,T21,P21,N21,L21,J21)</f>
        <v>6</v>
      </c>
      <c r="Y21" s="470"/>
      <c r="Z21" s="470"/>
      <c r="AA21" s="475">
        <v>4.5</v>
      </c>
      <c r="AB21" s="475">
        <v>2</v>
      </c>
      <c r="AC21" s="475">
        <v>2</v>
      </c>
      <c r="AD21" s="475"/>
      <c r="AE21" s="475"/>
      <c r="AF21" s="475"/>
      <c r="AG21" s="475"/>
    </row>
    <row r="22" spans="1:33" x14ac:dyDescent="0.25">
      <c r="A22" s="543" t="s">
        <v>598</v>
      </c>
      <c r="B22" s="464">
        <v>17</v>
      </c>
      <c r="C22" s="465">
        <f ca="1">+A33-3401-112</f>
        <v>217</v>
      </c>
      <c r="D22" s="466" t="s">
        <v>128</v>
      </c>
      <c r="E22" s="467">
        <f ca="1">F22-TODAY()</f>
        <v>-217</v>
      </c>
      <c r="F22" s="468">
        <v>44511</v>
      </c>
      <c r="G22" s="469" t="s">
        <v>594</v>
      </c>
      <c r="H22" s="470" t="s">
        <v>594</v>
      </c>
      <c r="I22" s="471"/>
      <c r="J22" s="472"/>
      <c r="K22" s="473">
        <v>3</v>
      </c>
      <c r="L22" s="472">
        <v>3.99</v>
      </c>
      <c r="M22" s="473"/>
      <c r="N22" s="472">
        <v>4.99</v>
      </c>
      <c r="O22" s="473">
        <v>3</v>
      </c>
      <c r="P22" s="472">
        <v>3.99</v>
      </c>
      <c r="Q22" s="471"/>
      <c r="R22" s="472">
        <v>3.99</v>
      </c>
      <c r="S22" s="473"/>
      <c r="T22" s="472">
        <v>2.99</v>
      </c>
      <c r="U22" s="471"/>
      <c r="V22" s="471"/>
      <c r="W22" s="474">
        <f>7-(COUNTBLANK(I22)+COUNTBLANK(K22)+COUNTBLANK(M22)+COUNTBLANK(O22)+COUNTBLANK(Q22)+COUNTBLANK(S22)+COUNTBLANK(U22))</f>
        <v>2</v>
      </c>
      <c r="X22" s="470">
        <f>COUNT(V22,R22,T22,P22,N22,L22,J22)</f>
        <v>5</v>
      </c>
      <c r="Y22" s="470"/>
      <c r="Z22" s="470"/>
      <c r="AA22" s="475">
        <v>2</v>
      </c>
      <c r="AB22" s="475">
        <v>4</v>
      </c>
      <c r="AC22" s="475">
        <v>4</v>
      </c>
      <c r="AD22" s="475">
        <v>4.5</v>
      </c>
      <c r="AE22" s="475">
        <v>4.5</v>
      </c>
      <c r="AF22" s="475">
        <v>4</v>
      </c>
      <c r="AG22" s="475"/>
    </row>
    <row r="23" spans="1:33" x14ac:dyDescent="0.25">
      <c r="A23" s="543" t="s">
        <v>652</v>
      </c>
      <c r="B23" s="464">
        <v>16</v>
      </c>
      <c r="C23" s="465">
        <f ca="1">+A33-3231-112-112-18</f>
        <v>257</v>
      </c>
      <c r="D23" s="466"/>
      <c r="E23" s="467">
        <f t="shared" ref="E23" ca="1" si="12">F23-TODAY()</f>
        <v>-137</v>
      </c>
      <c r="F23" s="468">
        <v>44591</v>
      </c>
      <c r="G23" s="469">
        <v>4</v>
      </c>
      <c r="H23" s="470" t="s">
        <v>594</v>
      </c>
      <c r="I23" s="471"/>
      <c r="J23" s="471">
        <v>1.99</v>
      </c>
      <c r="K23" s="473">
        <v>2</v>
      </c>
      <c r="L23" s="472">
        <v>3.99</v>
      </c>
      <c r="M23" s="473"/>
      <c r="N23" s="472">
        <v>2.99</v>
      </c>
      <c r="O23" s="471"/>
      <c r="P23" s="472">
        <v>3.99</v>
      </c>
      <c r="Q23" s="471"/>
      <c r="R23" s="472"/>
      <c r="S23" s="471"/>
      <c r="T23" s="472">
        <v>4.99</v>
      </c>
      <c r="U23" s="471"/>
      <c r="V23" s="471"/>
      <c r="W23" s="474">
        <f t="shared" ref="W23" si="13">7-(COUNTBLANK(I23)+COUNTBLANK(K23)+COUNTBLANK(M23)+COUNTBLANK(O23)+COUNTBLANK(Q23)+COUNTBLANK(S23)+COUNTBLANK(U23))</f>
        <v>1</v>
      </c>
      <c r="X23" s="470">
        <f t="shared" ref="X23" si="14">COUNT(V23,R23,T23,P23,N23,L23,J23)</f>
        <v>5</v>
      </c>
      <c r="Y23" s="470"/>
      <c r="Z23" s="470"/>
      <c r="AA23" s="475"/>
      <c r="AB23" s="475">
        <v>3</v>
      </c>
      <c r="AC23" s="475">
        <v>3.5</v>
      </c>
      <c r="AD23" s="475"/>
      <c r="AE23" s="475">
        <v>3.5</v>
      </c>
      <c r="AF23" s="475"/>
      <c r="AG23" s="475"/>
    </row>
    <row r="24" spans="1:33" x14ac:dyDescent="0.25">
      <c r="A24" s="543" t="s">
        <v>654</v>
      </c>
      <c r="B24" s="464">
        <v>16</v>
      </c>
      <c r="C24" s="465">
        <f ca="1">+A33-3415-112</f>
        <v>203</v>
      </c>
      <c r="D24" s="466" t="s">
        <v>128</v>
      </c>
      <c r="E24" s="467">
        <f ca="1">F24-TODAY()</f>
        <v>-91</v>
      </c>
      <c r="F24" s="468">
        <v>44637</v>
      </c>
      <c r="G24" s="469">
        <v>4</v>
      </c>
      <c r="H24" s="470" t="s">
        <v>594</v>
      </c>
      <c r="I24" s="473"/>
      <c r="J24" s="472">
        <v>1.99</v>
      </c>
      <c r="K24" s="473"/>
      <c r="L24" s="472">
        <v>2.99</v>
      </c>
      <c r="M24" s="471">
        <v>4</v>
      </c>
      <c r="N24" s="472">
        <v>4.99</v>
      </c>
      <c r="O24" s="471"/>
      <c r="P24" s="472">
        <v>2.99</v>
      </c>
      <c r="Q24" s="471">
        <v>3</v>
      </c>
      <c r="R24" s="472">
        <v>3.99</v>
      </c>
      <c r="S24" s="473">
        <v>3</v>
      </c>
      <c r="T24" s="472">
        <v>3.99</v>
      </c>
      <c r="U24" s="471"/>
      <c r="V24" s="472"/>
      <c r="W24" s="474">
        <f t="shared" ref="W24:W27" si="15">7-(COUNTBLANK(I24)+COUNTBLANK(K24)+COUNTBLANK(M24)+COUNTBLANK(O24)+COUNTBLANK(Q24)+COUNTBLANK(S24)+COUNTBLANK(U24))</f>
        <v>3</v>
      </c>
      <c r="X24" s="470">
        <f t="shared" ref="X24:X27" si="16">COUNT(V24,R24,T24,P24,N24,L24,J24)</f>
        <v>6</v>
      </c>
      <c r="Y24" s="470"/>
      <c r="Z24" s="470"/>
      <c r="AA24" s="475"/>
      <c r="AB24" s="475">
        <v>2</v>
      </c>
      <c r="AC24" s="475">
        <v>2.5</v>
      </c>
      <c r="AD24" s="475">
        <v>4.5</v>
      </c>
      <c r="AE24" s="475">
        <v>4</v>
      </c>
      <c r="AF24" s="475">
        <v>4</v>
      </c>
      <c r="AG24" s="475"/>
    </row>
    <row r="25" spans="1:33" x14ac:dyDescent="0.25">
      <c r="A25" s="543" t="s">
        <v>655</v>
      </c>
      <c r="B25" s="464">
        <v>16</v>
      </c>
      <c r="C25" s="465">
        <f ca="1">+A33-3412-112</f>
        <v>206</v>
      </c>
      <c r="D25" s="466"/>
      <c r="E25" s="467">
        <f ca="1">F25-TODAY()</f>
        <v>-94</v>
      </c>
      <c r="F25" s="468">
        <v>44634</v>
      </c>
      <c r="G25" s="469" t="s">
        <v>594</v>
      </c>
      <c r="H25" s="470" t="s">
        <v>594</v>
      </c>
      <c r="I25" s="471"/>
      <c r="J25" s="472"/>
      <c r="K25" s="471">
        <v>2</v>
      </c>
      <c r="L25" s="472">
        <v>2</v>
      </c>
      <c r="M25" s="473"/>
      <c r="N25" s="472"/>
      <c r="O25" s="471"/>
      <c r="P25" s="472"/>
      <c r="Q25" s="473"/>
      <c r="R25" s="472">
        <v>1.99</v>
      </c>
      <c r="S25" s="471"/>
      <c r="T25" s="472"/>
      <c r="U25" s="471"/>
      <c r="V25" s="472"/>
      <c r="W25" s="474">
        <f t="shared" si="15"/>
        <v>1</v>
      </c>
      <c r="X25" s="470">
        <f t="shared" si="16"/>
        <v>2</v>
      </c>
      <c r="Y25" s="470"/>
      <c r="Z25" s="470"/>
      <c r="AA25" s="475"/>
      <c r="AB25" s="475"/>
      <c r="AC25" s="475"/>
      <c r="AD25" s="475"/>
      <c r="AE25" s="475">
        <v>3</v>
      </c>
      <c r="AF25" s="475"/>
      <c r="AG25" s="475"/>
    </row>
    <row r="26" spans="1:33" x14ac:dyDescent="0.25">
      <c r="A26" s="543" t="s">
        <v>661</v>
      </c>
      <c r="B26" s="464">
        <v>15</v>
      </c>
      <c r="C26" s="465">
        <f ca="1">+A33-3506</f>
        <v>224</v>
      </c>
      <c r="D26" s="466"/>
      <c r="E26" s="467">
        <f ca="1">F26-TODAY()</f>
        <v>0</v>
      </c>
      <c r="F26" s="468">
        <v>44728</v>
      </c>
      <c r="G26" s="519" t="s">
        <v>594</v>
      </c>
      <c r="H26" s="470"/>
      <c r="I26" s="471"/>
      <c r="J26" s="472"/>
      <c r="K26" s="471"/>
      <c r="L26" s="472"/>
      <c r="M26" s="473"/>
      <c r="N26" s="472"/>
      <c r="O26" s="471">
        <v>3</v>
      </c>
      <c r="P26" s="472"/>
      <c r="Q26" s="473"/>
      <c r="R26" s="472">
        <v>3.99</v>
      </c>
      <c r="S26" s="473"/>
      <c r="T26" s="472"/>
      <c r="U26" s="471"/>
      <c r="V26" s="472"/>
      <c r="W26" s="474">
        <f>7-(COUNTBLANK(I26)+COUNTBLANK(K26)+COUNTBLANK(M26)+COUNTBLANK(O26)+COUNTBLANK(Q26)+COUNTBLANK(S26)+COUNTBLANK(U26))</f>
        <v>1</v>
      </c>
      <c r="X26" s="470">
        <f>COUNT(V26,R26,T26,P26,N26,L26,J26)</f>
        <v>1</v>
      </c>
      <c r="Y26" s="470"/>
      <c r="Z26" s="470"/>
      <c r="AA26" s="475"/>
      <c r="AB26" s="475"/>
      <c r="AC26" s="475"/>
      <c r="AD26" s="475"/>
      <c r="AE26" s="475"/>
      <c r="AF26" s="475"/>
      <c r="AG26" s="475"/>
    </row>
    <row r="27" spans="1:33" x14ac:dyDescent="0.25">
      <c r="A27" s="543" t="s">
        <v>599</v>
      </c>
      <c r="B27" s="464">
        <v>18</v>
      </c>
      <c r="C27" s="465">
        <f ca="1">+A33-3289-112-112</f>
        <v>217</v>
      </c>
      <c r="D27" s="466"/>
      <c r="E27" s="467">
        <f ca="1">F27-TODAY()</f>
        <v>-329</v>
      </c>
      <c r="F27" s="468">
        <v>44399</v>
      </c>
      <c r="G27" s="488" t="s">
        <v>593</v>
      </c>
      <c r="H27" s="470" t="s">
        <v>594</v>
      </c>
      <c r="I27" s="471"/>
      <c r="J27" s="471"/>
      <c r="K27" s="473"/>
      <c r="L27" s="471">
        <v>3.99</v>
      </c>
      <c r="M27" s="471"/>
      <c r="N27" s="471">
        <v>3.99</v>
      </c>
      <c r="O27" s="471"/>
      <c r="P27" s="471">
        <v>4.99</v>
      </c>
      <c r="Q27" s="471">
        <v>2</v>
      </c>
      <c r="R27" s="472">
        <v>2.99</v>
      </c>
      <c r="S27" s="471">
        <v>3</v>
      </c>
      <c r="T27" s="471">
        <v>4.99</v>
      </c>
      <c r="U27" s="471"/>
      <c r="V27" s="471"/>
      <c r="W27" s="474">
        <f t="shared" si="15"/>
        <v>2</v>
      </c>
      <c r="X27" s="470">
        <f t="shared" si="16"/>
        <v>5</v>
      </c>
      <c r="Y27" s="470"/>
      <c r="Z27" s="470"/>
      <c r="AA27" s="475">
        <v>1.5</v>
      </c>
      <c r="AB27" s="475">
        <v>3</v>
      </c>
      <c r="AC27" s="475">
        <v>3.5</v>
      </c>
      <c r="AD27" s="475">
        <v>4</v>
      </c>
      <c r="AE27" s="475">
        <v>4.5</v>
      </c>
      <c r="AF27" s="475">
        <v>5</v>
      </c>
      <c r="AG27" s="475"/>
    </row>
    <row r="28" spans="1:33" x14ac:dyDescent="0.25">
      <c r="A28" s="543" t="s">
        <v>658</v>
      </c>
      <c r="B28" s="464">
        <v>16</v>
      </c>
      <c r="C28" s="465">
        <f ca="1">+A33-3435</f>
        <v>295</v>
      </c>
      <c r="D28" s="466"/>
      <c r="E28" s="467">
        <f ca="1">F28-TODAY()</f>
        <v>-183</v>
      </c>
      <c r="F28" s="468">
        <v>44545</v>
      </c>
      <c r="G28" s="488" t="s">
        <v>593</v>
      </c>
      <c r="H28" s="470" t="s">
        <v>594</v>
      </c>
      <c r="I28" s="487"/>
      <c r="J28" s="472"/>
      <c r="K28" s="487"/>
      <c r="L28" s="472">
        <v>2.99</v>
      </c>
      <c r="M28" s="473">
        <v>4</v>
      </c>
      <c r="N28" s="472">
        <v>4.99</v>
      </c>
      <c r="O28" s="473"/>
      <c r="P28" s="472">
        <v>3.99</v>
      </c>
      <c r="Q28" s="473"/>
      <c r="R28" s="472">
        <v>3.99</v>
      </c>
      <c r="S28" s="473">
        <v>3</v>
      </c>
      <c r="T28" s="472">
        <v>3.99</v>
      </c>
      <c r="U28" s="487"/>
      <c r="V28" s="472"/>
      <c r="W28" s="474">
        <f>7-(COUNTBLANK(I28)+COUNTBLANK(K28)+COUNTBLANK(M28)+COUNTBLANK(O28)+COUNTBLANK(Q28)+COUNTBLANK(S28)+COUNTBLANK(U28))</f>
        <v>2</v>
      </c>
      <c r="X28" s="470">
        <f>COUNT(V28,R28,T28,P28,N28,L28,J28)</f>
        <v>5</v>
      </c>
      <c r="Y28" s="470"/>
      <c r="Z28" s="470"/>
      <c r="AA28" s="475"/>
      <c r="AB28" s="475">
        <v>2.5</v>
      </c>
      <c r="AC28" s="475"/>
      <c r="AD28" s="475">
        <v>4</v>
      </c>
      <c r="AE28" s="475">
        <v>4</v>
      </c>
      <c r="AF28" s="475"/>
      <c r="AG28" s="475"/>
    </row>
    <row r="29" spans="1:33" x14ac:dyDescent="0.25">
      <c r="A29" s="464"/>
      <c r="B29" s="464"/>
      <c r="C29" s="464"/>
      <c r="D29" s="470"/>
      <c r="E29" s="464"/>
      <c r="F29" s="470"/>
      <c r="G29" s="254"/>
      <c r="H29" s="470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70"/>
      <c r="X29" s="470"/>
      <c r="Y29" s="470"/>
      <c r="Z29" s="470"/>
      <c r="AA29" s="510"/>
      <c r="AB29" s="510"/>
      <c r="AC29" s="510"/>
      <c r="AD29" s="510"/>
      <c r="AE29" s="510"/>
      <c r="AF29" s="510"/>
      <c r="AG29" s="254"/>
    </row>
    <row r="30" spans="1:33" x14ac:dyDescent="0.25">
      <c r="A30" s="464"/>
      <c r="B30" s="464"/>
      <c r="C30" s="509"/>
      <c r="D30" s="470"/>
      <c r="E30" s="464"/>
      <c r="F30" s="470"/>
      <c r="G30" s="254"/>
      <c r="H30" s="470"/>
      <c r="I30" s="1"/>
      <c r="J30" s="1"/>
      <c r="K30" s="1"/>
      <c r="L30" s="1"/>
      <c r="M30" s="1"/>
      <c r="N30" s="1"/>
      <c r="O30" s="464"/>
      <c r="P30" s="464"/>
      <c r="Q30" s="464"/>
      <c r="R30" s="464"/>
      <c r="S30" s="464"/>
      <c r="T30" s="464"/>
      <c r="U30" s="464"/>
      <c r="V30" s="464"/>
      <c r="W30" s="470"/>
      <c r="X30" s="470"/>
      <c r="Y30" s="470"/>
      <c r="Z30" s="470"/>
      <c r="AA30" s="510"/>
      <c r="AB30" s="510"/>
      <c r="AC30" s="510"/>
      <c r="AD30" s="510"/>
      <c r="AE30" s="511"/>
      <c r="AF30" s="511"/>
      <c r="AG30" s="86"/>
    </row>
    <row r="31" spans="1:33" x14ac:dyDescent="0.25">
      <c r="A31" s="512" t="s">
        <v>182</v>
      </c>
      <c r="B31" s="464"/>
      <c r="C31" s="464"/>
      <c r="D31" s="470"/>
      <c r="E31" s="464"/>
      <c r="F31" s="470"/>
      <c r="G31" s="553"/>
      <c r="H31" s="553"/>
      <c r="I31" s="553"/>
      <c r="J31" s="553"/>
      <c r="K31" s="553"/>
      <c r="L31" s="553"/>
      <c r="M31" s="553"/>
      <c r="N31" s="1"/>
      <c r="O31" s="464"/>
      <c r="P31" s="464"/>
      <c r="Q31" s="464"/>
      <c r="R31" s="464"/>
      <c r="S31" s="464"/>
      <c r="T31" s="464"/>
      <c r="U31" s="464"/>
      <c r="V31" s="464"/>
      <c r="W31" s="470"/>
      <c r="X31" s="470"/>
      <c r="Y31" s="470"/>
      <c r="Z31" s="470"/>
      <c r="AA31" s="510"/>
      <c r="AB31" s="510"/>
      <c r="AC31" s="510"/>
      <c r="AD31" s="510"/>
      <c r="AE31" s="510"/>
      <c r="AF31" s="510"/>
      <c r="AG31" s="254"/>
    </row>
    <row r="32" spans="1:33" x14ac:dyDescent="0.25">
      <c r="A32" s="513">
        <f ca="1">TODAY()</f>
        <v>44728</v>
      </c>
      <c r="B32" s="464"/>
      <c r="C32" s="464"/>
      <c r="D32" s="474"/>
      <c r="E32" s="464"/>
      <c r="F32" s="514"/>
      <c r="G32" s="515"/>
      <c r="H32" s="51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514"/>
      <c r="V32" s="514"/>
      <c r="W32" s="514"/>
      <c r="X32" s="514"/>
      <c r="Y32" s="514"/>
      <c r="Z32" s="514"/>
      <c r="AA32" s="510"/>
      <c r="AB32" s="510"/>
      <c r="AC32" s="510"/>
      <c r="AD32" s="510"/>
      <c r="AE32" s="510"/>
      <c r="AF32" s="510"/>
      <c r="AG32" s="254"/>
    </row>
    <row r="33" spans="1:33" x14ac:dyDescent="0.25">
      <c r="A33" s="509">
        <f ca="1">411+A36</f>
        <v>3730</v>
      </c>
      <c r="B33" s="464"/>
      <c r="C33" s="464"/>
      <c r="D33" s="470"/>
      <c r="E33" s="464"/>
      <c r="F33" s="514"/>
      <c r="G33" s="515"/>
      <c r="H33" s="51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514"/>
      <c r="W33" s="514"/>
      <c r="X33" s="514"/>
      <c r="Y33" s="514"/>
      <c r="Z33" s="514"/>
      <c r="AA33" s="516"/>
      <c r="AB33" s="516"/>
      <c r="AC33" s="510"/>
      <c r="AD33" s="510"/>
      <c r="AE33" s="510"/>
      <c r="AF33" s="510"/>
      <c r="AG33" s="254"/>
    </row>
    <row r="34" spans="1:33" x14ac:dyDescent="0.25">
      <c r="A34" s="464"/>
      <c r="B34" s="464"/>
      <c r="C34" s="464"/>
      <c r="D34" s="470"/>
      <c r="E34" s="464"/>
      <c r="F34" s="470"/>
      <c r="G34" s="254"/>
      <c r="H34" s="470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70"/>
      <c r="X34" s="470"/>
      <c r="Y34" s="470"/>
      <c r="Z34" s="470"/>
      <c r="AA34" s="510"/>
      <c r="AB34" s="510"/>
      <c r="AC34" s="510"/>
      <c r="AD34" s="510"/>
      <c r="AE34" s="510"/>
      <c r="AF34" s="510"/>
      <c r="AG34" s="254"/>
    </row>
    <row r="35" spans="1:33" x14ac:dyDescent="0.25">
      <c r="A35" s="517">
        <v>41409</v>
      </c>
      <c r="B35" s="464"/>
      <c r="C35" s="464"/>
      <c r="D35" s="470"/>
      <c r="E35" s="464"/>
      <c r="F35" s="470"/>
      <c r="G35" s="254"/>
      <c r="H35" s="470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70"/>
      <c r="X35" s="470"/>
      <c r="Y35" s="470"/>
      <c r="Z35" s="470"/>
      <c r="AA35" s="510"/>
      <c r="AB35" s="510"/>
      <c r="AC35" s="510"/>
      <c r="AD35" s="510"/>
      <c r="AE35" s="510"/>
      <c r="AF35" s="510"/>
      <c r="AG35" s="254"/>
    </row>
    <row r="36" spans="1:33" x14ac:dyDescent="0.25">
      <c r="A36" s="517">
        <f ca="1">A32-A35</f>
        <v>3319</v>
      </c>
      <c r="B36" s="464"/>
      <c r="C36" s="509"/>
      <c r="D36" s="470"/>
      <c r="E36" s="464"/>
      <c r="F36" s="518"/>
      <c r="G36" s="254"/>
      <c r="H36" s="470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70"/>
      <c r="X36" s="470"/>
      <c r="Y36" s="470"/>
      <c r="Z36" s="470"/>
      <c r="AA36" s="510"/>
      <c r="AB36" s="510"/>
      <c r="AC36" s="510"/>
      <c r="AD36" s="510"/>
      <c r="AE36" s="510"/>
      <c r="AF36" s="510"/>
      <c r="AG36" s="254"/>
    </row>
  </sheetData>
  <mergeCells count="1">
    <mergeCell ref="G31:M31"/>
  </mergeCells>
  <conditionalFormatting sqref="E3 E20:E28 E7:E8 E12:E17">
    <cfRule type="cellIs" dxfId="59" priority="1" stopIfTrue="1" operator="lessThan">
      <formula>1</formula>
    </cfRule>
  </conditionalFormatting>
  <conditionalFormatting sqref="E3 E20:E28 E7:E8 E12:E17">
    <cfRule type="cellIs" dxfId="58" priority="2" stopIfTrue="1" operator="between">
      <formula>1</formula>
      <formula>50</formula>
    </cfRule>
  </conditionalFormatting>
  <conditionalFormatting sqref="E3 E20:E28 E7:E8 E12:E17">
    <cfRule type="cellIs" dxfId="57" priority="3" stopIfTrue="1" operator="greaterThan">
      <formula>50</formula>
    </cfRule>
  </conditionalFormatting>
  <conditionalFormatting sqref="AA3:AF3 AA20:AF28 AA7:AF8 AA12:AF17">
    <cfRule type="cellIs" dxfId="56" priority="4" stopIfTrue="1" operator="between">
      <formula>4</formula>
      <formula>5</formula>
    </cfRule>
  </conditionalFormatting>
  <conditionalFormatting sqref="AA3:AF3 AA20:AF28 AA7:AF8 AA12:AF17">
    <cfRule type="cellIs" dxfId="55" priority="5" stopIfTrue="1" operator="lessThan">
      <formula>4</formula>
    </cfRule>
  </conditionalFormatting>
  <conditionalFormatting sqref="AA3:AF3 AA20:AF28 AA7:AF8 AA12:AF17">
    <cfRule type="cellIs" dxfId="54" priority="6" stopIfTrue="1" operator="greaterThan">
      <formula>5</formula>
    </cfRule>
  </conditionalFormatting>
  <conditionalFormatting sqref="W20:X28 W3:X3 W7:X8 W12:X1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V28 I3:V3 I7:V8 I12:V17">
    <cfRule type="colorScale" priority="8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27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Y12" sqref="Y12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4.5703125" bestFit="1" customWidth="1"/>
    <col min="16" max="16" width="4.5703125" customWidth="1"/>
    <col min="17" max="18" width="5.5703125" customWidth="1"/>
    <col min="21" max="21" width="15.140625" customWidth="1"/>
    <col min="22" max="22" width="5.5703125" customWidth="1"/>
    <col min="23" max="23" width="6.5703125" bestFit="1" customWidth="1"/>
    <col min="24" max="24" width="6.5703125" customWidth="1"/>
    <col min="25" max="25" width="5.5703125" customWidth="1"/>
  </cols>
  <sheetData>
    <row r="1" spans="1:25" ht="18.75" x14ac:dyDescent="0.3">
      <c r="A1" s="113" t="s">
        <v>84</v>
      </c>
      <c r="B1" s="113" t="s">
        <v>37</v>
      </c>
      <c r="C1" s="113" t="s">
        <v>169</v>
      </c>
      <c r="D1" s="93" t="s">
        <v>274</v>
      </c>
      <c r="E1" s="93" t="s">
        <v>275</v>
      </c>
      <c r="F1" s="93" t="s">
        <v>276</v>
      </c>
      <c r="M1" s="186" t="str">
        <f>PLANTILLA!D3</f>
        <v>Jugador</v>
      </c>
      <c r="N1" s="186" t="s">
        <v>90</v>
      </c>
      <c r="O1" s="186" t="str">
        <f>PLANTILLA!AC3</f>
        <v>An</v>
      </c>
      <c r="P1" s="186" t="str">
        <f>PLANTILLA!AD3</f>
        <v>PA</v>
      </c>
      <c r="Q1" s="186" t="str">
        <f>PLANTILLA!AH3</f>
        <v>TL</v>
      </c>
      <c r="R1" s="186" t="str">
        <f>PLANTILLA!AI3</f>
        <v>PEN</v>
      </c>
      <c r="U1" s="558" t="s">
        <v>277</v>
      </c>
      <c r="V1" s="558"/>
      <c r="W1" s="558"/>
      <c r="X1" s="558"/>
      <c r="Y1" s="558"/>
    </row>
    <row r="2" spans="1:25" x14ac:dyDescent="0.25">
      <c r="A2" t="str">
        <f>PLANTILLA!D4</f>
        <v>D. Gehmacher</v>
      </c>
      <c r="B2" s="71">
        <f ca="1">PLANTILLA!Y4++PLANTILLA!J4+PLANTILLA!P4</f>
        <v>2.9127585387122652</v>
      </c>
      <c r="C2" s="71">
        <f ca="1">PLANTILLA!AB4+PLANTILLA!J4+PLANTILLA!P4</f>
        <v>2.9127585387122652</v>
      </c>
      <c r="D2" s="106">
        <f t="shared" ref="D2:D3" ca="1" si="0">(C2*2+B2)/8</f>
        <v>1.0922844520170996</v>
      </c>
      <c r="E2" s="71">
        <f ca="1">D2*PLANTILLA!R4</f>
        <v>0.71506802597024555</v>
      </c>
      <c r="F2" s="71">
        <f ca="1">D2*PLANTILLA!S4</f>
        <v>0.82465667689495403</v>
      </c>
      <c r="M2" t="str">
        <f>PLANTILLA!D4</f>
        <v>D. Gehmacher</v>
      </c>
      <c r="N2" s="47">
        <f>PLANTILLA!J4</f>
        <v>1.912758538712265</v>
      </c>
      <c r="O2" s="71">
        <f>PLANTILLA!AC4</f>
        <v>0</v>
      </c>
      <c r="P2" s="71">
        <f>PLANTILLA!AD4</f>
        <v>8</v>
      </c>
      <c r="Q2" s="71">
        <f ca="1">PLANTILLA!AH4</f>
        <v>2.1192424867857871</v>
      </c>
      <c r="R2" s="47">
        <f ca="1">PLANTILLA!AI4</f>
        <v>5.572908625218659</v>
      </c>
      <c r="U2" t="str">
        <f>M11</f>
        <v>Dusty Ware</v>
      </c>
      <c r="V2" s="47">
        <f>N11</f>
        <v>1.3333333333333333</v>
      </c>
      <c r="W2" s="47">
        <f>O11</f>
        <v>9</v>
      </c>
      <c r="X2" s="47">
        <f>P11</f>
        <v>18.25</v>
      </c>
      <c r="Y2" s="114"/>
    </row>
    <row r="3" spans="1:25" x14ac:dyDescent="0.25">
      <c r="A3" t="str">
        <f>PLANTILLA!D5</f>
        <v>L. Guangwei</v>
      </c>
      <c r="B3" s="71">
        <f ca="1">PLANTILLA!Y5++PLANTILLA!J5+PLANTILLA!P5</f>
        <v>11.555555555555555</v>
      </c>
      <c r="C3" s="71">
        <f ca="1">PLANTILLA!AB5+PLANTILLA!J5+PLANTILLA!P5</f>
        <v>7.333333333333333</v>
      </c>
      <c r="D3" s="106">
        <f t="shared" ca="1" si="0"/>
        <v>3.2777777777777777</v>
      </c>
      <c r="E3" s="71">
        <f ca="1">D3*PLANTILLA!R5</f>
        <v>3.0346325492544741</v>
      </c>
      <c r="F3" s="71">
        <f ca="1">D3*PLANTILLA!S5</f>
        <v>3.2754356711709107</v>
      </c>
      <c r="M3" t="str">
        <f>PLANTILLA!D5</f>
        <v>L. Guangwei</v>
      </c>
      <c r="N3" s="47">
        <f>PLANTILLA!J5</f>
        <v>1.3333333333333333</v>
      </c>
      <c r="O3" s="71">
        <f>PLANTILLA!AC5</f>
        <v>5.5</v>
      </c>
      <c r="P3" s="71">
        <f>PLANTILLA!AD5</f>
        <v>22</v>
      </c>
      <c r="Q3" s="71">
        <f ca="1">PLANTILLA!AH5</f>
        <v>17.393073607727001</v>
      </c>
      <c r="R3" s="47">
        <f ca="1">PLANTILLA!AI5</f>
        <v>17.945479600591288</v>
      </c>
      <c r="U3" t="str">
        <f>M15</f>
        <v>I. Stone</v>
      </c>
      <c r="V3" s="47">
        <f>N15</f>
        <v>1.2723233459190999</v>
      </c>
      <c r="W3" s="47">
        <f>O15</f>
        <v>10</v>
      </c>
      <c r="X3" s="47">
        <f>P15</f>
        <v>19</v>
      </c>
      <c r="Y3" s="114"/>
    </row>
    <row r="4" spans="1:25" x14ac:dyDescent="0.25">
      <c r="A4" t="str">
        <f>PLANTILLA!D6</f>
        <v>V. Gardner</v>
      </c>
      <c r="B4" s="71">
        <f ca="1">PLANTILLA!Y6++PLANTILLA!J6+PLANTILLA!P6</f>
        <v>17.204119982655925</v>
      </c>
      <c r="C4" s="71">
        <f ca="1">PLANTILLA!AB6+PLANTILLA!J6+PLANTILLA!P6</f>
        <v>7.204119982655925</v>
      </c>
      <c r="D4" s="106">
        <f t="shared" ref="D4:D21" ca="1" si="1">(C4*2+B4)/8</f>
        <v>3.9515449934959719</v>
      </c>
      <c r="E4" s="71">
        <f ca="1">D4*PLANTILLA!R6</f>
        <v>3.6584197801341669</v>
      </c>
      <c r="F4" s="71">
        <f ca="1">D4*PLANTILLA!S6</f>
        <v>3.9487214525898908</v>
      </c>
      <c r="M4" t="str">
        <f>PLANTILLA!D6</f>
        <v>V. Gardner</v>
      </c>
      <c r="N4" s="47">
        <f>PLANTILLA!J6</f>
        <v>1.2041199826559248</v>
      </c>
      <c r="O4" s="71">
        <f>PLANTILLA!AC6</f>
        <v>7.333333333333333</v>
      </c>
      <c r="P4" s="71">
        <f>PLANTILLA!AD6</f>
        <v>19</v>
      </c>
      <c r="Q4" s="71">
        <f ca="1">PLANTILLA!AH6</f>
        <v>18.418671032362493</v>
      </c>
      <c r="R4" s="47">
        <f ca="1">PLANTILLA!AI6</f>
        <v>16.390830128727728</v>
      </c>
      <c r="U4" t="str">
        <f>M14</f>
        <v>I. Vanags</v>
      </c>
      <c r="V4" s="47">
        <f>N14</f>
        <v>1.2041199826559248</v>
      </c>
      <c r="W4" s="47">
        <f>O14</f>
        <v>8.2857142857142865</v>
      </c>
      <c r="X4" s="47">
        <f>P14</f>
        <v>19.399999999999999</v>
      </c>
      <c r="Y4" s="114"/>
    </row>
    <row r="5" spans="1:25" x14ac:dyDescent="0.25">
      <c r="A5" t="str">
        <f>PLANTILLA!D7</f>
        <v>S. Swärdborn</v>
      </c>
      <c r="B5" s="71">
        <f ca="1">PLANTILLA!Y7++PLANTILLA!J7+PLANTILLA!P7</f>
        <v>17.022323345919101</v>
      </c>
      <c r="C5" s="71">
        <f ca="1">PLANTILLA!AB7+PLANTILLA!J7+PLANTILLA!P7</f>
        <v>5.2723233459190997</v>
      </c>
      <c r="D5" s="106">
        <f t="shared" ca="1" si="1"/>
        <v>3.4458712547196626</v>
      </c>
      <c r="E5" s="71">
        <f ca="1">D5*PLANTILLA!R7</f>
        <v>2.9122927521730149</v>
      </c>
      <c r="F5" s="71">
        <f ca="1">D5*PLANTILLA!S7</f>
        <v>3.1875972128050698</v>
      </c>
      <c r="M5" t="str">
        <f>PLANTILLA!D7</f>
        <v>S. Swärdborn</v>
      </c>
      <c r="N5" s="47">
        <f>PLANTILLA!J7</f>
        <v>1.2723233459190999</v>
      </c>
      <c r="O5" s="71">
        <f>PLANTILLA!AC7</f>
        <v>7.833333333333333</v>
      </c>
      <c r="P5" s="71">
        <f>PLANTILLA!AD7</f>
        <v>18.75</v>
      </c>
      <c r="Q5" s="71">
        <f ca="1">PLANTILLA!AH7</f>
        <v>17.526528282339559</v>
      </c>
      <c r="R5" s="47">
        <f ca="1">PLANTILLA!AI7</f>
        <v>14.999225835846259</v>
      </c>
      <c r="U5" t="str">
        <f>M12</f>
        <v>P. Tuderek</v>
      </c>
      <c r="V5" s="47">
        <f>N12</f>
        <v>1.2041199826559248</v>
      </c>
      <c r="W5" s="47">
        <f>O12</f>
        <v>8</v>
      </c>
      <c r="X5" s="47">
        <f>P12</f>
        <v>20.166666666666668</v>
      </c>
      <c r="Y5" s="114"/>
    </row>
    <row r="6" spans="1:25" x14ac:dyDescent="0.25">
      <c r="A6" t="str">
        <f>PLANTILLA!D8</f>
        <v>A. Grimaud</v>
      </c>
      <c r="B6" s="71">
        <f ca="1">PLANTILLA!Y8++PLANTILLA!J8+PLANTILLA!P8</f>
        <v>17.122323345919099</v>
      </c>
      <c r="C6" s="71">
        <f ca="1">PLANTILLA!AB8+PLANTILLA!J8+PLANTILLA!P8</f>
        <v>5.2723233459190997</v>
      </c>
      <c r="D6" s="106">
        <f t="shared" ca="1" si="1"/>
        <v>3.4583712547196623</v>
      </c>
      <c r="E6" s="71">
        <f ca="1">D6*PLANTILLA!R8</f>
        <v>2.9228571803571208</v>
      </c>
      <c r="F6" s="71">
        <f ca="1">D6*PLANTILLA!S8</f>
        <v>3.1991603160711852</v>
      </c>
      <c r="M6" t="str">
        <f>PLANTILLA!D8</f>
        <v>A. Grimaud</v>
      </c>
      <c r="N6" s="47">
        <f>PLANTILLA!J8</f>
        <v>1.2723233459190999</v>
      </c>
      <c r="O6" s="71">
        <f>PLANTILLA!AC8</f>
        <v>7.1428571428571432</v>
      </c>
      <c r="P6" s="71">
        <f>PLANTILLA!AD8</f>
        <v>18.2</v>
      </c>
      <c r="Q6" s="71">
        <f ca="1">PLANTILLA!AH8</f>
        <v>16.302161362602501</v>
      </c>
      <c r="R6" s="47">
        <f ca="1">PLANTILLA!AI8</f>
        <v>14.498773780724873</v>
      </c>
      <c r="U6" t="str">
        <f>M13</f>
        <v>M.A. Balbinot</v>
      </c>
      <c r="V6" s="47">
        <f>N13</f>
        <v>1.4389083280634998</v>
      </c>
      <c r="W6" s="47">
        <f>O13</f>
        <v>9.0625</v>
      </c>
      <c r="X6" s="47">
        <f>P13</f>
        <v>16</v>
      </c>
      <c r="Y6" s="114"/>
    </row>
    <row r="7" spans="1:25" x14ac:dyDescent="0.25">
      <c r="A7" t="str">
        <f>PLANTILLA!D9</f>
        <v>E. Deus</v>
      </c>
      <c r="B7" s="71">
        <f ca="1">PLANTILLA!Y9++PLANTILLA!J9+PLANTILLA!P9</f>
        <v>16.204119982655925</v>
      </c>
      <c r="C7" s="71">
        <f ca="1">PLANTILLA!AB9+PLANTILLA!J9+PLANTILLA!P9</f>
        <v>8.204119982655925</v>
      </c>
      <c r="D7" s="106">
        <f t="shared" ca="1" si="1"/>
        <v>4.0765449934959719</v>
      </c>
      <c r="E7" s="71">
        <f ca="1">D7*PLANTILLA!R9</f>
        <v>4.0765449934959719</v>
      </c>
      <c r="F7" s="71">
        <f ca="1">D7*PLANTILLA!S9</f>
        <v>4.0765449934959719</v>
      </c>
      <c r="H7" s="47"/>
      <c r="M7" t="str">
        <f>PLANTILLA!D9</f>
        <v>E. Deus</v>
      </c>
      <c r="N7" s="47">
        <f>PLANTILLA!J9</f>
        <v>1.2041199826559248</v>
      </c>
      <c r="O7" s="71">
        <f>PLANTILLA!AC9</f>
        <v>6.4</v>
      </c>
      <c r="P7" s="71">
        <f>PLANTILLA!AD9</f>
        <v>19.2</v>
      </c>
      <c r="Q7" s="71">
        <f ca="1">PLANTILLA!AH9</f>
        <v>18.455105161669593</v>
      </c>
      <c r="R7" s="47">
        <f ca="1">PLANTILLA!AI9</f>
        <v>17.564119982655924</v>
      </c>
      <c r="U7" t="str">
        <f>M17</f>
        <v>M. Bondarewski</v>
      </c>
      <c r="V7" s="47">
        <f>N17</f>
        <v>1.3333333333333333</v>
      </c>
      <c r="W7" s="47">
        <f>O17</f>
        <v>9.125</v>
      </c>
      <c r="X7" s="47">
        <f>P17</f>
        <v>20.166666666666668</v>
      </c>
      <c r="Y7" s="114"/>
    </row>
    <row r="8" spans="1:25" x14ac:dyDescent="0.25">
      <c r="A8" t="str">
        <f>PLANTILLA!D10</f>
        <v>K. Polyukhov</v>
      </c>
      <c r="B8" s="71">
        <f ca="1">PLANTILLA!Y10++PLANTILLA!J10+PLANTILLA!P10</f>
        <v>16.437429604431109</v>
      </c>
      <c r="C8" s="71">
        <f ca="1">PLANTILLA!AB10+PLANTILLA!J10+PLANTILLA!P10</f>
        <v>10.982884149885656</v>
      </c>
      <c r="D8" s="106">
        <f t="shared" ca="1" si="1"/>
        <v>4.8003997380253027</v>
      </c>
      <c r="E8" s="71">
        <f ca="1">D8*PLANTILLA!R10</f>
        <v>4.4443065644067152</v>
      </c>
      <c r="F8" s="71">
        <f ca="1">D8*PLANTILLA!S10</f>
        <v>4.79696965560231</v>
      </c>
      <c r="M8" t="str">
        <f>PLANTILLA!D10</f>
        <v>K. Polyukhov</v>
      </c>
      <c r="N8" s="47">
        <f>PLANTILLA!J10</f>
        <v>1.2723233459190999</v>
      </c>
      <c r="O8" s="71">
        <f>PLANTILLA!AC10</f>
        <v>9</v>
      </c>
      <c r="P8" s="71">
        <f>PLANTILLA!AD10</f>
        <v>16</v>
      </c>
      <c r="Q8" s="71">
        <f ca="1">PLANTILLA!AH10</f>
        <v>18.999841153609832</v>
      </c>
      <c r="R8" s="47">
        <f ca="1">PLANTILLA!AI10</f>
        <v>14.704693388323014</v>
      </c>
      <c r="U8" t="str">
        <f>M8</f>
        <v>K. Polyukhov</v>
      </c>
      <c r="V8" s="47">
        <f>N8</f>
        <v>1.2723233459190999</v>
      </c>
      <c r="W8" s="47">
        <f>O8</f>
        <v>9</v>
      </c>
      <c r="X8" s="47">
        <f>P8</f>
        <v>16</v>
      </c>
      <c r="Y8" s="114"/>
    </row>
    <row r="9" spans="1:25" x14ac:dyDescent="0.25">
      <c r="A9" t="str">
        <f>PLANTILLA!D11</f>
        <v>S. Kariuki</v>
      </c>
      <c r="B9" s="71">
        <f ca="1">PLANTILLA!Y11++PLANTILLA!J11+PLANTILLA!P11</f>
        <v>14.71957894794409</v>
      </c>
      <c r="C9" s="71">
        <f ca="1">PLANTILLA!AB11+PLANTILLA!J11+PLANTILLA!P11</f>
        <v>3.7195789479440879</v>
      </c>
      <c r="D9" s="106">
        <f t="shared" ca="1" si="1"/>
        <v>2.7698421054790332</v>
      </c>
      <c r="E9" s="71">
        <f ca="1">D9*PLANTILLA!R11</f>
        <v>2.3409438403717977</v>
      </c>
      <c r="F9" s="71">
        <f ca="1">D9*PLANTILLA!S11</f>
        <v>2.5622376237191666</v>
      </c>
      <c r="M9" t="str">
        <f>PLANTILLA!D11</f>
        <v>S. Kariuki</v>
      </c>
      <c r="N9" s="47">
        <f>PLANTILLA!J11</f>
        <v>1.3333333333333333</v>
      </c>
      <c r="O9" s="71">
        <f>PLANTILLA!AC11</f>
        <v>7</v>
      </c>
      <c r="P9" s="71">
        <f>PLANTILLA!AD11</f>
        <v>19</v>
      </c>
      <c r="Q9" s="71">
        <f ca="1">PLANTILLA!AH11</f>
        <v>15.441195981795973</v>
      </c>
      <c r="R9" s="47">
        <f ca="1">PLANTILLA!AI11</f>
        <v>14.468684987015685</v>
      </c>
      <c r="U9" t="str">
        <f>M10</f>
        <v>R. Forsyth</v>
      </c>
      <c r="V9" s="47">
        <f>N10</f>
        <v>1.2723233459190999</v>
      </c>
      <c r="W9" s="47">
        <f>O10</f>
        <v>7.5</v>
      </c>
      <c r="X9" s="47">
        <f>P10</f>
        <v>19</v>
      </c>
      <c r="Y9" s="114"/>
    </row>
    <row r="10" spans="1:25" x14ac:dyDescent="0.25">
      <c r="A10" t="str">
        <f>PLANTILLA!D12</f>
        <v>R. Forsyth</v>
      </c>
      <c r="B10" s="71">
        <f ca="1">PLANTILLA!Y12++PLANTILLA!J12+PLANTILLA!P12</f>
        <v>13.964631038226791</v>
      </c>
      <c r="C10" s="71">
        <f ca="1">PLANTILLA!AB12+PLANTILLA!J12+PLANTILLA!P12</f>
        <v>6.2723233459190997</v>
      </c>
      <c r="D10" s="106">
        <f t="shared" ca="1" si="1"/>
        <v>3.3136597162581238</v>
      </c>
      <c r="E10" s="71">
        <f ca="1">D10*PLANTILLA!R12</f>
        <v>3.0678527691183808</v>
      </c>
      <c r="F10" s="71">
        <f ca="1">D10*PLANTILLA!S12</f>
        <v>3.3112919705350996</v>
      </c>
      <c r="M10" t="str">
        <f>PLANTILLA!D12</f>
        <v>R. Forsyth</v>
      </c>
      <c r="N10" s="47">
        <f>PLANTILLA!J12</f>
        <v>1.2723233459190999</v>
      </c>
      <c r="O10" s="71">
        <f>PLANTILLA!AC12</f>
        <v>7.5</v>
      </c>
      <c r="P10" s="71">
        <f>PLANTILLA!AD12</f>
        <v>19</v>
      </c>
      <c r="Q10" s="71">
        <f ca="1">PLANTILLA!AH12</f>
        <v>18.814362931823879</v>
      </c>
      <c r="R10" s="47">
        <f ca="1">PLANTILLA!AI12</f>
        <v>16.500265178297497</v>
      </c>
      <c r="U10" t="str">
        <f>M4</f>
        <v>V. Gardner</v>
      </c>
      <c r="V10" s="47">
        <f>N4</f>
        <v>1.2041199826559248</v>
      </c>
      <c r="W10" s="47">
        <f>O4</f>
        <v>7.333333333333333</v>
      </c>
      <c r="X10" s="47">
        <f>P4</f>
        <v>19</v>
      </c>
      <c r="Y10" s="114"/>
    </row>
    <row r="11" spans="1:25" x14ac:dyDescent="0.25">
      <c r="A11" t="str">
        <f>PLANTILLA!D13</f>
        <v>Dusty Ware</v>
      </c>
      <c r="B11" s="71">
        <f ca="1">PLANTILLA!Y13++PLANTILLA!J13+PLANTILLA!P13</f>
        <v>13.641025641025642</v>
      </c>
      <c r="C11" s="71">
        <f ca="1">PLANTILLA!AB13+PLANTILLA!J13+PLANTILLA!P13</f>
        <v>5.333333333333333</v>
      </c>
      <c r="D11" s="106">
        <f t="shared" ca="1" si="1"/>
        <v>3.0384615384615383</v>
      </c>
      <c r="E11" s="71">
        <f ca="1">D11*PLANTILLA!R13</f>
        <v>3.0384615384615383</v>
      </c>
      <c r="F11" s="71">
        <f ca="1">D11*PLANTILLA!S13</f>
        <v>3.0384615384615383</v>
      </c>
      <c r="M11" t="str">
        <f>PLANTILLA!D13</f>
        <v>Dusty Ware</v>
      </c>
      <c r="N11" s="47">
        <f>PLANTILLA!J13</f>
        <v>1.3333333333333333</v>
      </c>
      <c r="O11" s="71">
        <f>PLANTILLA!AC13</f>
        <v>9</v>
      </c>
      <c r="P11" s="71">
        <f>PLANTILLA!AD13</f>
        <v>18.25</v>
      </c>
      <c r="Q11" s="71">
        <f ca="1">PLANTILLA!AH13</f>
        <v>22.534166666666664</v>
      </c>
      <c r="R11" s="47">
        <f ca="1">PLANTILLA!AI13</f>
        <v>17.80833333333333</v>
      </c>
      <c r="U11" t="str">
        <f>M7</f>
        <v>E. Deus</v>
      </c>
      <c r="V11" s="47">
        <f>N7</f>
        <v>1.2041199826559248</v>
      </c>
      <c r="W11" s="47">
        <f>O7</f>
        <v>6.4</v>
      </c>
      <c r="X11" s="47">
        <f>P7</f>
        <v>19.2</v>
      </c>
      <c r="Y11" s="114"/>
    </row>
    <row r="12" spans="1:25" x14ac:dyDescent="0.25">
      <c r="A12" t="str">
        <f>PLANTILLA!D14</f>
        <v>P. Tuderek</v>
      </c>
      <c r="B12" s="71">
        <f ca="1">PLANTILLA!Y14++PLANTILLA!J14+PLANTILLA!P14</f>
        <v>13.357966136502078</v>
      </c>
      <c r="C12" s="71">
        <f ca="1">PLANTILLA!AB14+PLANTILLA!J14+PLANTILLA!P14</f>
        <v>5.204119982655925</v>
      </c>
      <c r="D12" s="106">
        <f t="shared" ca="1" si="1"/>
        <v>2.970775762726741</v>
      </c>
      <c r="E12" s="71">
        <f ca="1">D12*PLANTILLA!R14</f>
        <v>2.7504039130495488</v>
      </c>
      <c r="F12" s="71">
        <f ca="1">D12*PLANTILLA!S14</f>
        <v>2.9686530216463134</v>
      </c>
      <c r="M12" t="str">
        <f>PLANTILLA!D14</f>
        <v>P. Tuderek</v>
      </c>
      <c r="N12" s="47">
        <f>PLANTILLA!J14</f>
        <v>1.2041199826559248</v>
      </c>
      <c r="O12" s="71">
        <f>PLANTILLA!AC14</f>
        <v>8</v>
      </c>
      <c r="P12" s="71">
        <f>PLANTILLA!AD14</f>
        <v>20.166666666666668</v>
      </c>
      <c r="Q12" s="71">
        <f ca="1">PLANTILLA!AH14</f>
        <v>20.037313173464838</v>
      </c>
      <c r="R12" s="47">
        <f ca="1">PLANTILLA!AI14</f>
        <v>17.33208056349649</v>
      </c>
      <c r="V12" s="47"/>
      <c r="W12" s="106">
        <f>AVERAGE(W2:W11)</f>
        <v>8.3706547619047615</v>
      </c>
      <c r="X12" s="106">
        <f>AVERAGE(X2:X11)</f>
        <v>18.618333333333332</v>
      </c>
      <c r="Y12" s="187">
        <f>1.66*(W12+1.5)+0.55*(X12+1.5)-7.6</f>
        <v>19.850370238095238</v>
      </c>
    </row>
    <row r="13" spans="1:25" x14ac:dyDescent="0.25">
      <c r="A13" t="str">
        <f>PLANTILLA!D15</f>
        <v>M.A. Balbinot</v>
      </c>
      <c r="B13" s="71">
        <f ca="1">PLANTILLA!Y15++PLANTILLA!J15+PLANTILLA!P15</f>
        <v>11.8139083280635</v>
      </c>
      <c r="C13" s="71">
        <f ca="1">PLANTILLA!AB15+PLANTILLA!J15+PLANTILLA!P15</f>
        <v>10.388908328063501</v>
      </c>
      <c r="D13" s="106">
        <f t="shared" ca="1" si="1"/>
        <v>4.0739656230238124</v>
      </c>
      <c r="E13" s="71">
        <f ca="1">D13*PLANTILLA!R15</f>
        <v>3.7717592595778506</v>
      </c>
      <c r="F13" s="71">
        <f ca="1">D13*PLANTILLA!S15</f>
        <v>4.0710546075588461</v>
      </c>
      <c r="M13" t="str">
        <f>PLANTILLA!D15</f>
        <v>M.A. Balbinot</v>
      </c>
      <c r="N13" s="47">
        <f>PLANTILLA!J15</f>
        <v>1.4389083280634998</v>
      </c>
      <c r="O13" s="71">
        <f>PLANTILLA!AC15</f>
        <v>9.0625</v>
      </c>
      <c r="P13" s="71">
        <f>PLANTILLA!AD15</f>
        <v>16</v>
      </c>
      <c r="Q13" s="71">
        <f ca="1">PLANTILLA!AH15</f>
        <v>20.028948922769104</v>
      </c>
      <c r="R13" s="47">
        <f ca="1">PLANTILLA!AI15</f>
        <v>15.144248865333056</v>
      </c>
    </row>
    <row r="14" spans="1:25" x14ac:dyDescent="0.25">
      <c r="A14" t="str">
        <f>PLANTILLA!D16</f>
        <v>I. Vanags</v>
      </c>
      <c r="B14" s="71">
        <f ca="1">PLANTILLA!Y16++PLANTILLA!J16+PLANTILLA!P16</f>
        <v>11.061262839798783</v>
      </c>
      <c r="C14" s="71">
        <f ca="1">PLANTILLA!AB16+PLANTILLA!J16+PLANTILLA!P16</f>
        <v>6.204119982655925</v>
      </c>
      <c r="D14" s="106">
        <f t="shared" ca="1" si="1"/>
        <v>2.9336878506388291</v>
      </c>
      <c r="E14" s="71">
        <f ca="1">D14*PLANTILLA!R16</f>
        <v>2.9336878506388291</v>
      </c>
      <c r="F14" s="71">
        <f ca="1">D14*PLANTILLA!S16</f>
        <v>2.9336878506388291</v>
      </c>
      <c r="M14" t="str">
        <f>PLANTILLA!D16</f>
        <v>I. Vanags</v>
      </c>
      <c r="N14" s="47">
        <f>PLANTILLA!J16</f>
        <v>1.2041199826559248</v>
      </c>
      <c r="O14" s="71">
        <f>PLANTILLA!AC16</f>
        <v>8.2857142857142865</v>
      </c>
      <c r="P14" s="71">
        <f>PLANTILLA!AD16</f>
        <v>19.399999999999999</v>
      </c>
      <c r="Q14" s="71">
        <f ca="1">PLANTILLA!AH16</f>
        <v>21.695390875955312</v>
      </c>
      <c r="R14" s="47">
        <f ca="1">PLANTILLA!AI16</f>
        <v>18.269834268370207</v>
      </c>
    </row>
    <row r="15" spans="1:25" x14ac:dyDescent="0.25">
      <c r="A15" t="str">
        <f>PLANTILLA!D17</f>
        <v>I. Stone</v>
      </c>
      <c r="B15" s="71">
        <f ca="1">PLANTILLA!Y17++PLANTILLA!J17+PLANTILLA!P17</f>
        <v>10.438990012585766</v>
      </c>
      <c r="C15" s="71">
        <f ca="1">PLANTILLA!AB17+PLANTILLA!J17+PLANTILLA!P17</f>
        <v>8.2723233459190997</v>
      </c>
      <c r="D15" s="106">
        <f t="shared" ca="1" si="1"/>
        <v>3.3729545880529956</v>
      </c>
      <c r="E15" s="71">
        <f ca="1">D15*PLANTILLA!R17</f>
        <v>3.1227491532395093</v>
      </c>
      <c r="F15" s="71">
        <f ca="1">D15*PLANTILLA!S17</f>
        <v>3.370544473713061</v>
      </c>
      <c r="M15" t="str">
        <f>PLANTILLA!D17</f>
        <v>I. Stone</v>
      </c>
      <c r="N15" s="47">
        <f>PLANTILLA!J17</f>
        <v>1.2723233459190999</v>
      </c>
      <c r="O15" s="71">
        <f>PLANTILLA!AC17</f>
        <v>10</v>
      </c>
      <c r="P15" s="71">
        <f>PLANTILLA!AD17</f>
        <v>19</v>
      </c>
      <c r="Q15" s="71">
        <f ca="1">PLANTILLA!AH17</f>
        <v>22.656516345879968</v>
      </c>
      <c r="R15" s="47">
        <f ca="1">PLANTILLA!AI17</f>
        <v>17.19463025312691</v>
      </c>
    </row>
    <row r="16" spans="1:25" x14ac:dyDescent="0.25">
      <c r="A16" t="str">
        <f>PLANTILLA!D18</f>
        <v>G. Piscaer</v>
      </c>
      <c r="B16" s="71">
        <f ca="1">PLANTILLA!Y18++PLANTILLA!J18+PLANTILLA!P18</f>
        <v>11.583333333333334</v>
      </c>
      <c r="C16" s="71">
        <f ca="1">PLANTILLA!AB18+PLANTILLA!J18+PLANTILLA!P18</f>
        <v>4.333333333333333</v>
      </c>
      <c r="D16" s="106">
        <f t="shared" ca="1" si="1"/>
        <v>2.53125</v>
      </c>
      <c r="E16" s="71">
        <f ca="1">D16*PLANTILLA!R18</f>
        <v>1.9134451446092127</v>
      </c>
      <c r="F16" s="71">
        <f ca="1">D16*PLANTILLA!S18</f>
        <v>2.1371563398549354</v>
      </c>
      <c r="M16" t="str">
        <f>PLANTILLA!D18</f>
        <v>G. Piscaer</v>
      </c>
      <c r="N16" s="47">
        <f>PLANTILLA!J18</f>
        <v>1.3333333333333333</v>
      </c>
      <c r="O16" s="71">
        <f>PLANTILLA!AC18</f>
        <v>9.25</v>
      </c>
      <c r="P16" s="71">
        <f>PLANTILLA!AD18</f>
        <v>18.666666666666668</v>
      </c>
      <c r="Q16" s="71">
        <f ca="1">PLANTILLA!AH18</f>
        <v>17.521173087131075</v>
      </c>
      <c r="R16" s="47">
        <f ca="1">PLANTILLA!AI18</f>
        <v>13.739008593885409</v>
      </c>
    </row>
    <row r="17" spans="1:18" x14ac:dyDescent="0.25">
      <c r="A17" t="str">
        <f>PLANTILLA!D19</f>
        <v>M. Bondarewski</v>
      </c>
      <c r="B17" s="71">
        <f ca="1">PLANTILLA!Y19++PLANTILLA!J19+PLANTILLA!P19</f>
        <v>10.333333333333334</v>
      </c>
      <c r="C17" s="71">
        <f ca="1">PLANTILLA!AB19+PLANTILLA!J19+PLANTILLA!P19</f>
        <v>6.333333333333333</v>
      </c>
      <c r="D17" s="106">
        <f t="shared" ca="1" si="1"/>
        <v>2.875</v>
      </c>
      <c r="E17" s="71">
        <f ca="1">D17*PLANTILLA!R19</f>
        <v>2.4298184823444853</v>
      </c>
      <c r="F17" s="71">
        <f ca="1">D17*PLANTILLA!S19</f>
        <v>2.6595137512066267</v>
      </c>
      <c r="M17" t="str">
        <f>PLANTILLA!D19</f>
        <v>M. Bondarewski</v>
      </c>
      <c r="N17" s="47">
        <f>PLANTILLA!J19</f>
        <v>1.3333333333333333</v>
      </c>
      <c r="O17" s="71">
        <f>PLANTILLA!AC19</f>
        <v>9.125</v>
      </c>
      <c r="P17" s="71">
        <f>PLANTILLA!AD19</f>
        <v>20.166666666666668</v>
      </c>
      <c r="Q17" s="71">
        <f ca="1">PLANTILLA!AH19</f>
        <v>20.111149786477327</v>
      </c>
      <c r="R17" s="47">
        <f ca="1">PLANTILLA!AI19</f>
        <v>16.216397262603412</v>
      </c>
    </row>
    <row r="18" spans="1:18" x14ac:dyDescent="0.25">
      <c r="B18" s="71"/>
      <c r="C18" s="71"/>
      <c r="D18" s="106"/>
      <c r="E18" s="71"/>
      <c r="F18" s="71"/>
      <c r="N18" s="47"/>
      <c r="O18" s="71"/>
      <c r="P18" s="71"/>
      <c r="Q18" s="71"/>
      <c r="R18" s="47"/>
    </row>
    <row r="19" spans="1:18" x14ac:dyDescent="0.25">
      <c r="B19" s="71"/>
      <c r="C19" s="71"/>
      <c r="D19" s="106"/>
      <c r="E19" s="71"/>
      <c r="F19" s="71"/>
      <c r="N19" s="47"/>
      <c r="O19" s="71"/>
      <c r="P19" s="71"/>
      <c r="Q19" s="71"/>
      <c r="R19" s="47"/>
    </row>
    <row r="20" spans="1:18" x14ac:dyDescent="0.25">
      <c r="B20" s="71"/>
      <c r="C20" s="71"/>
      <c r="D20" s="106"/>
      <c r="E20" s="71"/>
      <c r="F20" s="71"/>
      <c r="N20" s="47"/>
      <c r="O20" s="71"/>
      <c r="P20" s="71"/>
      <c r="Q20" s="71"/>
      <c r="R20" s="47"/>
    </row>
    <row r="21" spans="1:18" x14ac:dyDescent="0.25">
      <c r="B21" s="71"/>
      <c r="C21" s="71"/>
      <c r="D21" s="106"/>
      <c r="E21" s="71"/>
      <c r="F21" s="71"/>
      <c r="N21" s="47"/>
      <c r="O21" s="71"/>
      <c r="P21" s="71"/>
      <c r="Q21" s="71"/>
      <c r="R21" s="47"/>
    </row>
    <row r="22" spans="1:18" x14ac:dyDescent="0.25">
      <c r="B22" s="71"/>
      <c r="C22" s="71"/>
      <c r="D22" s="106"/>
      <c r="E22" s="71"/>
      <c r="F22" s="71"/>
      <c r="N22" s="47"/>
      <c r="O22" s="71"/>
      <c r="P22" s="71"/>
      <c r="Q22" s="71"/>
      <c r="R22" s="47"/>
    </row>
    <row r="23" spans="1:18" x14ac:dyDescent="0.25">
      <c r="B23" s="71"/>
      <c r="C23" s="71"/>
      <c r="D23" s="106"/>
      <c r="E23" s="71"/>
      <c r="F23" s="71"/>
      <c r="N23" s="47"/>
      <c r="O23" s="71"/>
      <c r="P23" s="71"/>
      <c r="Q23" s="71"/>
      <c r="R23" s="47"/>
    </row>
    <row r="24" spans="1:18" x14ac:dyDescent="0.25">
      <c r="B24" s="71"/>
      <c r="C24" s="71"/>
      <c r="D24" s="106"/>
      <c r="E24" s="71"/>
      <c r="F24" s="71"/>
      <c r="Q24" s="71"/>
    </row>
    <row r="25" spans="1:18" ht="18.75" x14ac:dyDescent="0.3">
      <c r="A25" s="558" t="s">
        <v>278</v>
      </c>
      <c r="B25" s="558"/>
      <c r="C25" s="558"/>
      <c r="D25" s="558"/>
      <c r="E25" s="558"/>
      <c r="F25" s="558"/>
      <c r="G25" s="558"/>
      <c r="H25" s="558"/>
      <c r="I25" s="558"/>
      <c r="J25" s="558"/>
    </row>
    <row r="26" spans="1:18" x14ac:dyDescent="0.25">
      <c r="A26" s="113" t="s">
        <v>279</v>
      </c>
      <c r="B26" s="113" t="str">
        <f>D1</f>
        <v>N_CA</v>
      </c>
      <c r="C26" s="93" t="s">
        <v>275</v>
      </c>
      <c r="D26" s="93" t="s">
        <v>276</v>
      </c>
      <c r="G26" s="113" t="s">
        <v>279</v>
      </c>
      <c r="H26" s="113" t="str">
        <f>B26</f>
        <v>N_CA</v>
      </c>
      <c r="I26" s="93" t="s">
        <v>275</v>
      </c>
      <c r="J26" s="93" t="s">
        <v>276</v>
      </c>
    </row>
    <row r="27" spans="1:18" x14ac:dyDescent="0.25">
      <c r="A27" s="47" t="str">
        <f>A5</f>
        <v>S. Swärdborn</v>
      </c>
      <c r="B27" s="47">
        <f ca="1">D5</f>
        <v>3.4458712547196626</v>
      </c>
      <c r="C27" s="47">
        <f ca="1">E5</f>
        <v>2.9122927521730149</v>
      </c>
      <c r="D27" s="47">
        <f ca="1">F5</f>
        <v>3.1875972128050698</v>
      </c>
      <c r="G27" s="47" t="str">
        <f>A27</f>
        <v>S. Swärdborn</v>
      </c>
      <c r="H27" s="47">
        <f ca="1">B27</f>
        <v>3.4458712547196626</v>
      </c>
      <c r="I27" s="47">
        <f t="shared" ref="I27:J30" ca="1" si="2">C27</f>
        <v>2.9122927521730149</v>
      </c>
      <c r="J27" s="47">
        <f t="shared" ca="1" si="2"/>
        <v>3.1875972128050698</v>
      </c>
    </row>
    <row r="28" spans="1:18" x14ac:dyDescent="0.25">
      <c r="A28" s="47" t="str">
        <f>A6</f>
        <v>A. Grimaud</v>
      </c>
      <c r="B28" s="47">
        <f t="shared" ref="B28" ca="1" si="3">D6</f>
        <v>3.4583712547196623</v>
      </c>
      <c r="C28" s="47">
        <f t="shared" ref="C28:D28" ca="1" si="4">E6</f>
        <v>2.9228571803571208</v>
      </c>
      <c r="D28" s="47">
        <f t="shared" ca="1" si="4"/>
        <v>3.1991603160711852</v>
      </c>
      <c r="G28" s="47" t="str">
        <f>A28</f>
        <v>A. Grimaud</v>
      </c>
      <c r="H28" s="47">
        <f ca="1">B28</f>
        <v>3.4583712547196623</v>
      </c>
      <c r="I28" s="47">
        <f t="shared" ca="1" si="2"/>
        <v>2.9228571803571208</v>
      </c>
      <c r="J28" s="47">
        <f t="shared" ca="1" si="2"/>
        <v>3.1991603160711852</v>
      </c>
    </row>
    <row r="29" spans="1:18" x14ac:dyDescent="0.25">
      <c r="A29" t="str">
        <f>A9</f>
        <v>S. Kariuki</v>
      </c>
      <c r="B29" s="47">
        <f t="shared" ref="B29:D30" ca="1" si="5">D9</f>
        <v>2.7698421054790332</v>
      </c>
      <c r="C29" s="47">
        <f t="shared" ca="1" si="5"/>
        <v>2.3409438403717977</v>
      </c>
      <c r="D29" s="47">
        <f t="shared" ca="1" si="5"/>
        <v>2.5622376237191666</v>
      </c>
      <c r="G29" s="47" t="str">
        <f>A29</f>
        <v>S. Kariuki</v>
      </c>
      <c r="H29" s="47">
        <f ca="1">B29</f>
        <v>2.7698421054790332</v>
      </c>
      <c r="I29" s="47">
        <f t="shared" ca="1" si="2"/>
        <v>2.3409438403717977</v>
      </c>
      <c r="J29" s="47">
        <f t="shared" ca="1" si="2"/>
        <v>2.5622376237191666</v>
      </c>
    </row>
    <row r="30" spans="1:18" x14ac:dyDescent="0.25">
      <c r="A30" s="47" t="str">
        <f>A10</f>
        <v>R. Forsyth</v>
      </c>
      <c r="B30" s="47">
        <f t="shared" ca="1" si="5"/>
        <v>3.3136597162581238</v>
      </c>
      <c r="C30" s="47">
        <f t="shared" ca="1" si="5"/>
        <v>3.0678527691183808</v>
      </c>
      <c r="D30" s="47">
        <f t="shared" ca="1" si="5"/>
        <v>3.3112919705350996</v>
      </c>
      <c r="G30" s="47" t="str">
        <f>A30</f>
        <v>R. Forsyth</v>
      </c>
      <c r="H30" s="47">
        <f ca="1">B30</f>
        <v>3.3136597162581238</v>
      </c>
      <c r="I30" s="47">
        <f t="shared" ca="1" si="2"/>
        <v>3.0678527691183808</v>
      </c>
      <c r="J30" s="47">
        <f t="shared" ca="1" si="2"/>
        <v>3.3112919705350996</v>
      </c>
    </row>
    <row r="31" spans="1:18" x14ac:dyDescent="0.25">
      <c r="A31" t="str">
        <f>A8</f>
        <v>K. Polyukhov</v>
      </c>
      <c r="B31" s="47">
        <f ca="1">D8</f>
        <v>4.8003997380253027</v>
      </c>
      <c r="C31" s="47">
        <f ca="1">E8</f>
        <v>4.4443065644067152</v>
      </c>
      <c r="D31" s="47">
        <f ca="1">F8</f>
        <v>4.79696965560231</v>
      </c>
      <c r="H31" s="47"/>
      <c r="I31" s="71"/>
      <c r="J31" s="71"/>
    </row>
    <row r="32" spans="1:18" x14ac:dyDescent="0.25">
      <c r="B32" s="123">
        <f ca="1">SUM(B27:B31)</f>
        <v>17.788144069201785</v>
      </c>
      <c r="C32" s="233">
        <f ca="1">SUM(C27:C31)</f>
        <v>15.68825310642703</v>
      </c>
      <c r="D32" s="233">
        <f ca="1">SUM(D27:D31)</f>
        <v>17.057256778732832</v>
      </c>
      <c r="E32" s="123"/>
      <c r="G32" s="123"/>
      <c r="H32" s="123">
        <f ca="1">SUM(H27:H31)</f>
        <v>12.987744331176481</v>
      </c>
      <c r="I32" s="233">
        <f ca="1">SUM(I27:I31)</f>
        <v>11.243946542020314</v>
      </c>
      <c r="J32" s="233">
        <f ca="1">SUM(J27:J31)</f>
        <v>12.260287123130523</v>
      </c>
    </row>
  </sheetData>
  <mergeCells count="2">
    <mergeCell ref="U1:Y1"/>
    <mergeCell ref="A25:J25"/>
  </mergeCells>
  <conditionalFormatting sqref="Q2:Q23">
    <cfRule type="cellIs" dxfId="23" priority="1" operator="lessThan">
      <formula>12</formula>
    </cfRule>
  </conditionalFormatting>
  <conditionalFormatting sqref="Q2:Q23">
    <cfRule type="cellIs" dxfId="22" priority="2" operator="between">
      <formula>12</formula>
      <formula>17</formula>
    </cfRule>
  </conditionalFormatting>
  <conditionalFormatting sqref="Q2:Q23">
    <cfRule type="cellIs" dxfId="21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387">
        <f>C2-G2</f>
        <v>0</v>
      </c>
      <c r="J1" s="377"/>
      <c r="K1" s="377"/>
      <c r="L1" s="378"/>
      <c r="M1" s="379">
        <v>44543</v>
      </c>
      <c r="N1" s="379">
        <f t="shared" ref="N1:AB1" si="0">M1+7</f>
        <v>44550</v>
      </c>
      <c r="O1" s="379">
        <f t="shared" si="0"/>
        <v>44557</v>
      </c>
      <c r="P1" s="379">
        <f t="shared" si="0"/>
        <v>44564</v>
      </c>
      <c r="Q1" s="379">
        <f t="shared" si="0"/>
        <v>44571</v>
      </c>
      <c r="R1" s="379">
        <f t="shared" si="0"/>
        <v>44578</v>
      </c>
      <c r="S1" s="379">
        <f t="shared" si="0"/>
        <v>44585</v>
      </c>
      <c r="T1" s="379">
        <f t="shared" si="0"/>
        <v>44592</v>
      </c>
      <c r="U1" s="379">
        <f t="shared" si="0"/>
        <v>44599</v>
      </c>
      <c r="V1" s="379">
        <f t="shared" si="0"/>
        <v>44606</v>
      </c>
      <c r="W1" s="379">
        <f t="shared" si="0"/>
        <v>44613</v>
      </c>
      <c r="X1" s="379">
        <f t="shared" si="0"/>
        <v>44620</v>
      </c>
      <c r="Y1" s="379">
        <f t="shared" si="0"/>
        <v>44627</v>
      </c>
      <c r="Z1" s="379">
        <f t="shared" si="0"/>
        <v>44634</v>
      </c>
      <c r="AA1" s="379">
        <f t="shared" si="0"/>
        <v>44641</v>
      </c>
      <c r="AB1" s="379">
        <f t="shared" si="0"/>
        <v>44648</v>
      </c>
      <c r="AC1" s="318"/>
    </row>
    <row r="2" spans="2:32" ht="21" x14ac:dyDescent="0.35">
      <c r="B2" s="380" t="s">
        <v>211</v>
      </c>
      <c r="C2" s="381">
        <f>C3+C7+C10+C14+C25</f>
        <v>59198412</v>
      </c>
      <c r="D2" s="382">
        <f>C2/C2</f>
        <v>1</v>
      </c>
      <c r="E2" s="383"/>
      <c r="F2" s="384" t="s">
        <v>212</v>
      </c>
      <c r="G2" s="385">
        <f>G3+G7+G14</f>
        <v>59198412</v>
      </c>
      <c r="H2" s="386">
        <f>G2/G2</f>
        <v>1</v>
      </c>
      <c r="J2" s="530">
        <f>C2-G2</f>
        <v>0</v>
      </c>
      <c r="K2" s="350"/>
      <c r="L2" s="350" t="s">
        <v>523</v>
      </c>
      <c r="M2" s="425" t="s">
        <v>196</v>
      </c>
      <c r="N2" s="425" t="s">
        <v>197</v>
      </c>
      <c r="O2" s="425" t="s">
        <v>198</v>
      </c>
      <c r="P2" s="425" t="s">
        <v>199</v>
      </c>
      <c r="Q2" s="425" t="s">
        <v>200</v>
      </c>
      <c r="R2" s="425" t="s">
        <v>201</v>
      </c>
      <c r="S2" s="425" t="s">
        <v>202</v>
      </c>
      <c r="T2" s="425" t="s">
        <v>203</v>
      </c>
      <c r="U2" s="425" t="s">
        <v>204</v>
      </c>
      <c r="V2" s="425" t="s">
        <v>205</v>
      </c>
      <c r="W2" s="425" t="s">
        <v>206</v>
      </c>
      <c r="X2" s="425" t="s">
        <v>207</v>
      </c>
      <c r="Y2" s="425" t="s">
        <v>208</v>
      </c>
      <c r="Z2" s="425" t="s">
        <v>209</v>
      </c>
      <c r="AA2" s="425" t="s">
        <v>210</v>
      </c>
      <c r="AB2" s="425" t="s">
        <v>195</v>
      </c>
      <c r="AC2" s="318"/>
      <c r="AD2" s="425" t="s">
        <v>221</v>
      </c>
    </row>
    <row r="3" spans="2:32" ht="21" x14ac:dyDescent="0.35">
      <c r="B3" s="389" t="s">
        <v>214</v>
      </c>
      <c r="C3" s="390">
        <f>C4+C5+C6</f>
        <v>8900445</v>
      </c>
      <c r="D3" s="391">
        <f>C3/C2</f>
        <v>0.15034938775046872</v>
      </c>
      <c r="E3" s="392"/>
      <c r="F3" s="317" t="s">
        <v>215</v>
      </c>
      <c r="G3" s="390">
        <f>G4+G5</f>
        <v>72671004</v>
      </c>
      <c r="H3" s="391">
        <f>G3/$G$2</f>
        <v>1.2275836723458056</v>
      </c>
      <c r="J3" s="320"/>
      <c r="K3" s="388"/>
      <c r="L3" s="350" t="s">
        <v>213</v>
      </c>
      <c r="M3" s="426">
        <v>3004</v>
      </c>
      <c r="N3" s="426">
        <f t="shared" ref="N3:AB3" si="1">M3+M11/30</f>
        <v>3005</v>
      </c>
      <c r="O3" s="426">
        <f t="shared" si="1"/>
        <v>3006</v>
      </c>
      <c r="P3" s="426">
        <f t="shared" si="1"/>
        <v>3007</v>
      </c>
      <c r="Q3" s="426">
        <f t="shared" si="1"/>
        <v>3008</v>
      </c>
      <c r="R3" s="426">
        <f t="shared" si="1"/>
        <v>3009</v>
      </c>
      <c r="S3" s="426">
        <f t="shared" si="1"/>
        <v>3010</v>
      </c>
      <c r="T3" s="426">
        <f t="shared" si="1"/>
        <v>3011</v>
      </c>
      <c r="U3" s="426">
        <f t="shared" si="1"/>
        <v>3012</v>
      </c>
      <c r="V3" s="426">
        <f t="shared" si="1"/>
        <v>3013</v>
      </c>
      <c r="W3" s="426">
        <f t="shared" si="1"/>
        <v>3014</v>
      </c>
      <c r="X3" s="426">
        <f t="shared" si="1"/>
        <v>3015</v>
      </c>
      <c r="Y3" s="426">
        <f t="shared" si="1"/>
        <v>3016</v>
      </c>
      <c r="Z3" s="426">
        <f t="shared" si="1"/>
        <v>3017</v>
      </c>
      <c r="AA3" s="426">
        <f t="shared" si="1"/>
        <v>3018</v>
      </c>
      <c r="AB3" s="426">
        <f t="shared" si="1"/>
        <v>3019</v>
      </c>
      <c r="AC3" s="318"/>
      <c r="AD3" t="s">
        <v>666</v>
      </c>
      <c r="AE3" t="s">
        <v>667</v>
      </c>
      <c r="AF3">
        <f>62000*14</f>
        <v>868000</v>
      </c>
    </row>
    <row r="4" spans="2:32" ht="18.75" x14ac:dyDescent="0.3">
      <c r="B4" s="544" t="s">
        <v>217</v>
      </c>
      <c r="C4" s="395">
        <f>(45*35404)+(75*13589)+(90*11811)+(300*1417)+L17</f>
        <v>4100445</v>
      </c>
      <c r="D4" s="396">
        <f>C4/C2</f>
        <v>6.926613166582915E-2</v>
      </c>
      <c r="E4" s="397"/>
      <c r="F4" s="546" t="s">
        <v>218</v>
      </c>
      <c r="G4" s="395">
        <v>300000</v>
      </c>
      <c r="H4" s="396">
        <f>G4/$G$2</f>
        <v>5.0677035052899728E-3</v>
      </c>
      <c r="I4" s="399"/>
      <c r="J4" s="427" t="s">
        <v>507</v>
      </c>
      <c r="K4" s="427"/>
      <c r="L4" s="428">
        <v>0</v>
      </c>
      <c r="M4" s="429">
        <f>L4</f>
        <v>0</v>
      </c>
      <c r="N4" s="429">
        <f>M26</f>
        <v>0</v>
      </c>
      <c r="O4" s="429">
        <f t="shared" ref="O4:AB4" si="2">N26</f>
        <v>0</v>
      </c>
      <c r="P4" s="429">
        <f t="shared" si="2"/>
        <v>0</v>
      </c>
      <c r="Q4" s="429">
        <f t="shared" si="2"/>
        <v>0</v>
      </c>
      <c r="R4" s="429">
        <f t="shared" si="2"/>
        <v>0</v>
      </c>
      <c r="S4" s="429">
        <f t="shared" si="2"/>
        <v>0</v>
      </c>
      <c r="T4" s="429">
        <f t="shared" si="2"/>
        <v>0</v>
      </c>
      <c r="U4" s="429">
        <f t="shared" si="2"/>
        <v>0</v>
      </c>
      <c r="V4" s="429">
        <f t="shared" si="2"/>
        <v>0</v>
      </c>
      <c r="W4" s="429">
        <f t="shared" si="2"/>
        <v>0</v>
      </c>
      <c r="X4" s="429">
        <f t="shared" si="2"/>
        <v>0</v>
      </c>
      <c r="Y4" s="429">
        <f t="shared" si="2"/>
        <v>0</v>
      </c>
      <c r="Z4" s="429">
        <f t="shared" si="2"/>
        <v>0</v>
      </c>
      <c r="AA4" s="429">
        <f t="shared" si="2"/>
        <v>0</v>
      </c>
      <c r="AB4" s="429">
        <f t="shared" si="2"/>
        <v>0</v>
      </c>
      <c r="AC4" s="393"/>
      <c r="AD4" t="s">
        <v>668</v>
      </c>
      <c r="AE4" t="s">
        <v>669</v>
      </c>
      <c r="AF4">
        <f>17*32500</f>
        <v>552500</v>
      </c>
    </row>
    <row r="5" spans="2:32" ht="18.75" x14ac:dyDescent="0.3">
      <c r="B5" s="544" t="s">
        <v>220</v>
      </c>
      <c r="C5" s="395">
        <f>4800000+L21</f>
        <v>4800000</v>
      </c>
      <c r="D5" s="396">
        <f>C5/C2</f>
        <v>8.1083256084639566E-2</v>
      </c>
      <c r="E5" s="397"/>
      <c r="F5" s="546" t="s">
        <v>508</v>
      </c>
      <c r="G5" s="395">
        <v>72371004</v>
      </c>
      <c r="H5" s="396">
        <f>G5/$G$2</f>
        <v>1.2225159688405156</v>
      </c>
      <c r="I5" s="399"/>
      <c r="J5" s="430" t="s">
        <v>216</v>
      </c>
      <c r="K5" s="430"/>
      <c r="L5" s="431">
        <v>8247419</v>
      </c>
      <c r="M5" s="432">
        <f>L5</f>
        <v>8247419</v>
      </c>
      <c r="N5" s="432">
        <f t="shared" ref="N5:AB5" si="3">M27</f>
        <v>7929295</v>
      </c>
      <c r="O5" s="432">
        <f t="shared" si="3"/>
        <v>7637901</v>
      </c>
      <c r="P5" s="432">
        <f t="shared" si="3"/>
        <v>7890541</v>
      </c>
      <c r="Q5" s="432">
        <f t="shared" si="3"/>
        <v>8250883</v>
      </c>
      <c r="R5" s="432">
        <f t="shared" si="3"/>
        <v>8060199</v>
      </c>
      <c r="S5" s="432">
        <f t="shared" si="3"/>
        <v>8077029</v>
      </c>
      <c r="T5" s="432">
        <f t="shared" si="3"/>
        <v>7739255</v>
      </c>
      <c r="U5" s="432">
        <f t="shared" si="3"/>
        <v>8061481</v>
      </c>
      <c r="V5" s="432">
        <f t="shared" si="3"/>
        <v>7723707</v>
      </c>
      <c r="W5" s="432">
        <f t="shared" si="3"/>
        <v>8045933</v>
      </c>
      <c r="X5" s="432">
        <f t="shared" si="3"/>
        <v>7708159</v>
      </c>
      <c r="Y5" s="432">
        <f t="shared" si="3"/>
        <v>8030385</v>
      </c>
      <c r="Z5" s="432">
        <f t="shared" si="3"/>
        <v>7692611</v>
      </c>
      <c r="AA5" s="432">
        <f t="shared" si="3"/>
        <v>8014837</v>
      </c>
      <c r="AB5" s="432">
        <f t="shared" si="3"/>
        <v>7692063</v>
      </c>
      <c r="AC5" s="393"/>
      <c r="AD5" t="s">
        <v>670</v>
      </c>
      <c r="AE5" t="s">
        <v>671</v>
      </c>
      <c r="AF5">
        <v>220000</v>
      </c>
    </row>
    <row r="6" spans="2:32" ht="21" x14ac:dyDescent="0.35">
      <c r="B6" s="544" t="s">
        <v>509</v>
      </c>
      <c r="C6" s="395">
        <v>0</v>
      </c>
      <c r="D6" s="396">
        <f>C6/C2</f>
        <v>0</v>
      </c>
      <c r="E6" s="392"/>
      <c r="F6" s="317"/>
      <c r="G6" s="390"/>
      <c r="H6" s="391"/>
      <c r="J6" s="400" t="s">
        <v>219</v>
      </c>
      <c r="K6" s="400" t="s">
        <v>219</v>
      </c>
      <c r="L6" s="433">
        <f t="shared" ref="L6:L25" si="4">SUM(M6:AB6)</f>
        <v>4766254</v>
      </c>
      <c r="M6" s="401">
        <v>34650</v>
      </c>
      <c r="N6" s="526">
        <v>61380</v>
      </c>
      <c r="O6" s="526">
        <f>519614+85800</f>
        <v>605414</v>
      </c>
      <c r="P6" s="526">
        <v>713116</v>
      </c>
      <c r="Q6" s="526">
        <v>162090</v>
      </c>
      <c r="R6" s="521">
        <v>369604</v>
      </c>
      <c r="S6" s="521">
        <v>15000</v>
      </c>
      <c r="T6" s="521">
        <f>65000+610000</f>
        <v>675000</v>
      </c>
      <c r="U6" s="521">
        <v>15000</v>
      </c>
      <c r="V6" s="521">
        <f>65000+610000</f>
        <v>675000</v>
      </c>
      <c r="W6" s="521">
        <v>15000</v>
      </c>
      <c r="X6" s="521">
        <f>65000+610000</f>
        <v>675000</v>
      </c>
      <c r="Y6" s="521">
        <v>15000</v>
      </c>
      <c r="Z6" s="521">
        <f>65000+610000</f>
        <v>675000</v>
      </c>
      <c r="AA6" s="521">
        <v>30000</v>
      </c>
      <c r="AB6" s="521">
        <v>30000</v>
      </c>
      <c r="AC6" s="318"/>
      <c r="AE6" t="s">
        <v>672</v>
      </c>
      <c r="AF6">
        <v>74500</v>
      </c>
    </row>
    <row r="7" spans="2:32" ht="21" x14ac:dyDescent="0.35">
      <c r="B7" s="389" t="s">
        <v>510</v>
      </c>
      <c r="C7" s="390">
        <f>C9</f>
        <v>0</v>
      </c>
      <c r="D7" s="391">
        <f>C7/C2</f>
        <v>0</v>
      </c>
      <c r="E7" s="392"/>
      <c r="F7" s="317" t="s">
        <v>588</v>
      </c>
      <c r="G7" s="390">
        <f>G8+G9+G10</f>
        <v>-22317456</v>
      </c>
      <c r="H7" s="391">
        <f>G7/$G$2</f>
        <v>-0.37699416666784913</v>
      </c>
      <c r="J7" s="400" t="s">
        <v>221</v>
      </c>
      <c r="K7" s="400" t="s">
        <v>221</v>
      </c>
      <c r="L7" s="433">
        <f t="shared" si="4"/>
        <v>3008000</v>
      </c>
      <c r="M7" s="402">
        <v>188000</v>
      </c>
      <c r="N7" s="527">
        <f>M7</f>
        <v>188000</v>
      </c>
      <c r="O7" s="527">
        <f>N7</f>
        <v>188000</v>
      </c>
      <c r="P7" s="527">
        <f t="shared" ref="P7:AB7" si="5">O7</f>
        <v>188000</v>
      </c>
      <c r="Q7" s="527">
        <f t="shared" si="5"/>
        <v>188000</v>
      </c>
      <c r="R7" s="527">
        <f t="shared" si="5"/>
        <v>188000</v>
      </c>
      <c r="S7" s="527">
        <f t="shared" si="5"/>
        <v>188000</v>
      </c>
      <c r="T7" s="527">
        <f t="shared" si="5"/>
        <v>188000</v>
      </c>
      <c r="U7" s="527">
        <f t="shared" si="5"/>
        <v>188000</v>
      </c>
      <c r="V7" s="527">
        <f t="shared" si="5"/>
        <v>188000</v>
      </c>
      <c r="W7" s="527">
        <f t="shared" si="5"/>
        <v>188000</v>
      </c>
      <c r="X7" s="527">
        <f t="shared" si="5"/>
        <v>188000</v>
      </c>
      <c r="Y7" s="527">
        <f t="shared" si="5"/>
        <v>188000</v>
      </c>
      <c r="Z7" s="527">
        <f t="shared" si="5"/>
        <v>188000</v>
      </c>
      <c r="AA7" s="527">
        <f t="shared" si="5"/>
        <v>188000</v>
      </c>
      <c r="AB7" s="527">
        <f t="shared" si="5"/>
        <v>188000</v>
      </c>
      <c r="AC7" s="318"/>
      <c r="AD7" t="s">
        <v>673</v>
      </c>
      <c r="AE7" t="s">
        <v>674</v>
      </c>
      <c r="AF7">
        <f>3*77500</f>
        <v>232500</v>
      </c>
    </row>
    <row r="8" spans="2:32" ht="18.75" x14ac:dyDescent="0.3">
      <c r="B8" s="544" t="s">
        <v>511</v>
      </c>
      <c r="C8" s="395">
        <f>L4</f>
        <v>0</v>
      </c>
      <c r="D8" s="392"/>
      <c r="E8" s="392"/>
      <c r="F8" s="546" t="s">
        <v>606</v>
      </c>
      <c r="G8" s="395">
        <f>C6+C13+(C26-C25)</f>
        <v>-22317456</v>
      </c>
      <c r="H8" s="396">
        <f>G8/$G$2</f>
        <v>-0.37699416666784913</v>
      </c>
      <c r="J8" s="400" t="s">
        <v>222</v>
      </c>
      <c r="K8" s="400" t="s">
        <v>223</v>
      </c>
      <c r="L8" s="433">
        <f t="shared" si="4"/>
        <v>0</v>
      </c>
      <c r="M8" s="401">
        <v>0</v>
      </c>
      <c r="N8" s="526">
        <v>0</v>
      </c>
      <c r="O8" s="526">
        <v>0</v>
      </c>
      <c r="P8" s="526">
        <v>0</v>
      </c>
      <c r="Q8" s="526">
        <v>0</v>
      </c>
      <c r="R8" s="521">
        <v>0</v>
      </c>
      <c r="S8" s="521">
        <v>0</v>
      </c>
      <c r="T8" s="521">
        <v>0</v>
      </c>
      <c r="U8" s="521">
        <v>0</v>
      </c>
      <c r="V8" s="521">
        <v>0</v>
      </c>
      <c r="W8" s="521">
        <v>0</v>
      </c>
      <c r="X8" s="521">
        <v>0</v>
      </c>
      <c r="Y8" s="521">
        <v>0</v>
      </c>
      <c r="Z8" s="521">
        <v>0</v>
      </c>
      <c r="AA8" s="521">
        <v>0</v>
      </c>
      <c r="AB8" s="521">
        <v>0</v>
      </c>
      <c r="AC8" s="318"/>
      <c r="AE8" t="s">
        <v>675</v>
      </c>
      <c r="AF8">
        <f>32*8500</f>
        <v>272000</v>
      </c>
    </row>
    <row r="9" spans="2:32" ht="18.75" x14ac:dyDescent="0.3">
      <c r="B9" s="544" t="s">
        <v>512</v>
      </c>
      <c r="C9" s="403">
        <f>L26</f>
        <v>0</v>
      </c>
      <c r="D9" s="396">
        <f>C9/C2</f>
        <v>0</v>
      </c>
      <c r="E9" s="392"/>
      <c r="F9" s="546" t="s">
        <v>603</v>
      </c>
      <c r="G9" s="403">
        <f>C23</f>
        <v>0</v>
      </c>
      <c r="H9" s="396">
        <f>G9/$G$2</f>
        <v>0</v>
      </c>
      <c r="J9" s="400"/>
      <c r="K9" s="400" t="s">
        <v>224</v>
      </c>
      <c r="L9" s="433">
        <f t="shared" si="4"/>
        <v>0</v>
      </c>
      <c r="M9" s="401">
        <v>0</v>
      </c>
      <c r="N9" s="526">
        <v>0</v>
      </c>
      <c r="O9" s="526">
        <v>0</v>
      </c>
      <c r="P9" s="526">
        <v>0</v>
      </c>
      <c r="Q9" s="526">
        <v>0</v>
      </c>
      <c r="R9" s="521">
        <v>0</v>
      </c>
      <c r="S9" s="521">
        <v>0</v>
      </c>
      <c r="T9" s="521">
        <v>0</v>
      </c>
      <c r="U9" s="521">
        <v>0</v>
      </c>
      <c r="V9" s="521">
        <v>0</v>
      </c>
      <c r="W9" s="521">
        <v>0</v>
      </c>
      <c r="X9" s="521">
        <v>0</v>
      </c>
      <c r="Y9" s="521">
        <v>0</v>
      </c>
      <c r="Z9" s="521">
        <v>0</v>
      </c>
      <c r="AA9" s="521">
        <v>0</v>
      </c>
      <c r="AB9" s="521">
        <v>0</v>
      </c>
      <c r="AC9" s="318"/>
      <c r="AD9" t="s">
        <v>676</v>
      </c>
      <c r="AE9" t="s">
        <v>677</v>
      </c>
      <c r="AF9">
        <v>700000</v>
      </c>
    </row>
    <row r="10" spans="2:32" ht="21" x14ac:dyDescent="0.35">
      <c r="B10" s="404" t="s">
        <v>230</v>
      </c>
      <c r="C10" s="390">
        <f>C12+C13</f>
        <v>33993214</v>
      </c>
      <c r="D10" s="391">
        <f>C10/$C$2</f>
        <v>0.57422509914624065</v>
      </c>
      <c r="E10" s="392"/>
      <c r="F10" s="546" t="s">
        <v>604</v>
      </c>
      <c r="G10" s="390">
        <v>0</v>
      </c>
      <c r="H10" s="396">
        <f>G10/$G$2</f>
        <v>0</v>
      </c>
      <c r="J10" s="400" t="s">
        <v>226</v>
      </c>
      <c r="K10" s="400" t="s">
        <v>226</v>
      </c>
      <c r="L10" s="433">
        <f t="shared" si="4"/>
        <v>192000</v>
      </c>
      <c r="M10" s="402">
        <v>12000</v>
      </c>
      <c r="N10" s="527">
        <f>M10</f>
        <v>12000</v>
      </c>
      <c r="O10" s="527">
        <f t="shared" ref="O10:AB10" si="6">N10</f>
        <v>12000</v>
      </c>
      <c r="P10" s="527">
        <f t="shared" si="6"/>
        <v>12000</v>
      </c>
      <c r="Q10" s="527">
        <f t="shared" si="6"/>
        <v>12000</v>
      </c>
      <c r="R10" s="527">
        <f t="shared" si="6"/>
        <v>12000</v>
      </c>
      <c r="S10" s="527">
        <f t="shared" si="6"/>
        <v>12000</v>
      </c>
      <c r="T10" s="527">
        <f t="shared" si="6"/>
        <v>12000</v>
      </c>
      <c r="U10" s="527">
        <f t="shared" si="6"/>
        <v>12000</v>
      </c>
      <c r="V10" s="527">
        <f t="shared" si="6"/>
        <v>12000</v>
      </c>
      <c r="W10" s="527">
        <f t="shared" si="6"/>
        <v>12000</v>
      </c>
      <c r="X10" s="527">
        <f t="shared" si="6"/>
        <v>12000</v>
      </c>
      <c r="Y10" s="527">
        <f t="shared" si="6"/>
        <v>12000</v>
      </c>
      <c r="Z10" s="527">
        <f t="shared" si="6"/>
        <v>12000</v>
      </c>
      <c r="AA10" s="527">
        <f t="shared" si="6"/>
        <v>12000</v>
      </c>
      <c r="AB10" s="527">
        <f t="shared" si="6"/>
        <v>12000</v>
      </c>
      <c r="AC10" s="318"/>
      <c r="AE10" t="s">
        <v>678</v>
      </c>
      <c r="AF10">
        <f>9*21500</f>
        <v>193500</v>
      </c>
    </row>
    <row r="11" spans="2:32" ht="18.75" x14ac:dyDescent="0.3">
      <c r="B11" s="544" t="s">
        <v>513</v>
      </c>
      <c r="C11" s="405">
        <f>K31</f>
        <v>77053066</v>
      </c>
      <c r="D11" s="396"/>
      <c r="E11" s="392"/>
      <c r="F11" s="398"/>
      <c r="G11" s="405"/>
      <c r="H11" s="392"/>
      <c r="J11" s="554" t="s">
        <v>227</v>
      </c>
      <c r="K11" s="400" t="s">
        <v>213</v>
      </c>
      <c r="L11" s="433">
        <f t="shared" si="4"/>
        <v>91080</v>
      </c>
      <c r="M11" s="402">
        <v>30</v>
      </c>
      <c r="N11" s="527">
        <f>M11</f>
        <v>30</v>
      </c>
      <c r="O11" s="527">
        <f t="shared" ref="O11:AA11" si="7">N11</f>
        <v>30</v>
      </c>
      <c r="P11" s="527">
        <f t="shared" si="7"/>
        <v>30</v>
      </c>
      <c r="Q11" s="527">
        <f t="shared" si="7"/>
        <v>30</v>
      </c>
      <c r="R11" s="527">
        <f t="shared" si="7"/>
        <v>30</v>
      </c>
      <c r="S11" s="527">
        <f t="shared" si="7"/>
        <v>30</v>
      </c>
      <c r="T11" s="527">
        <f t="shared" si="7"/>
        <v>30</v>
      </c>
      <c r="U11" s="527">
        <f t="shared" si="7"/>
        <v>30</v>
      </c>
      <c r="V11" s="527">
        <f t="shared" si="7"/>
        <v>30</v>
      </c>
      <c r="W11" s="527">
        <f t="shared" si="7"/>
        <v>30</v>
      </c>
      <c r="X11" s="527">
        <f t="shared" si="7"/>
        <v>30</v>
      </c>
      <c r="Y11" s="527">
        <f t="shared" si="7"/>
        <v>30</v>
      </c>
      <c r="Z11" s="527">
        <f t="shared" si="7"/>
        <v>30</v>
      </c>
      <c r="AA11" s="527">
        <f t="shared" si="7"/>
        <v>30</v>
      </c>
      <c r="AB11" s="522">
        <f>60+30*AB3</f>
        <v>90630</v>
      </c>
      <c r="AC11" s="318"/>
    </row>
    <row r="12" spans="2:32" ht="18.75" x14ac:dyDescent="0.3">
      <c r="B12" s="544" t="s">
        <v>600</v>
      </c>
      <c r="C12" s="405">
        <f>N31</f>
        <v>55523140</v>
      </c>
      <c r="D12" s="396"/>
      <c r="E12" s="392"/>
      <c r="F12" s="398"/>
      <c r="G12" s="405"/>
      <c r="H12" s="392"/>
      <c r="J12" s="554"/>
      <c r="K12" s="400" t="s">
        <v>228</v>
      </c>
      <c r="L12" s="433">
        <f t="shared" si="4"/>
        <v>0</v>
      </c>
      <c r="M12" s="402">
        <v>0</v>
      </c>
      <c r="N12" s="527">
        <v>0</v>
      </c>
      <c r="O12" s="527">
        <v>0</v>
      </c>
      <c r="P12" s="527">
        <v>0</v>
      </c>
      <c r="Q12" s="527">
        <v>0</v>
      </c>
      <c r="R12" s="522">
        <v>0</v>
      </c>
      <c r="S12" s="522">
        <v>0</v>
      </c>
      <c r="T12" s="522">
        <v>0</v>
      </c>
      <c r="U12" s="522">
        <v>0</v>
      </c>
      <c r="V12" s="522">
        <v>0</v>
      </c>
      <c r="W12" s="522">
        <v>0</v>
      </c>
      <c r="X12" s="522">
        <v>0</v>
      </c>
      <c r="Y12" s="522">
        <v>0</v>
      </c>
      <c r="Z12" s="522">
        <v>0</v>
      </c>
      <c r="AA12" s="522">
        <v>0</v>
      </c>
      <c r="AB12" s="522">
        <v>0</v>
      </c>
      <c r="AC12" s="318"/>
    </row>
    <row r="13" spans="2:32" ht="21" x14ac:dyDescent="0.35">
      <c r="B13" s="544" t="s">
        <v>514</v>
      </c>
      <c r="C13" s="405">
        <f>M31*-1</f>
        <v>-21529926</v>
      </c>
      <c r="D13" s="396">
        <f t="shared" ref="D13:D25" si="8">C13/$C$2</f>
        <v>-0.36369093819611242</v>
      </c>
      <c r="E13" s="392"/>
      <c r="F13" s="520"/>
      <c r="G13" s="390"/>
      <c r="H13" s="391"/>
      <c r="J13" s="554"/>
      <c r="K13" s="400" t="s">
        <v>225</v>
      </c>
      <c r="L13" s="433">
        <f t="shared" si="4"/>
        <v>0</v>
      </c>
      <c r="M13" s="402">
        <v>0</v>
      </c>
      <c r="N13" s="527">
        <v>0</v>
      </c>
      <c r="O13" s="527">
        <v>0</v>
      </c>
      <c r="P13" s="527">
        <v>0</v>
      </c>
      <c r="Q13" s="527">
        <f t="shared" ref="Q13:AB13" si="9">P13</f>
        <v>0</v>
      </c>
      <c r="R13" s="522">
        <f t="shared" si="9"/>
        <v>0</v>
      </c>
      <c r="S13" s="522">
        <f t="shared" si="9"/>
        <v>0</v>
      </c>
      <c r="T13" s="522">
        <f t="shared" si="9"/>
        <v>0</v>
      </c>
      <c r="U13" s="522">
        <f t="shared" si="9"/>
        <v>0</v>
      </c>
      <c r="V13" s="522">
        <f t="shared" si="9"/>
        <v>0</v>
      </c>
      <c r="W13" s="522">
        <f t="shared" si="9"/>
        <v>0</v>
      </c>
      <c r="X13" s="522">
        <f t="shared" si="9"/>
        <v>0</v>
      </c>
      <c r="Y13" s="522">
        <f t="shared" si="9"/>
        <v>0</v>
      </c>
      <c r="Z13" s="522">
        <f t="shared" si="9"/>
        <v>0</v>
      </c>
      <c r="AA13" s="522">
        <f t="shared" si="9"/>
        <v>0</v>
      </c>
      <c r="AB13" s="522">
        <f t="shared" si="9"/>
        <v>0</v>
      </c>
      <c r="AC13" s="318"/>
    </row>
    <row r="14" spans="2:32" ht="21" x14ac:dyDescent="0.35">
      <c r="B14" s="404" t="s">
        <v>605</v>
      </c>
      <c r="C14" s="390">
        <f>C15+C16+C17+C18+C19+C20+C21+C22+C23</f>
        <v>8057334</v>
      </c>
      <c r="D14" s="391">
        <f t="shared" si="8"/>
        <v>0.13610726585030694</v>
      </c>
      <c r="E14" s="392"/>
      <c r="F14" s="404" t="s">
        <v>607</v>
      </c>
      <c r="G14" s="390">
        <f>G15+G16+G17+G18+G19+G20+G21+G23</f>
        <v>8844864</v>
      </c>
      <c r="H14" s="391">
        <f t="shared" ref="H14:H20" si="10">G14/$G$2</f>
        <v>0.14941049432204365</v>
      </c>
      <c r="I14" s="399"/>
      <c r="J14" s="434" t="s">
        <v>229</v>
      </c>
      <c r="K14" s="435"/>
      <c r="L14" s="436">
        <f t="shared" si="4"/>
        <v>8057334</v>
      </c>
      <c r="M14" s="437">
        <f t="shared" ref="M14:AB14" si="11">SUM(M6:M13)</f>
        <v>234680</v>
      </c>
      <c r="N14" s="437">
        <f t="shared" si="11"/>
        <v>261410</v>
      </c>
      <c r="O14" s="437">
        <f t="shared" si="11"/>
        <v>805444</v>
      </c>
      <c r="P14" s="437">
        <f t="shared" si="11"/>
        <v>913146</v>
      </c>
      <c r="Q14" s="437">
        <f t="shared" si="11"/>
        <v>362120</v>
      </c>
      <c r="R14" s="523">
        <f t="shared" si="11"/>
        <v>569634</v>
      </c>
      <c r="S14" s="523">
        <f t="shared" si="11"/>
        <v>215030</v>
      </c>
      <c r="T14" s="523">
        <f t="shared" si="11"/>
        <v>875030</v>
      </c>
      <c r="U14" s="523">
        <f t="shared" si="11"/>
        <v>215030</v>
      </c>
      <c r="V14" s="523">
        <f t="shared" si="11"/>
        <v>875030</v>
      </c>
      <c r="W14" s="523">
        <f t="shared" si="11"/>
        <v>215030</v>
      </c>
      <c r="X14" s="523">
        <f t="shared" si="11"/>
        <v>875030</v>
      </c>
      <c r="Y14" s="523">
        <f t="shared" si="11"/>
        <v>215030</v>
      </c>
      <c r="Z14" s="523">
        <f t="shared" si="11"/>
        <v>875030</v>
      </c>
      <c r="AA14" s="523">
        <f t="shared" si="11"/>
        <v>230030</v>
      </c>
      <c r="AB14" s="523">
        <f t="shared" si="11"/>
        <v>320630</v>
      </c>
      <c r="AC14" s="393"/>
    </row>
    <row r="15" spans="2:32" ht="18.75" x14ac:dyDescent="0.3">
      <c r="B15" s="544" t="s">
        <v>213</v>
      </c>
      <c r="C15" s="395">
        <f>L11</f>
        <v>91080</v>
      </c>
      <c r="D15" s="396">
        <f t="shared" si="8"/>
        <v>1.5385547842060357E-3</v>
      </c>
      <c r="E15" s="392"/>
      <c r="F15" s="546" t="s">
        <v>515</v>
      </c>
      <c r="G15" s="403">
        <f>L16</f>
        <v>681088</v>
      </c>
      <c r="H15" s="396">
        <f t="shared" si="10"/>
        <v>1.1505173483369791E-2</v>
      </c>
      <c r="J15" s="438" t="s">
        <v>231</v>
      </c>
      <c r="K15" s="406" t="s">
        <v>242</v>
      </c>
      <c r="L15" s="439">
        <f t="shared" si="4"/>
        <v>6735296</v>
      </c>
      <c r="M15" s="407">
        <v>420956</v>
      </c>
      <c r="N15" s="528">
        <f>M15</f>
        <v>420956</v>
      </c>
      <c r="O15" s="528">
        <f t="shared" ref="O15:AB15" si="12">N15</f>
        <v>420956</v>
      </c>
      <c r="P15" s="528">
        <f t="shared" si="12"/>
        <v>420956</v>
      </c>
      <c r="Q15" s="528">
        <f t="shared" si="12"/>
        <v>420956</v>
      </c>
      <c r="R15" s="528">
        <f t="shared" si="12"/>
        <v>420956</v>
      </c>
      <c r="S15" s="528">
        <f t="shared" si="12"/>
        <v>420956</v>
      </c>
      <c r="T15" s="528">
        <f t="shared" si="12"/>
        <v>420956</v>
      </c>
      <c r="U15" s="528">
        <f t="shared" si="12"/>
        <v>420956</v>
      </c>
      <c r="V15" s="528">
        <f t="shared" si="12"/>
        <v>420956</v>
      </c>
      <c r="W15" s="528">
        <f t="shared" si="12"/>
        <v>420956</v>
      </c>
      <c r="X15" s="528">
        <f t="shared" si="12"/>
        <v>420956</v>
      </c>
      <c r="Y15" s="528">
        <f t="shared" si="12"/>
        <v>420956</v>
      </c>
      <c r="Z15" s="528">
        <f t="shared" si="12"/>
        <v>420956</v>
      </c>
      <c r="AA15" s="528">
        <f t="shared" si="12"/>
        <v>420956</v>
      </c>
      <c r="AB15" s="528">
        <f t="shared" si="12"/>
        <v>420956</v>
      </c>
      <c r="AC15" s="318"/>
    </row>
    <row r="16" spans="2:32" ht="18.75" x14ac:dyDescent="0.3">
      <c r="B16" s="544" t="s">
        <v>228</v>
      </c>
      <c r="C16" s="395">
        <f>L12</f>
        <v>0</v>
      </c>
      <c r="D16" s="396">
        <f t="shared" si="8"/>
        <v>0</v>
      </c>
      <c r="E16" s="392"/>
      <c r="F16" s="546" t="s">
        <v>242</v>
      </c>
      <c r="G16" s="403">
        <f>L15</f>
        <v>6735296</v>
      </c>
      <c r="H16" s="396">
        <f t="shared" si="10"/>
        <v>0.11377494382788511</v>
      </c>
      <c r="J16" s="438" t="s">
        <v>232</v>
      </c>
      <c r="K16" s="406" t="str">
        <f>J16</f>
        <v xml:space="preserve">Mantenimiento </v>
      </c>
      <c r="L16" s="439">
        <f t="shared" si="4"/>
        <v>681088</v>
      </c>
      <c r="M16" s="407">
        <v>42568</v>
      </c>
      <c r="N16" s="528">
        <f>M16</f>
        <v>42568</v>
      </c>
      <c r="O16" s="528">
        <f t="shared" ref="O16:AB16" si="13">N16</f>
        <v>42568</v>
      </c>
      <c r="P16" s="528">
        <f t="shared" si="13"/>
        <v>42568</v>
      </c>
      <c r="Q16" s="528">
        <f t="shared" si="13"/>
        <v>42568</v>
      </c>
      <c r="R16" s="524">
        <f t="shared" si="13"/>
        <v>42568</v>
      </c>
      <c r="S16" s="524">
        <f t="shared" si="13"/>
        <v>42568</v>
      </c>
      <c r="T16" s="524">
        <f t="shared" si="13"/>
        <v>42568</v>
      </c>
      <c r="U16" s="524">
        <f t="shared" si="13"/>
        <v>42568</v>
      </c>
      <c r="V16" s="524">
        <f t="shared" si="13"/>
        <v>42568</v>
      </c>
      <c r="W16" s="524">
        <f t="shared" si="13"/>
        <v>42568</v>
      </c>
      <c r="X16" s="524">
        <f t="shared" si="13"/>
        <v>42568</v>
      </c>
      <c r="Y16" s="524">
        <f t="shared" si="13"/>
        <v>42568</v>
      </c>
      <c r="Z16" s="524">
        <f t="shared" si="13"/>
        <v>42568</v>
      </c>
      <c r="AA16" s="524">
        <f t="shared" si="13"/>
        <v>42568</v>
      </c>
      <c r="AB16" s="524">
        <f t="shared" si="13"/>
        <v>42568</v>
      </c>
      <c r="AC16" s="318"/>
    </row>
    <row r="17" spans="2:29" ht="24" customHeight="1" x14ac:dyDescent="0.3">
      <c r="B17" s="544" t="s">
        <v>219</v>
      </c>
      <c r="C17" s="395">
        <f>L6</f>
        <v>4766254</v>
      </c>
      <c r="D17" s="396">
        <f t="shared" si="8"/>
        <v>8.0513207009674514E-2</v>
      </c>
      <c r="E17" s="392"/>
      <c r="F17" s="546" t="s">
        <v>234</v>
      </c>
      <c r="G17" s="403">
        <f>L18</f>
        <v>1044480</v>
      </c>
      <c r="H17" s="396">
        <f t="shared" si="10"/>
        <v>1.7643716524017569E-2</v>
      </c>
      <c r="J17" s="438" t="s">
        <v>233</v>
      </c>
      <c r="K17" s="406" t="s">
        <v>217</v>
      </c>
      <c r="L17" s="439">
        <f t="shared" si="4"/>
        <v>0</v>
      </c>
      <c r="M17" s="407">
        <v>0</v>
      </c>
      <c r="N17" s="528">
        <v>0</v>
      </c>
      <c r="O17" s="528">
        <v>0</v>
      </c>
      <c r="P17" s="528">
        <v>0</v>
      </c>
      <c r="Q17" s="528">
        <v>0</v>
      </c>
      <c r="R17" s="524">
        <v>0</v>
      </c>
      <c r="S17" s="524">
        <v>0</v>
      </c>
      <c r="T17" s="524">
        <v>0</v>
      </c>
      <c r="U17" s="524">
        <v>0</v>
      </c>
      <c r="V17" s="524">
        <v>0</v>
      </c>
      <c r="W17" s="524">
        <v>0</v>
      </c>
      <c r="X17" s="524">
        <v>0</v>
      </c>
      <c r="Y17" s="524">
        <v>0</v>
      </c>
      <c r="Z17" s="524">
        <v>0</v>
      </c>
      <c r="AA17" s="524">
        <v>0</v>
      </c>
      <c r="AB17" s="524">
        <v>0</v>
      </c>
      <c r="AC17" s="318"/>
    </row>
    <row r="18" spans="2:29" ht="18.75" x14ac:dyDescent="0.3">
      <c r="B18" s="544" t="s">
        <v>221</v>
      </c>
      <c r="C18" s="395">
        <f>L7</f>
        <v>3008000</v>
      </c>
      <c r="D18" s="396">
        <f t="shared" si="8"/>
        <v>5.0812173813040797E-2</v>
      </c>
      <c r="E18" s="397"/>
      <c r="F18" s="546" t="s">
        <v>236</v>
      </c>
      <c r="G18" s="408">
        <f>L19</f>
        <v>320000</v>
      </c>
      <c r="H18" s="396">
        <f t="shared" si="10"/>
        <v>5.4055504056426378E-3</v>
      </c>
      <c r="J18" s="438" t="s">
        <v>234</v>
      </c>
      <c r="K18" s="406" t="str">
        <f>J18</f>
        <v>Empleados</v>
      </c>
      <c r="L18" s="439">
        <f t="shared" si="4"/>
        <v>1044480</v>
      </c>
      <c r="M18" s="407">
        <v>65280</v>
      </c>
      <c r="N18" s="528">
        <f t="shared" ref="N18:AB24" si="14">M18</f>
        <v>65280</v>
      </c>
      <c r="O18" s="528">
        <f t="shared" si="14"/>
        <v>65280</v>
      </c>
      <c r="P18" s="528">
        <f t="shared" si="14"/>
        <v>65280</v>
      </c>
      <c r="Q18" s="528">
        <f t="shared" si="14"/>
        <v>65280</v>
      </c>
      <c r="R18" s="524">
        <f t="shared" si="14"/>
        <v>65280</v>
      </c>
      <c r="S18" s="524">
        <f t="shared" si="14"/>
        <v>65280</v>
      </c>
      <c r="T18" s="524">
        <f t="shared" si="14"/>
        <v>65280</v>
      </c>
      <c r="U18" s="524">
        <f t="shared" si="14"/>
        <v>65280</v>
      </c>
      <c r="V18" s="524">
        <f t="shared" si="14"/>
        <v>65280</v>
      </c>
      <c r="W18" s="524">
        <f t="shared" si="14"/>
        <v>65280</v>
      </c>
      <c r="X18" s="524">
        <f t="shared" si="14"/>
        <v>65280</v>
      </c>
      <c r="Y18" s="524">
        <f t="shared" si="14"/>
        <v>65280</v>
      </c>
      <c r="Z18" s="524">
        <f t="shared" si="14"/>
        <v>65280</v>
      </c>
      <c r="AA18" s="524">
        <f t="shared" si="14"/>
        <v>65280</v>
      </c>
      <c r="AB18" s="524">
        <f t="shared" si="14"/>
        <v>65280</v>
      </c>
      <c r="AC18" s="318"/>
    </row>
    <row r="19" spans="2:29" ht="18.75" x14ac:dyDescent="0.3">
      <c r="B19" s="544" t="s">
        <v>226</v>
      </c>
      <c r="C19" s="395">
        <f>L10</f>
        <v>192000</v>
      </c>
      <c r="D19" s="396">
        <f t="shared" si="8"/>
        <v>3.2433302433855825E-3</v>
      </c>
      <c r="E19" s="397"/>
      <c r="F19" s="547" t="s">
        <v>238</v>
      </c>
      <c r="G19" s="408">
        <f>L22</f>
        <v>64000</v>
      </c>
      <c r="H19" s="396">
        <f t="shared" si="10"/>
        <v>1.0811100811285277E-3</v>
      </c>
      <c r="J19" s="438" t="s">
        <v>236</v>
      </c>
      <c r="K19" s="406" t="str">
        <f>J19</f>
        <v>Juveniles</v>
      </c>
      <c r="L19" s="439">
        <f t="shared" si="4"/>
        <v>320000</v>
      </c>
      <c r="M19" s="407">
        <v>20000</v>
      </c>
      <c r="N19" s="528">
        <f t="shared" si="14"/>
        <v>20000</v>
      </c>
      <c r="O19" s="528">
        <f t="shared" si="14"/>
        <v>20000</v>
      </c>
      <c r="P19" s="528">
        <f t="shared" si="14"/>
        <v>20000</v>
      </c>
      <c r="Q19" s="528">
        <f t="shared" si="14"/>
        <v>20000</v>
      </c>
      <c r="R19" s="524">
        <f t="shared" si="14"/>
        <v>20000</v>
      </c>
      <c r="S19" s="524">
        <f t="shared" si="14"/>
        <v>20000</v>
      </c>
      <c r="T19" s="524">
        <f t="shared" si="14"/>
        <v>20000</v>
      </c>
      <c r="U19" s="524">
        <f t="shared" si="14"/>
        <v>20000</v>
      </c>
      <c r="V19" s="524">
        <f t="shared" si="14"/>
        <v>20000</v>
      </c>
      <c r="W19" s="524">
        <f t="shared" si="14"/>
        <v>20000</v>
      </c>
      <c r="X19" s="524">
        <f t="shared" si="14"/>
        <v>20000</v>
      </c>
      <c r="Y19" s="524">
        <f t="shared" si="14"/>
        <v>20000</v>
      </c>
      <c r="Z19" s="524">
        <f t="shared" si="14"/>
        <v>20000</v>
      </c>
      <c r="AA19" s="524">
        <f t="shared" si="14"/>
        <v>20000</v>
      </c>
      <c r="AB19" s="524">
        <f t="shared" si="14"/>
        <v>20000</v>
      </c>
      <c r="AC19" s="318"/>
    </row>
    <row r="20" spans="2:29" ht="18.75" x14ac:dyDescent="0.3">
      <c r="B20" s="544" t="s">
        <v>517</v>
      </c>
      <c r="C20" s="395">
        <f>L13</f>
        <v>0</v>
      </c>
      <c r="D20" s="396">
        <f t="shared" si="8"/>
        <v>0</v>
      </c>
      <c r="E20" s="397"/>
      <c r="F20" s="546" t="s">
        <v>239</v>
      </c>
      <c r="G20" s="390">
        <f>L24</f>
        <v>0</v>
      </c>
      <c r="H20" s="396">
        <f t="shared" si="10"/>
        <v>0</v>
      </c>
      <c r="J20" s="438" t="s">
        <v>237</v>
      </c>
      <c r="K20" s="406" t="s">
        <v>235</v>
      </c>
      <c r="L20" s="439">
        <f t="shared" si="4"/>
        <v>0</v>
      </c>
      <c r="M20" s="407">
        <v>0</v>
      </c>
      <c r="N20" s="528">
        <v>0</v>
      </c>
      <c r="O20" s="528">
        <f t="shared" si="14"/>
        <v>0</v>
      </c>
      <c r="P20" s="528">
        <f t="shared" si="14"/>
        <v>0</v>
      </c>
      <c r="Q20" s="528">
        <f t="shared" si="14"/>
        <v>0</v>
      </c>
      <c r="R20" s="524">
        <v>0</v>
      </c>
      <c r="S20" s="524">
        <v>0</v>
      </c>
      <c r="T20" s="524">
        <v>0</v>
      </c>
      <c r="U20" s="524">
        <v>0</v>
      </c>
      <c r="V20" s="524">
        <v>0</v>
      </c>
      <c r="W20" s="524">
        <v>0</v>
      </c>
      <c r="X20" s="524">
        <f t="shared" si="14"/>
        <v>0</v>
      </c>
      <c r="Y20" s="524">
        <f t="shared" si="14"/>
        <v>0</v>
      </c>
      <c r="Z20" s="524">
        <v>0</v>
      </c>
      <c r="AA20" s="524">
        <v>0</v>
      </c>
      <c r="AB20" s="524">
        <v>0</v>
      </c>
      <c r="AC20" s="318"/>
    </row>
    <row r="21" spans="2:29" ht="18.75" x14ac:dyDescent="0.3">
      <c r="B21" s="544" t="s">
        <v>518</v>
      </c>
      <c r="C21" s="395">
        <f>L23*-1</f>
        <v>0</v>
      </c>
      <c r="D21" s="396">
        <f t="shared" si="8"/>
        <v>0</v>
      </c>
      <c r="E21" s="392"/>
      <c r="F21" s="394"/>
      <c r="G21" s="405"/>
      <c r="H21" s="396"/>
      <c r="J21" s="555" t="s">
        <v>227</v>
      </c>
      <c r="K21" s="406" t="s">
        <v>220</v>
      </c>
      <c r="L21" s="439">
        <f t="shared" si="4"/>
        <v>0</v>
      </c>
      <c r="M21" s="407">
        <v>0</v>
      </c>
      <c r="N21" s="528">
        <f>M21</f>
        <v>0</v>
      </c>
      <c r="O21" s="528">
        <f t="shared" si="14"/>
        <v>0</v>
      </c>
      <c r="P21" s="528">
        <f t="shared" si="14"/>
        <v>0</v>
      </c>
      <c r="Q21" s="528">
        <f t="shared" si="14"/>
        <v>0</v>
      </c>
      <c r="R21" s="524">
        <f t="shared" si="14"/>
        <v>0</v>
      </c>
      <c r="S21" s="524">
        <f t="shared" si="14"/>
        <v>0</v>
      </c>
      <c r="T21" s="524">
        <f t="shared" si="14"/>
        <v>0</v>
      </c>
      <c r="U21" s="524">
        <f t="shared" si="14"/>
        <v>0</v>
      </c>
      <c r="V21" s="524">
        <f t="shared" si="14"/>
        <v>0</v>
      </c>
      <c r="W21" s="524">
        <f t="shared" si="14"/>
        <v>0</v>
      </c>
      <c r="X21" s="524">
        <f t="shared" si="14"/>
        <v>0</v>
      </c>
      <c r="Y21" s="524">
        <f t="shared" si="14"/>
        <v>0</v>
      </c>
      <c r="Z21" s="524">
        <v>0</v>
      </c>
      <c r="AA21" s="524">
        <f t="shared" ref="AA21:AB24" si="15">Z21</f>
        <v>0</v>
      </c>
      <c r="AB21" s="524">
        <f t="shared" si="15"/>
        <v>0</v>
      </c>
      <c r="AC21" s="318"/>
    </row>
    <row r="22" spans="2:29" ht="18.75" x14ac:dyDescent="0.3">
      <c r="B22" s="394"/>
      <c r="C22" s="395"/>
      <c r="D22" s="396"/>
      <c r="E22" s="392"/>
      <c r="F22" s="398"/>
      <c r="G22" s="403"/>
      <c r="H22" s="396"/>
      <c r="J22" s="555"/>
      <c r="K22" s="406" t="s">
        <v>238</v>
      </c>
      <c r="L22" s="439">
        <f t="shared" si="4"/>
        <v>64000</v>
      </c>
      <c r="M22" s="407">
        <v>4000</v>
      </c>
      <c r="N22" s="528">
        <f>M22</f>
        <v>4000</v>
      </c>
      <c r="O22" s="528">
        <f t="shared" si="14"/>
        <v>4000</v>
      </c>
      <c r="P22" s="528">
        <f t="shared" si="14"/>
        <v>4000</v>
      </c>
      <c r="Q22" s="528">
        <f t="shared" si="14"/>
        <v>4000</v>
      </c>
      <c r="R22" s="528">
        <f t="shared" si="14"/>
        <v>4000</v>
      </c>
      <c r="S22" s="528">
        <f t="shared" si="14"/>
        <v>4000</v>
      </c>
      <c r="T22" s="528">
        <f t="shared" si="14"/>
        <v>4000</v>
      </c>
      <c r="U22" s="528">
        <f t="shared" si="14"/>
        <v>4000</v>
      </c>
      <c r="V22" s="528">
        <f t="shared" si="14"/>
        <v>4000</v>
      </c>
      <c r="W22" s="528">
        <f t="shared" si="14"/>
        <v>4000</v>
      </c>
      <c r="X22" s="528">
        <f t="shared" si="14"/>
        <v>4000</v>
      </c>
      <c r="Y22" s="528">
        <f t="shared" si="14"/>
        <v>4000</v>
      </c>
      <c r="Z22" s="528">
        <f t="shared" ref="Z22" si="16">Y22</f>
        <v>4000</v>
      </c>
      <c r="AA22" s="528">
        <f t="shared" si="15"/>
        <v>4000</v>
      </c>
      <c r="AB22" s="528">
        <f t="shared" si="15"/>
        <v>4000</v>
      </c>
      <c r="AC22" s="318"/>
    </row>
    <row r="23" spans="2:29" ht="18.75" x14ac:dyDescent="0.3">
      <c r="B23" s="544" t="s">
        <v>223</v>
      </c>
      <c r="C23" s="395">
        <f>L8+L9</f>
        <v>0</v>
      </c>
      <c r="D23" s="396">
        <f t="shared" si="8"/>
        <v>0</v>
      </c>
      <c r="E23" s="392"/>
      <c r="F23" s="394" t="s">
        <v>665</v>
      </c>
      <c r="G23" s="403">
        <f>L20</f>
        <v>0</v>
      </c>
      <c r="H23" s="396">
        <f t="shared" ref="H23" si="17">G23/$G$2</f>
        <v>0</v>
      </c>
      <c r="J23" s="555"/>
      <c r="K23" s="406" t="s">
        <v>225</v>
      </c>
      <c r="L23" s="439">
        <f t="shared" si="4"/>
        <v>0</v>
      </c>
      <c r="M23" s="407">
        <v>0</v>
      </c>
      <c r="N23" s="528">
        <f>M23</f>
        <v>0</v>
      </c>
      <c r="O23" s="528">
        <f t="shared" si="14"/>
        <v>0</v>
      </c>
      <c r="P23" s="528">
        <f t="shared" si="14"/>
        <v>0</v>
      </c>
      <c r="Q23" s="528">
        <f t="shared" si="14"/>
        <v>0</v>
      </c>
      <c r="R23" s="524">
        <f t="shared" si="14"/>
        <v>0</v>
      </c>
      <c r="S23" s="524">
        <f t="shared" si="14"/>
        <v>0</v>
      </c>
      <c r="T23" s="524">
        <f t="shared" si="14"/>
        <v>0</v>
      </c>
      <c r="U23" s="524">
        <f t="shared" si="14"/>
        <v>0</v>
      </c>
      <c r="V23" s="524">
        <f t="shared" si="14"/>
        <v>0</v>
      </c>
      <c r="W23" s="524">
        <f t="shared" si="14"/>
        <v>0</v>
      </c>
      <c r="X23" s="524">
        <f t="shared" si="14"/>
        <v>0</v>
      </c>
      <c r="Y23" s="524">
        <f t="shared" si="14"/>
        <v>0</v>
      </c>
      <c r="Z23" s="524">
        <v>0</v>
      </c>
      <c r="AA23" s="524">
        <f t="shared" si="15"/>
        <v>0</v>
      </c>
      <c r="AB23" s="524">
        <f t="shared" si="15"/>
        <v>0</v>
      </c>
      <c r="AC23" s="318"/>
    </row>
    <row r="24" spans="2:29" ht="21" x14ac:dyDescent="0.35">
      <c r="B24" s="404" t="s">
        <v>516</v>
      </c>
      <c r="C24" s="390">
        <f>C25</f>
        <v>8247419</v>
      </c>
      <c r="D24" s="391">
        <f t="shared" si="8"/>
        <v>0.13931824725298375</v>
      </c>
      <c r="E24" s="392"/>
      <c r="F24" s="398"/>
      <c r="G24" s="403"/>
      <c r="H24" s="392"/>
      <c r="J24" s="438" t="s">
        <v>239</v>
      </c>
      <c r="K24" s="406" t="str">
        <f>J24</f>
        <v>Intereses</v>
      </c>
      <c r="L24" s="439">
        <f t="shared" si="4"/>
        <v>0</v>
      </c>
      <c r="M24" s="407">
        <v>0</v>
      </c>
      <c r="N24" s="528">
        <f>M24</f>
        <v>0</v>
      </c>
      <c r="O24" s="528">
        <f t="shared" si="14"/>
        <v>0</v>
      </c>
      <c r="P24" s="528">
        <f t="shared" si="14"/>
        <v>0</v>
      </c>
      <c r="Q24" s="528">
        <f t="shared" si="14"/>
        <v>0</v>
      </c>
      <c r="R24" s="524">
        <f t="shared" si="14"/>
        <v>0</v>
      </c>
      <c r="S24" s="524">
        <f t="shared" si="14"/>
        <v>0</v>
      </c>
      <c r="T24" s="524">
        <f t="shared" si="14"/>
        <v>0</v>
      </c>
      <c r="U24" s="524">
        <f t="shared" si="14"/>
        <v>0</v>
      </c>
      <c r="V24" s="524">
        <f t="shared" si="14"/>
        <v>0</v>
      </c>
      <c r="W24" s="524">
        <f t="shared" si="14"/>
        <v>0</v>
      </c>
      <c r="X24" s="524">
        <f t="shared" si="14"/>
        <v>0</v>
      </c>
      <c r="Y24" s="524">
        <f t="shared" si="14"/>
        <v>0</v>
      </c>
      <c r="Z24" s="524">
        <v>0</v>
      </c>
      <c r="AA24" s="524">
        <f t="shared" si="15"/>
        <v>0</v>
      </c>
      <c r="AB24" s="524">
        <f t="shared" si="15"/>
        <v>0</v>
      </c>
      <c r="AC24" s="318"/>
    </row>
    <row r="25" spans="2:29" ht="18.75" x14ac:dyDescent="0.3">
      <c r="B25" s="544" t="s">
        <v>601</v>
      </c>
      <c r="C25" s="395">
        <f>L5</f>
        <v>8247419</v>
      </c>
      <c r="D25" s="396">
        <f t="shared" si="8"/>
        <v>0.13931824725298375</v>
      </c>
      <c r="E25" s="392"/>
      <c r="F25" s="398"/>
      <c r="G25" s="403"/>
      <c r="H25" s="392"/>
      <c r="I25" s="399"/>
      <c r="J25" s="440" t="s">
        <v>240</v>
      </c>
      <c r="K25" s="441"/>
      <c r="L25" s="442">
        <f t="shared" si="4"/>
        <v>8844864</v>
      </c>
      <c r="M25" s="443">
        <f t="shared" ref="M25:AB25" si="18">SUM(M15:M24)</f>
        <v>552804</v>
      </c>
      <c r="N25" s="443">
        <f t="shared" si="18"/>
        <v>552804</v>
      </c>
      <c r="O25" s="443">
        <f t="shared" si="18"/>
        <v>552804</v>
      </c>
      <c r="P25" s="443">
        <f t="shared" si="18"/>
        <v>552804</v>
      </c>
      <c r="Q25" s="443">
        <f t="shared" si="18"/>
        <v>552804</v>
      </c>
      <c r="R25" s="443">
        <f t="shared" si="18"/>
        <v>552804</v>
      </c>
      <c r="S25" s="443">
        <f t="shared" si="18"/>
        <v>552804</v>
      </c>
      <c r="T25" s="443">
        <f t="shared" si="18"/>
        <v>552804</v>
      </c>
      <c r="U25" s="443">
        <f t="shared" si="18"/>
        <v>552804</v>
      </c>
      <c r="V25" s="443">
        <f t="shared" si="18"/>
        <v>552804</v>
      </c>
      <c r="W25" s="443">
        <f t="shared" si="18"/>
        <v>552804</v>
      </c>
      <c r="X25" s="443">
        <f t="shared" si="18"/>
        <v>552804</v>
      </c>
      <c r="Y25" s="443">
        <f t="shared" si="18"/>
        <v>552804</v>
      </c>
      <c r="Z25" s="443">
        <f t="shared" si="18"/>
        <v>552804</v>
      </c>
      <c r="AA25" s="443">
        <f t="shared" si="18"/>
        <v>552804</v>
      </c>
      <c r="AB25" s="443">
        <f t="shared" si="18"/>
        <v>552804</v>
      </c>
      <c r="AC25" s="393"/>
    </row>
    <row r="26" spans="2:29" ht="18.75" x14ac:dyDescent="0.3">
      <c r="B26" s="544" t="s">
        <v>602</v>
      </c>
      <c r="C26" s="405">
        <f>L27</f>
        <v>7459889</v>
      </c>
      <c r="D26" s="396"/>
      <c r="E26" s="413"/>
      <c r="F26" s="414"/>
      <c r="G26" s="411"/>
      <c r="H26" s="413"/>
      <c r="I26" s="399"/>
      <c r="J26" s="427" t="s">
        <v>519</v>
      </c>
      <c r="K26" s="427"/>
      <c r="L26" s="428">
        <f>L4-L13+L23</f>
        <v>0</v>
      </c>
      <c r="M26" s="429">
        <f>M4-M13+M23</f>
        <v>0</v>
      </c>
      <c r="N26" s="429">
        <f t="shared" ref="N26:AB26" si="19">N4-N13+N23</f>
        <v>0</v>
      </c>
      <c r="O26" s="429">
        <f t="shared" si="19"/>
        <v>0</v>
      </c>
      <c r="P26" s="429">
        <f t="shared" si="19"/>
        <v>0</v>
      </c>
      <c r="Q26" s="429">
        <f t="shared" si="19"/>
        <v>0</v>
      </c>
      <c r="R26" s="429">
        <f t="shared" si="19"/>
        <v>0</v>
      </c>
      <c r="S26" s="429">
        <f t="shared" si="19"/>
        <v>0</v>
      </c>
      <c r="T26" s="429">
        <f t="shared" si="19"/>
        <v>0</v>
      </c>
      <c r="U26" s="429">
        <f t="shared" si="19"/>
        <v>0</v>
      </c>
      <c r="V26" s="429">
        <f t="shared" si="19"/>
        <v>0</v>
      </c>
      <c r="W26" s="429">
        <f t="shared" si="19"/>
        <v>0</v>
      </c>
      <c r="X26" s="429">
        <f t="shared" si="19"/>
        <v>0</v>
      </c>
      <c r="Y26" s="429">
        <f t="shared" si="19"/>
        <v>0</v>
      </c>
      <c r="Z26" s="429">
        <f t="shared" si="19"/>
        <v>0</v>
      </c>
      <c r="AA26" s="429">
        <f t="shared" si="19"/>
        <v>0</v>
      </c>
      <c r="AB26" s="429">
        <f t="shared" si="19"/>
        <v>0</v>
      </c>
      <c r="AC26" s="393"/>
    </row>
    <row r="27" spans="2:29" ht="18.75" x14ac:dyDescent="0.3">
      <c r="B27" s="394"/>
      <c r="C27" s="403"/>
      <c r="D27" s="396"/>
      <c r="E27" s="399"/>
      <c r="F27" s="399"/>
      <c r="G27" s="399"/>
      <c r="H27" s="399"/>
      <c r="I27" s="399"/>
      <c r="J27" s="430" t="s">
        <v>241</v>
      </c>
      <c r="K27" s="430"/>
      <c r="L27" s="431">
        <f>AB27</f>
        <v>7459889</v>
      </c>
      <c r="M27" s="432">
        <f t="shared" ref="M27:AB27" si="20">M5+M14-M25</f>
        <v>7929295</v>
      </c>
      <c r="N27" s="432">
        <f t="shared" si="20"/>
        <v>7637901</v>
      </c>
      <c r="O27" s="432">
        <f t="shared" si="20"/>
        <v>7890541</v>
      </c>
      <c r="P27" s="432">
        <f t="shared" si="20"/>
        <v>8250883</v>
      </c>
      <c r="Q27" s="432">
        <f t="shared" si="20"/>
        <v>8060199</v>
      </c>
      <c r="R27" s="432">
        <f t="shared" si="20"/>
        <v>8077029</v>
      </c>
      <c r="S27" s="432">
        <f t="shared" si="20"/>
        <v>7739255</v>
      </c>
      <c r="T27" s="432">
        <f t="shared" si="20"/>
        <v>8061481</v>
      </c>
      <c r="U27" s="432">
        <f t="shared" si="20"/>
        <v>7723707</v>
      </c>
      <c r="V27" s="432">
        <f t="shared" si="20"/>
        <v>8045933</v>
      </c>
      <c r="W27" s="432">
        <f t="shared" si="20"/>
        <v>7708159</v>
      </c>
      <c r="X27" s="432">
        <f t="shared" si="20"/>
        <v>8030385</v>
      </c>
      <c r="Y27" s="432">
        <f t="shared" si="20"/>
        <v>7692611</v>
      </c>
      <c r="Z27" s="432">
        <f t="shared" si="20"/>
        <v>8014837</v>
      </c>
      <c r="AA27" s="432">
        <f t="shared" si="20"/>
        <v>7692063</v>
      </c>
      <c r="AB27" s="432">
        <f t="shared" si="20"/>
        <v>7459889</v>
      </c>
      <c r="AC27" s="393"/>
    </row>
    <row r="28" spans="2:29" ht="15.75" x14ac:dyDescent="0.25">
      <c r="B28" s="394"/>
      <c r="C28" s="403"/>
      <c r="D28" s="396"/>
      <c r="J28" s="415"/>
      <c r="K28" s="415"/>
      <c r="L28" s="416"/>
      <c r="M28" s="417">
        <f>M1+7</f>
        <v>44550</v>
      </c>
      <c r="N28" s="417">
        <f t="shared" ref="N28:AB28" si="21">M28+7</f>
        <v>44557</v>
      </c>
      <c r="O28" s="417">
        <f t="shared" si="21"/>
        <v>44564</v>
      </c>
      <c r="P28" s="417">
        <f t="shared" si="21"/>
        <v>44571</v>
      </c>
      <c r="Q28" s="417">
        <f t="shared" si="21"/>
        <v>44578</v>
      </c>
      <c r="R28" s="417">
        <f t="shared" si="21"/>
        <v>44585</v>
      </c>
      <c r="S28" s="417">
        <f t="shared" si="21"/>
        <v>44592</v>
      </c>
      <c r="T28" s="417">
        <f t="shared" si="21"/>
        <v>44599</v>
      </c>
      <c r="U28" s="417">
        <f t="shared" si="21"/>
        <v>44606</v>
      </c>
      <c r="V28" s="417">
        <f t="shared" si="21"/>
        <v>44613</v>
      </c>
      <c r="W28" s="417">
        <f t="shared" si="21"/>
        <v>44620</v>
      </c>
      <c r="X28" s="417">
        <f t="shared" si="21"/>
        <v>44627</v>
      </c>
      <c r="Y28" s="417">
        <f t="shared" si="21"/>
        <v>44634</v>
      </c>
      <c r="Z28" s="417">
        <f t="shared" si="21"/>
        <v>44641</v>
      </c>
      <c r="AA28" s="417">
        <f t="shared" si="21"/>
        <v>44648</v>
      </c>
      <c r="AB28" s="417">
        <f t="shared" si="21"/>
        <v>44655</v>
      </c>
      <c r="AC28" s="318"/>
    </row>
    <row r="29" spans="2:29" ht="15.75" x14ac:dyDescent="0.25">
      <c r="B29" s="394"/>
      <c r="C29" s="403"/>
      <c r="D29" s="396"/>
      <c r="G29" s="387"/>
      <c r="J29" s="318"/>
      <c r="K29" s="318"/>
      <c r="L29" s="323"/>
      <c r="M29" s="318"/>
      <c r="N29" s="318"/>
      <c r="O29" s="318"/>
      <c r="P29" s="318"/>
      <c r="Q29" s="318"/>
      <c r="R29" s="318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</row>
    <row r="30" spans="2:29" ht="15.75" x14ac:dyDescent="0.25">
      <c r="B30" s="410"/>
      <c r="C30" s="411"/>
      <c r="D30" s="412"/>
      <c r="G30" s="387"/>
      <c r="J30" s="318"/>
      <c r="K30" s="318"/>
      <c r="L30" s="409" t="s">
        <v>520</v>
      </c>
      <c r="M30" s="418">
        <v>44537</v>
      </c>
      <c r="N30" s="318"/>
      <c r="O30" s="318"/>
      <c r="P30" s="318"/>
      <c r="Q30" s="318"/>
      <c r="R30" s="318"/>
      <c r="S30" s="318"/>
      <c r="T30" s="318"/>
      <c r="U30" s="318"/>
      <c r="V30" s="318"/>
      <c r="W30" s="318"/>
      <c r="X30" s="318"/>
      <c r="Y30" s="318"/>
      <c r="Z30" s="318"/>
      <c r="AA30" s="318"/>
      <c r="AB30" s="318"/>
      <c r="AC30" s="318"/>
    </row>
    <row r="31" spans="2:29" ht="15.75" x14ac:dyDescent="0.25">
      <c r="E31" s="421"/>
      <c r="F31" s="421"/>
      <c r="G31" s="529"/>
      <c r="H31" s="421"/>
      <c r="I31" s="421"/>
      <c r="J31" s="419"/>
      <c r="K31" s="420">
        <f>SUM(K33:K55)</f>
        <v>77053066</v>
      </c>
      <c r="L31" s="420">
        <f>SUM(L33:L55)</f>
        <v>75800000</v>
      </c>
      <c r="M31" s="420">
        <f>SUM(M33:M55)</f>
        <v>21529926</v>
      </c>
      <c r="N31" s="420">
        <f>SUM(N33:N55)</f>
        <v>55523140</v>
      </c>
      <c r="O31" s="419"/>
      <c r="P31" s="420"/>
      <c r="Q31" s="419"/>
      <c r="R31" s="419"/>
      <c r="S31" s="419"/>
      <c r="T31" s="419"/>
      <c r="U31" s="419"/>
      <c r="V31" s="419"/>
      <c r="W31" s="419"/>
      <c r="X31" s="419"/>
      <c r="Y31" s="419"/>
      <c r="Z31" s="419"/>
      <c r="AA31" s="419"/>
      <c r="AB31" s="410"/>
      <c r="AC31" s="411"/>
    </row>
    <row r="32" spans="2:29" ht="15.75" x14ac:dyDescent="0.25">
      <c r="B32" s="421"/>
      <c r="C32" s="421"/>
      <c r="D32" s="421"/>
      <c r="E32" s="2"/>
      <c r="F32" s="2"/>
      <c r="G32" s="2"/>
      <c r="H32" s="2"/>
      <c r="I32" s="2"/>
      <c r="J32" s="422" t="s">
        <v>84</v>
      </c>
      <c r="K32" s="422" t="s">
        <v>521</v>
      </c>
      <c r="L32" s="422" t="s">
        <v>522</v>
      </c>
      <c r="M32" s="422" t="s">
        <v>514</v>
      </c>
      <c r="N32" s="422" t="s">
        <v>663</v>
      </c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  <c r="AA32" s="350"/>
    </row>
    <row r="33" spans="2:29" ht="15.75" x14ac:dyDescent="0.25">
      <c r="B33" s="2"/>
      <c r="C33" s="2"/>
      <c r="D33" s="2"/>
      <c r="J33" s="545" t="s">
        <v>524</v>
      </c>
      <c r="K33" s="423">
        <v>11113000</v>
      </c>
      <c r="L33" s="423">
        <v>8350000</v>
      </c>
      <c r="M33" s="424">
        <f>IF((K33-L33)&gt;0,(K33-L33),0)</f>
        <v>2763000</v>
      </c>
      <c r="N33" s="405">
        <f>K33-M33</f>
        <v>8350000</v>
      </c>
      <c r="O33" s="318"/>
      <c r="P33" s="318"/>
      <c r="Q33" s="318"/>
      <c r="R33" s="318"/>
      <c r="S33" s="318"/>
      <c r="T33" s="318"/>
      <c r="U33" s="318"/>
      <c r="V33" s="318"/>
      <c r="W33" s="318"/>
      <c r="X33" s="318"/>
      <c r="Y33" s="318"/>
      <c r="Z33" s="318"/>
      <c r="AA33" s="318"/>
      <c r="AB33" s="421"/>
      <c r="AC33" s="421"/>
    </row>
    <row r="34" spans="2:29" x14ac:dyDescent="0.25">
      <c r="J34" s="545" t="s">
        <v>525</v>
      </c>
      <c r="K34" s="423">
        <v>11662680</v>
      </c>
      <c r="L34" s="423">
        <v>1500000</v>
      </c>
      <c r="M34" s="424">
        <f t="shared" ref="M34:M49" si="22">IF((K34-L34)&gt;0,(K34-L34),0)</f>
        <v>10162680</v>
      </c>
      <c r="N34" s="405">
        <f t="shared" ref="N34:N49" si="23">K34-M34</f>
        <v>1500000</v>
      </c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18"/>
      <c r="Z34" s="318"/>
      <c r="AA34" s="318"/>
      <c r="AB34" s="2"/>
      <c r="AC34" s="2"/>
    </row>
    <row r="35" spans="2:29" x14ac:dyDescent="0.25">
      <c r="J35" s="545" t="s">
        <v>664</v>
      </c>
      <c r="K35" s="423">
        <f>5464000+30516</f>
        <v>5494516</v>
      </c>
      <c r="L35" s="423">
        <v>4350000</v>
      </c>
      <c r="M35" s="424">
        <f t="shared" si="22"/>
        <v>1144516</v>
      </c>
      <c r="N35" s="405">
        <f t="shared" si="23"/>
        <v>4350000</v>
      </c>
      <c r="O35" s="318"/>
      <c r="P35" s="318"/>
      <c r="Q35" s="318"/>
      <c r="R35" s="318"/>
      <c r="S35" s="318"/>
      <c r="T35" s="318"/>
      <c r="U35" s="318"/>
      <c r="V35" s="318"/>
      <c r="W35" s="318"/>
      <c r="X35" s="318"/>
      <c r="Y35" s="318"/>
      <c r="Z35" s="318"/>
      <c r="AA35" s="318"/>
    </row>
    <row r="36" spans="2:29" x14ac:dyDescent="0.25">
      <c r="J36" s="545" t="s">
        <v>526</v>
      </c>
      <c r="K36" s="423">
        <v>2121600</v>
      </c>
      <c r="L36" s="423">
        <v>3450000</v>
      </c>
      <c r="M36" s="424">
        <f t="shared" si="22"/>
        <v>0</v>
      </c>
      <c r="N36" s="405">
        <f t="shared" si="23"/>
        <v>2121600</v>
      </c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</row>
    <row r="37" spans="2:29" x14ac:dyDescent="0.25">
      <c r="J37" s="545" t="s">
        <v>527</v>
      </c>
      <c r="K37" s="423">
        <v>3900000</v>
      </c>
      <c r="L37" s="423">
        <v>3750000</v>
      </c>
      <c r="M37" s="424">
        <f t="shared" si="22"/>
        <v>150000</v>
      </c>
      <c r="N37" s="405">
        <f t="shared" si="23"/>
        <v>3750000</v>
      </c>
      <c r="O37" s="318"/>
      <c r="P37" s="318"/>
      <c r="Q37" s="318"/>
      <c r="R37" s="318"/>
      <c r="S37" s="318"/>
      <c r="T37" s="318"/>
      <c r="U37" s="318"/>
      <c r="V37" s="318"/>
      <c r="W37" s="318"/>
      <c r="X37" s="318"/>
      <c r="Y37" s="318"/>
      <c r="Z37" s="318"/>
      <c r="AA37" s="318"/>
    </row>
    <row r="38" spans="2:29" x14ac:dyDescent="0.25">
      <c r="J38" s="545" t="s">
        <v>528</v>
      </c>
      <c r="K38" s="423">
        <v>3550000</v>
      </c>
      <c r="L38" s="423">
        <v>3100000</v>
      </c>
      <c r="M38" s="424">
        <f t="shared" si="22"/>
        <v>450000</v>
      </c>
      <c r="N38" s="405">
        <f t="shared" si="23"/>
        <v>3100000</v>
      </c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18"/>
      <c r="Z38" s="318"/>
      <c r="AA38" s="318"/>
    </row>
    <row r="39" spans="2:29" x14ac:dyDescent="0.25">
      <c r="J39" s="545" t="s">
        <v>529</v>
      </c>
      <c r="K39" s="423">
        <v>2040000</v>
      </c>
      <c r="L39" s="423">
        <v>3100000</v>
      </c>
      <c r="M39" s="424">
        <f t="shared" si="22"/>
        <v>0</v>
      </c>
      <c r="N39" s="405">
        <f t="shared" si="23"/>
        <v>2040000</v>
      </c>
      <c r="O39" s="318"/>
      <c r="P39" s="318"/>
      <c r="Q39" s="318"/>
      <c r="R39" s="318"/>
      <c r="S39" s="318"/>
      <c r="T39" s="318"/>
      <c r="U39" s="318"/>
      <c r="V39" s="318"/>
      <c r="W39" s="318"/>
      <c r="X39" s="318"/>
      <c r="Y39" s="318"/>
      <c r="Z39" s="318"/>
      <c r="AA39" s="318"/>
    </row>
    <row r="40" spans="2:29" x14ac:dyDescent="0.25">
      <c r="J40" s="545" t="s">
        <v>530</v>
      </c>
      <c r="K40" s="423">
        <v>4689000</v>
      </c>
      <c r="L40" s="423">
        <v>5150000</v>
      </c>
      <c r="M40" s="424">
        <f t="shared" si="22"/>
        <v>0</v>
      </c>
      <c r="N40" s="405">
        <f t="shared" si="23"/>
        <v>4689000</v>
      </c>
      <c r="O40" s="318"/>
      <c r="P40" s="318"/>
      <c r="Q40" s="318"/>
      <c r="R40" s="318"/>
      <c r="S40" s="318"/>
      <c r="T40" s="318"/>
      <c r="U40" s="318"/>
      <c r="V40" s="318"/>
      <c r="W40" s="318"/>
      <c r="X40" s="318"/>
      <c r="Y40" s="318"/>
      <c r="Z40" s="318"/>
      <c r="AA40" s="318"/>
    </row>
    <row r="41" spans="2:29" x14ac:dyDescent="0.25">
      <c r="J41" s="545" t="s">
        <v>531</v>
      </c>
      <c r="K41" s="423">
        <v>3852540</v>
      </c>
      <c r="L41" s="423">
        <v>5100000</v>
      </c>
      <c r="M41" s="424">
        <f t="shared" si="22"/>
        <v>0</v>
      </c>
      <c r="N41" s="405">
        <f t="shared" si="23"/>
        <v>3852540</v>
      </c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</row>
    <row r="42" spans="2:29" x14ac:dyDescent="0.25">
      <c r="J42" s="545" t="s">
        <v>532</v>
      </c>
      <c r="K42" s="423">
        <v>1887000</v>
      </c>
      <c r="L42" s="423">
        <v>7350000</v>
      </c>
      <c r="M42" s="424">
        <f t="shared" si="22"/>
        <v>0</v>
      </c>
      <c r="N42" s="405">
        <f t="shared" si="23"/>
        <v>1887000</v>
      </c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18"/>
      <c r="Z42" s="318"/>
      <c r="AA42" s="318"/>
    </row>
    <row r="43" spans="2:29" x14ac:dyDescent="0.25">
      <c r="J43" s="545" t="s">
        <v>533</v>
      </c>
      <c r="K43" s="423">
        <v>2327000</v>
      </c>
      <c r="L43" s="423">
        <v>5150000</v>
      </c>
      <c r="M43" s="424">
        <f t="shared" si="22"/>
        <v>0</v>
      </c>
      <c r="N43" s="405">
        <f t="shared" si="23"/>
        <v>2327000</v>
      </c>
      <c r="O43" s="318"/>
      <c r="P43" s="318"/>
      <c r="Q43" s="318"/>
      <c r="R43" s="318"/>
      <c r="S43" s="318"/>
      <c r="T43" s="318"/>
      <c r="U43" s="318"/>
      <c r="V43" s="318"/>
      <c r="W43" s="318"/>
      <c r="X43" s="318"/>
      <c r="Y43" s="318"/>
      <c r="Z43" s="318"/>
      <c r="AA43" s="318"/>
    </row>
    <row r="44" spans="2:29" x14ac:dyDescent="0.25">
      <c r="J44" s="545" t="s">
        <v>535</v>
      </c>
      <c r="K44" s="423">
        <v>1308000</v>
      </c>
      <c r="L44" s="423">
        <v>5400000</v>
      </c>
      <c r="M44" s="424">
        <f t="shared" si="22"/>
        <v>0</v>
      </c>
      <c r="N44" s="405">
        <f t="shared" si="23"/>
        <v>1308000</v>
      </c>
      <c r="O44" s="318"/>
      <c r="P44" s="318"/>
      <c r="Q44" s="318"/>
      <c r="R44" s="318"/>
      <c r="S44" s="318"/>
      <c r="T44" s="318"/>
      <c r="U44" s="318"/>
      <c r="V44" s="318"/>
      <c r="W44" s="318"/>
      <c r="X44" s="318"/>
      <c r="Y44" s="318"/>
      <c r="Z44" s="318"/>
      <c r="AA44" s="318"/>
    </row>
    <row r="45" spans="2:29" x14ac:dyDescent="0.25">
      <c r="J45" s="545" t="s">
        <v>536</v>
      </c>
      <c r="K45" s="423">
        <v>1548000</v>
      </c>
      <c r="L45" s="423">
        <v>5350000</v>
      </c>
      <c r="M45" s="424">
        <f t="shared" si="22"/>
        <v>0</v>
      </c>
      <c r="N45" s="405">
        <f t="shared" si="23"/>
        <v>1548000</v>
      </c>
      <c r="O45" s="318"/>
      <c r="P45" s="318"/>
      <c r="Q45" s="318"/>
      <c r="R45" s="318"/>
      <c r="S45" s="318"/>
      <c r="T45" s="318"/>
      <c r="U45" s="318"/>
      <c r="V45" s="318"/>
      <c r="W45" s="318"/>
      <c r="X45" s="318"/>
      <c r="Y45" s="318"/>
      <c r="Z45" s="318"/>
      <c r="AA45" s="318"/>
    </row>
    <row r="46" spans="2:29" x14ac:dyDescent="0.25">
      <c r="J46" s="545" t="s">
        <v>537</v>
      </c>
      <c r="K46" s="423">
        <v>4162000</v>
      </c>
      <c r="L46" s="423">
        <v>2650000</v>
      </c>
      <c r="M46" s="424">
        <f t="shared" si="22"/>
        <v>1512000</v>
      </c>
      <c r="N46" s="405">
        <f t="shared" si="23"/>
        <v>2650000</v>
      </c>
      <c r="O46" s="318"/>
      <c r="P46" s="318"/>
      <c r="Q46" s="318"/>
      <c r="R46" s="318"/>
      <c r="S46" s="318"/>
      <c r="T46" s="318"/>
      <c r="U46" s="318"/>
      <c r="V46" s="318"/>
      <c r="W46" s="318"/>
      <c r="X46" s="318"/>
      <c r="Y46" s="318"/>
      <c r="Z46" s="318"/>
      <c r="AA46" s="318"/>
    </row>
    <row r="47" spans="2:29" x14ac:dyDescent="0.25">
      <c r="J47" s="545" t="s">
        <v>538</v>
      </c>
      <c r="K47" s="423">
        <v>5380000</v>
      </c>
      <c r="L47" s="423">
        <v>3500000</v>
      </c>
      <c r="M47" s="424">
        <f t="shared" si="22"/>
        <v>1880000</v>
      </c>
      <c r="N47" s="405">
        <f t="shared" si="23"/>
        <v>3500000</v>
      </c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18"/>
      <c r="Z47" s="318"/>
      <c r="AA47" s="318"/>
    </row>
    <row r="48" spans="2:29" x14ac:dyDescent="0.25">
      <c r="J48" s="545" t="s">
        <v>539</v>
      </c>
      <c r="K48" s="423">
        <v>2989620</v>
      </c>
      <c r="L48" s="423">
        <v>1200000</v>
      </c>
      <c r="M48" s="424">
        <f t="shared" si="22"/>
        <v>1789620</v>
      </c>
      <c r="N48" s="405">
        <f t="shared" si="23"/>
        <v>1200000</v>
      </c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18"/>
      <c r="Z48" s="318"/>
      <c r="AA48" s="318"/>
    </row>
    <row r="49" spans="10:29" x14ac:dyDescent="0.25">
      <c r="J49" s="545" t="s">
        <v>620</v>
      </c>
      <c r="K49" s="423">
        <v>9028110</v>
      </c>
      <c r="L49" s="423">
        <v>7350000</v>
      </c>
      <c r="M49" s="424">
        <f t="shared" si="22"/>
        <v>1678110</v>
      </c>
      <c r="N49" s="405">
        <f t="shared" si="23"/>
        <v>7350000</v>
      </c>
      <c r="O49" s="318"/>
      <c r="P49" s="318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18"/>
    </row>
    <row r="50" spans="10:29" x14ac:dyDescent="0.25">
      <c r="J50" s="323"/>
      <c r="K50" s="423"/>
      <c r="L50" s="423"/>
      <c r="M50" s="423"/>
      <c r="N50" s="424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</row>
    <row r="51" spans="10:29" x14ac:dyDescent="0.25">
      <c r="J51" s="323"/>
      <c r="K51" s="423"/>
      <c r="L51" s="423"/>
      <c r="M51" s="423"/>
      <c r="N51" s="424"/>
      <c r="O51" s="318"/>
      <c r="P51" s="318"/>
      <c r="Q51" s="318"/>
      <c r="R51" s="318"/>
      <c r="S51" s="318"/>
      <c r="T51" s="318"/>
      <c r="U51" s="318"/>
      <c r="V51" s="318"/>
      <c r="W51" s="318"/>
      <c r="X51" s="318"/>
      <c r="Y51" s="318"/>
      <c r="Z51" s="318"/>
      <c r="AA51" s="318"/>
      <c r="AB51" s="318"/>
      <c r="AC51" s="318"/>
    </row>
    <row r="52" spans="10:29" x14ac:dyDescent="0.25">
      <c r="J52" s="323"/>
      <c r="K52" s="423"/>
      <c r="L52" s="423"/>
      <c r="M52" s="423"/>
      <c r="N52" s="424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18"/>
      <c r="Z52" s="318"/>
      <c r="AA52" s="318"/>
      <c r="AB52" s="318"/>
      <c r="AC52" s="318"/>
    </row>
    <row r="53" spans="10:29" x14ac:dyDescent="0.25">
      <c r="J53" s="323"/>
      <c r="K53" s="423"/>
      <c r="L53" s="423"/>
      <c r="M53" s="423"/>
      <c r="N53" s="424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18"/>
      <c r="Z53" s="318"/>
      <c r="AA53" s="318"/>
      <c r="AB53" s="318"/>
      <c r="AC53" s="318"/>
    </row>
    <row r="54" spans="10:29" x14ac:dyDescent="0.25">
      <c r="J54" s="323"/>
      <c r="K54" s="318"/>
      <c r="L54" s="323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318"/>
      <c r="Z54" s="318"/>
      <c r="AA54" s="318"/>
      <c r="AB54" s="318"/>
      <c r="AC54" s="318"/>
    </row>
  </sheetData>
  <mergeCells count="2">
    <mergeCell ref="J11:J13"/>
    <mergeCell ref="J21:J23"/>
  </mergeCells>
  <conditionalFormatting sqref="AC31">
    <cfRule type="cellIs" dxfId="53" priority="33" operator="greaterThan">
      <formula>0</formula>
    </cfRule>
    <cfRule type="cellIs" dxfId="52" priority="34" operator="lessThan">
      <formula>0</formula>
    </cfRule>
  </conditionalFormatting>
  <conditionalFormatting sqref="C4:C5 G15:G26 C27:C30">
    <cfRule type="cellIs" dxfId="51" priority="25" operator="greaterThan">
      <formula>0</formula>
    </cfRule>
    <cfRule type="cellIs" dxfId="50" priority="26" operator="lessThan">
      <formula>0</formula>
    </cfRule>
  </conditionalFormatting>
  <conditionalFormatting sqref="C6 C9">
    <cfRule type="cellIs" dxfId="49" priority="17" operator="greaterThan">
      <formula>0</formula>
    </cfRule>
    <cfRule type="cellIs" dxfId="48" priority="18" operator="lessThan">
      <formula>0</formula>
    </cfRule>
  </conditionalFormatting>
  <conditionalFormatting sqref="C13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C25">
    <cfRule type="cellIs" dxfId="45" priority="1" operator="greaterThan">
      <formula>0</formula>
    </cfRule>
    <cfRule type="cellIs" dxfId="44" priority="2" operator="lessThan">
      <formula>0</formula>
    </cfRule>
  </conditionalFormatting>
  <conditionalFormatting sqref="C15:C23">
    <cfRule type="cellIs" dxfId="43" priority="9" operator="greaterThan">
      <formula>0</formula>
    </cfRule>
    <cfRule type="cellIs" dxfId="42" priority="10" operator="lessThan">
      <formula>0</formula>
    </cfRule>
  </conditionalFormatting>
  <conditionalFormatting sqref="G4:G5">
    <cfRule type="cellIs" dxfId="41" priority="7" operator="greaterThan">
      <formula>0</formula>
    </cfRule>
    <cfRule type="cellIs" dxfId="40" priority="8" operator="lessThan">
      <formula>0</formula>
    </cfRule>
  </conditionalFormatting>
  <conditionalFormatting sqref="G8">
    <cfRule type="cellIs" dxfId="39" priority="5" operator="greaterThan">
      <formula>0</formula>
    </cfRule>
    <cfRule type="cellIs" dxfId="38" priority="6" operator="lessThan">
      <formula>0</formula>
    </cfRule>
  </conditionalFormatting>
  <conditionalFormatting sqref="G9">
    <cfRule type="cellIs" dxfId="37" priority="3" operator="greaterThan">
      <formula>0</formula>
    </cfRule>
    <cfRule type="cellIs" dxfId="36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E16" sqref="E16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313"/>
      <c r="N2" s="49" t="e">
        <f>SUM(N4:N14)</f>
        <v>#REF!</v>
      </c>
      <c r="Y2" s="49" t="e">
        <f>SUM(Y4:Y14)</f>
        <v>#REF!</v>
      </c>
    </row>
    <row r="3" spans="1:28" x14ac:dyDescent="0.25">
      <c r="A3" s="81" t="s">
        <v>184</v>
      </c>
      <c r="B3" s="79" t="s">
        <v>83</v>
      </c>
      <c r="C3" s="79" t="s">
        <v>185</v>
      </c>
      <c r="D3" s="79" t="s">
        <v>186</v>
      </c>
      <c r="E3" s="79" t="s">
        <v>187</v>
      </c>
      <c r="F3" s="79" t="s">
        <v>86</v>
      </c>
      <c r="G3" s="79" t="s">
        <v>104</v>
      </c>
      <c r="H3" s="79" t="s">
        <v>105</v>
      </c>
      <c r="I3" s="79" t="s">
        <v>106</v>
      </c>
      <c r="J3" s="79" t="s">
        <v>107</v>
      </c>
      <c r="K3" s="79" t="s">
        <v>108</v>
      </c>
      <c r="L3" s="79" t="s">
        <v>109</v>
      </c>
      <c r="M3" s="79" t="s">
        <v>87</v>
      </c>
      <c r="N3" s="79" t="s">
        <v>188</v>
      </c>
      <c r="P3" s="79" t="s">
        <v>187</v>
      </c>
      <c r="Q3" s="79" t="s">
        <v>86</v>
      </c>
      <c r="R3" s="79" t="s">
        <v>104</v>
      </c>
      <c r="S3" s="79" t="s">
        <v>105</v>
      </c>
      <c r="T3" s="79" t="s">
        <v>106</v>
      </c>
      <c r="U3" s="79" t="s">
        <v>107</v>
      </c>
      <c r="V3" s="79" t="s">
        <v>108</v>
      </c>
      <c r="W3" s="79" t="s">
        <v>109</v>
      </c>
      <c r="X3" s="79" t="s">
        <v>87</v>
      </c>
      <c r="Y3" s="79" t="s">
        <v>188</v>
      </c>
      <c r="AA3" s="313" t="s">
        <v>189</v>
      </c>
      <c r="AB3">
        <v>0</v>
      </c>
    </row>
    <row r="4" spans="1:28" x14ac:dyDescent="0.25">
      <c r="A4" s="316" t="str">
        <f>PLANTILLA!A5</f>
        <v>#1</v>
      </c>
      <c r="B4" s="69" t="s">
        <v>14</v>
      </c>
      <c r="C4" s="225" t="str">
        <f>PLANTILLA!D5</f>
        <v>L. Guangwei</v>
      </c>
      <c r="D4" s="70" t="str">
        <f>PLANTILLA!G5</f>
        <v>IMP</v>
      </c>
      <c r="E4" s="70">
        <f>PLANTILLA!E5</f>
        <v>29</v>
      </c>
      <c r="F4" s="138">
        <f ca="1">PLANTILLA!F5</f>
        <v>9</v>
      </c>
      <c r="G4" s="85">
        <f>PLANTILLA!X5</f>
        <v>15</v>
      </c>
      <c r="H4" s="85">
        <f>PLANTILLA!Y5</f>
        <v>9.2222222222222214</v>
      </c>
      <c r="I4" s="85">
        <f>PLANTILLA!Z5</f>
        <v>3</v>
      </c>
      <c r="J4" s="85">
        <f>PLANTILLA!AA5</f>
        <v>1</v>
      </c>
      <c r="K4" s="85">
        <f>PLANTILLA!AB5</f>
        <v>5</v>
      </c>
      <c r="L4" s="85">
        <f>PLANTILLA!AC5</f>
        <v>5.5</v>
      </c>
      <c r="M4" s="85">
        <f>PLANTILLA!AD5</f>
        <v>22</v>
      </c>
      <c r="N4" s="95">
        <f>PLANTILLA!V5</f>
        <v>28500</v>
      </c>
      <c r="P4" s="70">
        <f>E4</f>
        <v>29</v>
      </c>
      <c r="Q4" s="138">
        <f ca="1">F4+$AB$7*7</f>
        <v>58</v>
      </c>
      <c r="R4" s="85">
        <f>G4</f>
        <v>15</v>
      </c>
      <c r="S4" s="85">
        <f t="shared" ref="S4:X4" si="0">H4</f>
        <v>9.2222222222222214</v>
      </c>
      <c r="T4" s="85">
        <f t="shared" si="0"/>
        <v>3</v>
      </c>
      <c r="U4" s="85">
        <f t="shared" si="0"/>
        <v>1</v>
      </c>
      <c r="V4" s="85">
        <f t="shared" si="0"/>
        <v>5</v>
      </c>
      <c r="W4" s="85">
        <f t="shared" si="0"/>
        <v>5.5</v>
      </c>
      <c r="X4" s="85">
        <f t="shared" si="0"/>
        <v>22</v>
      </c>
      <c r="Y4" s="95">
        <f>N4</f>
        <v>28500</v>
      </c>
      <c r="AA4" s="313" t="s">
        <v>190</v>
      </c>
      <c r="AB4">
        <v>7</v>
      </c>
    </row>
    <row r="5" spans="1:28" x14ac:dyDescent="0.25">
      <c r="A5" s="316" t="e">
        <f>PLANTILLA!#REF!</f>
        <v>#REF!</v>
      </c>
      <c r="B5" s="69" t="s">
        <v>37</v>
      </c>
      <c r="C5" s="225" t="str">
        <f>PLANTILLA!D7</f>
        <v>S. Swärdborn</v>
      </c>
      <c r="D5" s="70" t="str">
        <f>PLANTILLA!G7</f>
        <v>IMP</v>
      </c>
      <c r="E5" s="70">
        <f>PLANTILLA!E7</f>
        <v>27</v>
      </c>
      <c r="F5" s="138">
        <f ca="1">PLANTILLA!F7</f>
        <v>38</v>
      </c>
      <c r="G5" s="85">
        <f>PLANTILLA!X7</f>
        <v>0</v>
      </c>
      <c r="H5" s="85">
        <f>PLANTILLA!Y7</f>
        <v>14.75</v>
      </c>
      <c r="I5" s="85">
        <f>PLANTILLA!Z7</f>
        <v>9.7142857142857135</v>
      </c>
      <c r="J5" s="85">
        <f>PLANTILLA!AA7</f>
        <v>1</v>
      </c>
      <c r="K5" s="85">
        <f>PLANTILLA!AB7</f>
        <v>3</v>
      </c>
      <c r="L5" s="85">
        <f>PLANTILLA!AC7</f>
        <v>7.833333333333333</v>
      </c>
      <c r="M5" s="85">
        <f>PLANTILLA!AD7</f>
        <v>18.75</v>
      </c>
      <c r="N5" s="95">
        <f>PLANTILLA!V7</f>
        <v>31476</v>
      </c>
      <c r="P5" s="70">
        <f t="shared" ref="P5:P14" si="1">E5</f>
        <v>27</v>
      </c>
      <c r="Q5" s="138">
        <f t="shared" ref="Q5:Q14" ca="1" si="2">F5+$AB$7*7</f>
        <v>87</v>
      </c>
      <c r="R5" s="85">
        <f t="shared" ref="R5:R15" si="3">G5</f>
        <v>0</v>
      </c>
      <c r="S5" s="85">
        <f t="shared" ref="S5:S15" si="4">H5</f>
        <v>14.75</v>
      </c>
      <c r="T5" s="85">
        <f t="shared" ref="T5:T9" si="5">I5</f>
        <v>9.7142857142857135</v>
      </c>
      <c r="U5" s="85">
        <f t="shared" ref="U5:U15" si="6">J5</f>
        <v>1</v>
      </c>
      <c r="V5" s="85">
        <f t="shared" ref="V5:V15" si="7">K5</f>
        <v>3</v>
      </c>
      <c r="W5" s="85">
        <f t="shared" ref="W5:W15" si="8">L5</f>
        <v>7.833333333333333</v>
      </c>
      <c r="X5" s="85">
        <f t="shared" ref="X5:X15" si="9">M5</f>
        <v>18.75</v>
      </c>
      <c r="Y5" s="95">
        <f t="shared" ref="Y5:Y15" si="10">N5</f>
        <v>31476</v>
      </c>
      <c r="AA5" s="313" t="s">
        <v>171</v>
      </c>
      <c r="AB5">
        <v>0</v>
      </c>
    </row>
    <row r="6" spans="1:28" x14ac:dyDescent="0.25">
      <c r="A6" s="316" t="str">
        <f>PLANTILLA!A15</f>
        <v>#17</v>
      </c>
      <c r="B6" s="69" t="s">
        <v>37</v>
      </c>
      <c r="C6" s="225" t="str">
        <f>PLANTILLA!D8</f>
        <v>A. Grimaud</v>
      </c>
      <c r="D6" s="70" t="str">
        <f>PLANTILLA!G8</f>
        <v>RAP</v>
      </c>
      <c r="E6" s="70">
        <f>PLANTILLA!E8</f>
        <v>27</v>
      </c>
      <c r="F6" s="138">
        <f ca="1">PLANTILLA!F8</f>
        <v>61</v>
      </c>
      <c r="G6" s="85">
        <f>PLANTILLA!X8</f>
        <v>0</v>
      </c>
      <c r="H6" s="85">
        <f>PLANTILLA!Y8</f>
        <v>14.85</v>
      </c>
      <c r="I6" s="85">
        <f>PLANTILLA!Z8</f>
        <v>9.875</v>
      </c>
      <c r="J6" s="85">
        <f>PLANTILLA!AA8</f>
        <v>3</v>
      </c>
      <c r="K6" s="85">
        <f>PLANTILLA!AB8</f>
        <v>3</v>
      </c>
      <c r="L6" s="85">
        <f>PLANTILLA!AC8</f>
        <v>7.1428571428571432</v>
      </c>
      <c r="M6" s="85">
        <f>PLANTILLA!AD8</f>
        <v>18.2</v>
      </c>
      <c r="N6" s="95">
        <f>PLANTILLA!V8</f>
        <v>31212</v>
      </c>
      <c r="P6" s="70">
        <v>23</v>
      </c>
      <c r="Q6" s="138">
        <f ca="1">F6+$AB$7*7-112</f>
        <v>-2</v>
      </c>
      <c r="R6" s="85">
        <f t="shared" si="3"/>
        <v>0</v>
      </c>
      <c r="S6" s="85">
        <f t="shared" si="4"/>
        <v>14.85</v>
      </c>
      <c r="T6" s="85">
        <f t="shared" si="5"/>
        <v>9.875</v>
      </c>
      <c r="U6" s="85">
        <f t="shared" si="6"/>
        <v>3</v>
      </c>
      <c r="V6" s="85">
        <f t="shared" si="7"/>
        <v>3</v>
      </c>
      <c r="W6" s="85">
        <f t="shared" si="8"/>
        <v>7.1428571428571432</v>
      </c>
      <c r="X6" s="85">
        <f t="shared" si="9"/>
        <v>18.2</v>
      </c>
      <c r="Y6" s="95">
        <f t="shared" si="10"/>
        <v>31212</v>
      </c>
      <c r="AA6" s="313" t="s">
        <v>170</v>
      </c>
      <c r="AB6">
        <v>0</v>
      </c>
    </row>
    <row r="7" spans="1:28" x14ac:dyDescent="0.25">
      <c r="A7" s="316" t="e">
        <f>PLANTILLA!#REF!</f>
        <v>#REF!</v>
      </c>
      <c r="B7" s="69" t="s">
        <v>37</v>
      </c>
      <c r="C7" s="225" t="str">
        <f>PLANTILLA!D6</f>
        <v>V. Gardner</v>
      </c>
      <c r="D7" s="70">
        <f>PLANTILLA!G6</f>
        <v>0</v>
      </c>
      <c r="E7" s="70">
        <f>PLANTILLA!E6</f>
        <v>27</v>
      </c>
      <c r="F7" s="138">
        <f ca="1">PLANTILLA!F6</f>
        <v>50</v>
      </c>
      <c r="G7" s="85">
        <f>PLANTILLA!X6</f>
        <v>0</v>
      </c>
      <c r="H7" s="85">
        <f>PLANTILLA!Y6</f>
        <v>15</v>
      </c>
      <c r="I7" s="85">
        <f>PLANTILLA!Z6</f>
        <v>8.125</v>
      </c>
      <c r="J7" s="85">
        <f>PLANTILLA!AA6</f>
        <v>3</v>
      </c>
      <c r="K7" s="85">
        <f>PLANTILLA!AB6</f>
        <v>5</v>
      </c>
      <c r="L7" s="85">
        <f>PLANTILLA!AC6</f>
        <v>7.333333333333333</v>
      </c>
      <c r="M7" s="85">
        <f>PLANTILLA!AD6</f>
        <v>19</v>
      </c>
      <c r="N7" s="95">
        <f>PLANTILLA!V6</f>
        <v>26600</v>
      </c>
      <c r="P7" s="70">
        <v>23</v>
      </c>
      <c r="Q7" s="138">
        <f ca="1">F7+$AB$7*7-112</f>
        <v>-13</v>
      </c>
      <c r="R7" s="85">
        <f t="shared" si="3"/>
        <v>0</v>
      </c>
      <c r="S7" s="85">
        <f t="shared" si="4"/>
        <v>15</v>
      </c>
      <c r="T7" s="85">
        <f t="shared" si="5"/>
        <v>8.125</v>
      </c>
      <c r="U7" s="85">
        <f t="shared" si="6"/>
        <v>3</v>
      </c>
      <c r="V7" s="85">
        <f t="shared" si="7"/>
        <v>5</v>
      </c>
      <c r="W7" s="85">
        <f t="shared" si="8"/>
        <v>7.333333333333333</v>
      </c>
      <c r="X7" s="85">
        <f t="shared" si="9"/>
        <v>19</v>
      </c>
      <c r="Y7" s="95">
        <f t="shared" si="10"/>
        <v>26600</v>
      </c>
      <c r="AA7" s="313" t="s">
        <v>191</v>
      </c>
      <c r="AB7">
        <f>AB5+AB4+AB3+AB6</f>
        <v>7</v>
      </c>
    </row>
    <row r="8" spans="1:28" x14ac:dyDescent="0.25">
      <c r="A8" s="316" t="str">
        <f>PLANTILLA!A7</f>
        <v>#2</v>
      </c>
      <c r="B8" s="69" t="s">
        <v>37</v>
      </c>
      <c r="C8" s="225" t="e">
        <f>PLANTILLA!#REF!</f>
        <v>#REF!</v>
      </c>
      <c r="D8" s="70" t="e">
        <f>PLANTILLA!#REF!</f>
        <v>#REF!</v>
      </c>
      <c r="E8" s="70" t="e">
        <f>PLANTILLA!#REF!</f>
        <v>#REF!</v>
      </c>
      <c r="F8" s="138" t="e">
        <f>PLANTILLA!#REF!</f>
        <v>#REF!</v>
      </c>
      <c r="G8" s="85" t="e">
        <f>PLANTILLA!#REF!</f>
        <v>#REF!</v>
      </c>
      <c r="H8" s="85" t="e">
        <f>PLANTILLA!#REF!</f>
        <v>#REF!</v>
      </c>
      <c r="I8" s="85" t="e">
        <f>PLANTILLA!#REF!</f>
        <v>#REF!</v>
      </c>
      <c r="J8" s="85" t="e">
        <f>PLANTILLA!#REF!</f>
        <v>#REF!</v>
      </c>
      <c r="K8" s="85" t="e">
        <f>PLANTILLA!#REF!</f>
        <v>#REF!</v>
      </c>
      <c r="L8" s="85" t="e">
        <f>PLANTILLA!#REF!</f>
        <v>#REF!</v>
      </c>
      <c r="M8" s="85" t="e">
        <f>PLANTILLA!#REF!</f>
        <v>#REF!</v>
      </c>
      <c r="N8" s="95" t="e">
        <f>PLANTILLA!#REF!</f>
        <v>#REF!</v>
      </c>
      <c r="P8" s="70" t="e">
        <f t="shared" si="1"/>
        <v>#REF!</v>
      </c>
      <c r="Q8" s="138" t="e">
        <f t="shared" si="2"/>
        <v>#REF!</v>
      </c>
      <c r="R8" s="85" t="e">
        <f t="shared" si="3"/>
        <v>#REF!</v>
      </c>
      <c r="S8" s="85" t="e">
        <f t="shared" si="4"/>
        <v>#REF!</v>
      </c>
      <c r="T8" s="85" t="e">
        <f t="shared" si="5"/>
        <v>#REF!</v>
      </c>
      <c r="U8" s="85" t="e">
        <f t="shared" si="6"/>
        <v>#REF!</v>
      </c>
      <c r="V8" s="85" t="e">
        <f t="shared" si="7"/>
        <v>#REF!</v>
      </c>
      <c r="W8" s="85" t="e">
        <f t="shared" si="8"/>
        <v>#REF!</v>
      </c>
      <c r="X8" s="85" t="e">
        <f t="shared" si="9"/>
        <v>#REF!</v>
      </c>
      <c r="Y8" s="95" t="e">
        <f t="shared" si="10"/>
        <v>#REF!</v>
      </c>
      <c r="AA8" s="313" t="s">
        <v>192</v>
      </c>
      <c r="AB8" s="71">
        <f>AB7/16</f>
        <v>0.4375</v>
      </c>
    </row>
    <row r="9" spans="1:28" x14ac:dyDescent="0.25">
      <c r="A9" s="316" t="str">
        <f>PLANTILLA!A8</f>
        <v>#19</v>
      </c>
      <c r="B9" s="69" t="s">
        <v>37</v>
      </c>
      <c r="C9" s="225" t="str">
        <f>PLANTILLA!D9</f>
        <v>E. Deus</v>
      </c>
      <c r="D9" s="70" t="str">
        <f>PLANTILLA!G9</f>
        <v>IMP</v>
      </c>
      <c r="E9" s="70">
        <f>PLANTILLA!E9</f>
        <v>27</v>
      </c>
      <c r="F9" s="138">
        <f ca="1">PLANTILLA!F9</f>
        <v>89</v>
      </c>
      <c r="G9" s="85">
        <f>PLANTILLA!X9</f>
        <v>0</v>
      </c>
      <c r="H9" s="85">
        <f>PLANTILLA!Y9</f>
        <v>14</v>
      </c>
      <c r="I9" s="85">
        <f>PLANTILLA!Z9</f>
        <v>9.125</v>
      </c>
      <c r="J9" s="85">
        <f>PLANTILLA!AA9</f>
        <v>1</v>
      </c>
      <c r="K9" s="85">
        <f>PLANTILLA!AB9</f>
        <v>6</v>
      </c>
      <c r="L9" s="85">
        <f>PLANTILLA!AC9</f>
        <v>6.4</v>
      </c>
      <c r="M9" s="85">
        <f>PLANTILLA!AD9</f>
        <v>19.2</v>
      </c>
      <c r="N9" s="95">
        <f>PLANTILLA!V9</f>
        <v>20004</v>
      </c>
      <c r="P9" s="70">
        <v>22</v>
      </c>
      <c r="Q9" s="138">
        <f ca="1">F9+$AB$7*7-112</f>
        <v>26</v>
      </c>
      <c r="R9" s="85">
        <f t="shared" si="3"/>
        <v>0</v>
      </c>
      <c r="S9" s="85">
        <f t="shared" si="4"/>
        <v>14</v>
      </c>
      <c r="T9" s="85">
        <f t="shared" si="5"/>
        <v>9.125</v>
      </c>
      <c r="U9" s="85">
        <f t="shared" si="6"/>
        <v>1</v>
      </c>
      <c r="V9" s="85">
        <f t="shared" si="7"/>
        <v>6</v>
      </c>
      <c r="W9" s="85">
        <f t="shared" si="8"/>
        <v>6.4</v>
      </c>
      <c r="X9" s="85">
        <f t="shared" si="9"/>
        <v>19.2</v>
      </c>
      <c r="Y9" s="95">
        <f t="shared" si="10"/>
        <v>20004</v>
      </c>
    </row>
    <row r="10" spans="1:28" x14ac:dyDescent="0.25">
      <c r="A10" s="316" t="str">
        <f>PLANTILLA!A6</f>
        <v>#22</v>
      </c>
      <c r="B10" s="69" t="s">
        <v>193</v>
      </c>
      <c r="C10" s="225" t="str">
        <f>PLANTILLA!D16</f>
        <v>I. Vanags</v>
      </c>
      <c r="D10" s="70" t="str">
        <f>PLANTILLA!G16</f>
        <v>CAB</v>
      </c>
      <c r="E10" s="70">
        <f>PLANTILLA!E16</f>
        <v>28</v>
      </c>
      <c r="F10" s="138">
        <f ca="1">PLANTILLA!F16</f>
        <v>37</v>
      </c>
      <c r="G10" s="85">
        <f>PLANTILLA!X16</f>
        <v>0</v>
      </c>
      <c r="H10" s="85">
        <f>PLANTILLA!Y16</f>
        <v>8.8571428571428577</v>
      </c>
      <c r="I10" s="85">
        <f>PLANTILLA!Z16</f>
        <v>15</v>
      </c>
      <c r="J10" s="85">
        <f>PLANTILLA!AA16</f>
        <v>3</v>
      </c>
      <c r="K10" s="85">
        <f>PLANTILLA!AB16</f>
        <v>4</v>
      </c>
      <c r="L10" s="85">
        <f>PLANTILLA!AC16</f>
        <v>8.2857142857142865</v>
      </c>
      <c r="M10" s="85">
        <f>PLANTILLA!AD16</f>
        <v>19.399999999999999</v>
      </c>
      <c r="N10" s="95">
        <f>PLANTILLA!V16</f>
        <v>42012</v>
      </c>
      <c r="P10" s="70">
        <f t="shared" si="1"/>
        <v>28</v>
      </c>
      <c r="Q10" s="138">
        <f t="shared" ca="1" si="2"/>
        <v>86</v>
      </c>
      <c r="R10" s="85">
        <f t="shared" si="3"/>
        <v>0</v>
      </c>
      <c r="S10" s="85">
        <f t="shared" si="4"/>
        <v>8.8571428571428577</v>
      </c>
      <c r="T10" s="85">
        <f>I10+$AB$4/9</f>
        <v>15.777777777777779</v>
      </c>
      <c r="U10" s="85">
        <f t="shared" si="6"/>
        <v>3</v>
      </c>
      <c r="V10" s="85">
        <f t="shared" si="7"/>
        <v>4</v>
      </c>
      <c r="W10" s="85">
        <f t="shared" si="8"/>
        <v>8.2857142857142865</v>
      </c>
      <c r="X10" s="85">
        <f t="shared" si="9"/>
        <v>19.399999999999999</v>
      </c>
      <c r="Y10" s="95">
        <f t="shared" si="10"/>
        <v>42012</v>
      </c>
    </row>
    <row r="11" spans="1:28" x14ac:dyDescent="0.25">
      <c r="A11" s="316" t="e">
        <f>PLANTILLA!#REF!</f>
        <v>#REF!</v>
      </c>
      <c r="B11" s="69" t="s">
        <v>193</v>
      </c>
      <c r="C11" s="225" t="str">
        <f>PLANTILLA!D17</f>
        <v>I. Stone</v>
      </c>
      <c r="D11" s="70" t="str">
        <f>PLANTILLA!G17</f>
        <v>RAP</v>
      </c>
      <c r="E11" s="70">
        <f>PLANTILLA!E17</f>
        <v>27</v>
      </c>
      <c r="F11" s="138">
        <f ca="1">PLANTILLA!F17</f>
        <v>92</v>
      </c>
      <c r="G11" s="85">
        <f>PLANTILLA!X17</f>
        <v>0</v>
      </c>
      <c r="H11" s="85">
        <f>PLANTILLA!Y17</f>
        <v>8.1666666666666661</v>
      </c>
      <c r="I11" s="85">
        <f>PLANTILLA!Z17</f>
        <v>13.818181818181818</v>
      </c>
      <c r="J11" s="85">
        <f>PLANTILLA!AA17</f>
        <v>2</v>
      </c>
      <c r="K11" s="85">
        <f>PLANTILLA!AB17</f>
        <v>6</v>
      </c>
      <c r="L11" s="85">
        <f>PLANTILLA!AC17</f>
        <v>10</v>
      </c>
      <c r="M11" s="85">
        <f>PLANTILLA!AD17</f>
        <v>19</v>
      </c>
      <c r="N11" s="95">
        <f>PLANTILLA!V17</f>
        <v>23260</v>
      </c>
      <c r="P11" s="70">
        <v>22</v>
      </c>
      <c r="Q11" s="138">
        <f ca="1">F11+$AB$7*7-112</f>
        <v>29</v>
      </c>
      <c r="R11" s="85">
        <f t="shared" si="3"/>
        <v>0</v>
      </c>
      <c r="S11" s="85">
        <f t="shared" si="4"/>
        <v>8.1666666666666661</v>
      </c>
      <c r="T11" s="85">
        <f>I11+$AB$4/9</f>
        <v>14.595959595959597</v>
      </c>
      <c r="U11" s="85">
        <f t="shared" si="6"/>
        <v>2</v>
      </c>
      <c r="V11" s="85">
        <f t="shared" si="7"/>
        <v>6</v>
      </c>
      <c r="W11" s="85">
        <f t="shared" si="8"/>
        <v>10</v>
      </c>
      <c r="X11" s="85">
        <f t="shared" si="9"/>
        <v>19</v>
      </c>
      <c r="Y11" s="95">
        <f t="shared" si="10"/>
        <v>23260</v>
      </c>
    </row>
    <row r="12" spans="1:28" x14ac:dyDescent="0.25">
      <c r="A12" s="316" t="str">
        <f>PLANTILLA!A9</f>
        <v>#4</v>
      </c>
      <c r="B12" s="69" t="s">
        <v>193</v>
      </c>
      <c r="C12" s="225" t="str">
        <f>PLANTILLA!D18</f>
        <v>G. Piscaer</v>
      </c>
      <c r="D12" s="70" t="str">
        <f>PLANTILLA!G18</f>
        <v>IMP</v>
      </c>
      <c r="E12" s="70">
        <f>PLANTILLA!E18</f>
        <v>28</v>
      </c>
      <c r="F12" s="138">
        <f ca="1">PLANTILLA!F18</f>
        <v>53</v>
      </c>
      <c r="G12" s="85">
        <f>PLANTILLA!X18</f>
        <v>0</v>
      </c>
      <c r="H12" s="85">
        <f>PLANTILLA!Y18</f>
        <v>9.25</v>
      </c>
      <c r="I12" s="85">
        <f>PLANTILLA!Z18</f>
        <v>15</v>
      </c>
      <c r="J12" s="85">
        <f>PLANTILLA!AA18</f>
        <v>3</v>
      </c>
      <c r="K12" s="85">
        <f>PLANTILLA!AB18</f>
        <v>2</v>
      </c>
      <c r="L12" s="85">
        <f>PLANTILLA!AC18</f>
        <v>9.25</v>
      </c>
      <c r="M12" s="85">
        <f>PLANTILLA!AD18</f>
        <v>18.666666666666668</v>
      </c>
      <c r="N12" s="95">
        <f>PLANTILLA!V18</f>
        <v>44004</v>
      </c>
      <c r="P12" s="70">
        <v>23</v>
      </c>
      <c r="Q12" s="138">
        <f t="shared" ref="Q12:Q13" ca="1" si="11">F12+$AB$7*7-112</f>
        <v>-10</v>
      </c>
      <c r="R12" s="85">
        <f t="shared" si="3"/>
        <v>0</v>
      </c>
      <c r="S12" s="85">
        <f t="shared" si="4"/>
        <v>9.25</v>
      </c>
      <c r="T12" s="85">
        <f>14+2/12</f>
        <v>14.166666666666666</v>
      </c>
      <c r="U12" s="85">
        <f t="shared" si="6"/>
        <v>3</v>
      </c>
      <c r="V12" s="85">
        <f t="shared" si="7"/>
        <v>2</v>
      </c>
      <c r="W12" s="85">
        <f t="shared" si="8"/>
        <v>9.25</v>
      </c>
      <c r="X12" s="85">
        <f t="shared" si="9"/>
        <v>18.666666666666668</v>
      </c>
      <c r="Y12" s="95">
        <f t="shared" si="10"/>
        <v>44004</v>
      </c>
    </row>
    <row r="13" spans="1:28" x14ac:dyDescent="0.25">
      <c r="A13" s="316" t="str">
        <f>PLANTILLA!A16</f>
        <v>#16</v>
      </c>
      <c r="B13" s="69" t="s">
        <v>193</v>
      </c>
      <c r="C13" s="225" t="str">
        <f>PLANTILLA!D19</f>
        <v>M. Bondarewski</v>
      </c>
      <c r="D13" s="70" t="str">
        <f>PLANTILLA!G19</f>
        <v>RAP</v>
      </c>
      <c r="E13" s="70">
        <f>PLANTILLA!E19</f>
        <v>28</v>
      </c>
      <c r="F13" s="138">
        <f ca="1">PLANTILLA!F19</f>
        <v>53</v>
      </c>
      <c r="G13" s="85">
        <f>PLANTILLA!X19</f>
        <v>0</v>
      </c>
      <c r="H13" s="85">
        <f>PLANTILLA!Y19</f>
        <v>8</v>
      </c>
      <c r="I13" s="85">
        <f>PLANTILLA!Z19</f>
        <v>14.846153846153847</v>
      </c>
      <c r="J13" s="85">
        <f>PLANTILLA!AA19</f>
        <v>5</v>
      </c>
      <c r="K13" s="85">
        <f>PLANTILLA!AB19</f>
        <v>4</v>
      </c>
      <c r="L13" s="85">
        <f>PLANTILLA!AC19</f>
        <v>9.125</v>
      </c>
      <c r="M13" s="85">
        <f>PLANTILLA!AD19</f>
        <v>20.166666666666668</v>
      </c>
      <c r="N13" s="95">
        <f>PLANTILLA!V19</f>
        <v>40284</v>
      </c>
      <c r="P13" s="70">
        <v>23</v>
      </c>
      <c r="Q13" s="138">
        <f t="shared" ca="1" si="11"/>
        <v>-10</v>
      </c>
      <c r="R13" s="85">
        <f t="shared" si="3"/>
        <v>0</v>
      </c>
      <c r="S13" s="85">
        <f t="shared" si="4"/>
        <v>8</v>
      </c>
      <c r="T13" s="85">
        <f>14+2/12</f>
        <v>14.166666666666666</v>
      </c>
      <c r="U13" s="85">
        <f t="shared" si="6"/>
        <v>5</v>
      </c>
      <c r="V13" s="85">
        <f t="shared" si="7"/>
        <v>4</v>
      </c>
      <c r="W13" s="85">
        <f t="shared" si="8"/>
        <v>9.125</v>
      </c>
      <c r="X13" s="85">
        <f t="shared" si="9"/>
        <v>20.166666666666668</v>
      </c>
      <c r="Y13" s="95">
        <f t="shared" si="10"/>
        <v>40284</v>
      </c>
    </row>
    <row r="14" spans="1:28" x14ac:dyDescent="0.25">
      <c r="A14" s="316" t="str">
        <f>PLANTILLA!A17</f>
        <v>#8</v>
      </c>
      <c r="B14" s="69" t="s">
        <v>193</v>
      </c>
      <c r="C14" s="225" t="str">
        <f>PLANTILLA!D14</f>
        <v>P. Tuderek</v>
      </c>
      <c r="D14" s="70" t="str">
        <f>PLANTILLA!G14</f>
        <v>CAB</v>
      </c>
      <c r="E14" s="70">
        <f>PLANTILLA!E14</f>
        <v>28</v>
      </c>
      <c r="F14" s="138">
        <f ca="1">PLANTILLA!F14</f>
        <v>39</v>
      </c>
      <c r="G14" s="85">
        <f>PLANTILLA!X14</f>
        <v>0</v>
      </c>
      <c r="H14" s="85">
        <f>PLANTILLA!Y14</f>
        <v>11.153846153846153</v>
      </c>
      <c r="I14" s="85">
        <f>PLANTILLA!Z14</f>
        <v>14.166666666666666</v>
      </c>
      <c r="J14" s="85">
        <f>PLANTILLA!AA14</f>
        <v>2</v>
      </c>
      <c r="K14" s="85">
        <f>PLANTILLA!AB14</f>
        <v>3</v>
      </c>
      <c r="L14" s="85">
        <f>PLANTILLA!AC14</f>
        <v>8</v>
      </c>
      <c r="M14" s="85">
        <f>PLANTILLA!AD14</f>
        <v>20.166666666666668</v>
      </c>
      <c r="N14" s="95">
        <f>PLANTILLA!V14</f>
        <v>31812</v>
      </c>
      <c r="P14" s="70">
        <f t="shared" si="1"/>
        <v>28</v>
      </c>
      <c r="Q14" s="138">
        <f t="shared" ca="1" si="2"/>
        <v>88</v>
      </c>
      <c r="R14" s="85">
        <f t="shared" si="3"/>
        <v>0</v>
      </c>
      <c r="S14" s="85">
        <f t="shared" si="4"/>
        <v>11.153846153846153</v>
      </c>
      <c r="T14" s="85">
        <v>13</v>
      </c>
      <c r="U14" s="85">
        <f t="shared" si="6"/>
        <v>2</v>
      </c>
      <c r="V14" s="85">
        <f t="shared" si="7"/>
        <v>3</v>
      </c>
      <c r="W14" s="85">
        <f t="shared" si="8"/>
        <v>8</v>
      </c>
      <c r="X14" s="85">
        <f t="shared" si="9"/>
        <v>20.166666666666668</v>
      </c>
      <c r="Y14" s="95">
        <f t="shared" si="10"/>
        <v>31812</v>
      </c>
    </row>
    <row r="15" spans="1:28" x14ac:dyDescent="0.25">
      <c r="A15" s="316" t="str">
        <f>PLANTILLA!A18</f>
        <v>#14</v>
      </c>
      <c r="B15" s="69" t="s">
        <v>193</v>
      </c>
      <c r="C15" s="225" t="str">
        <f>PLANTILLA!D12</f>
        <v>R. Forsyth</v>
      </c>
      <c r="D15" s="70" t="str">
        <f>PLANTILLA!G12</f>
        <v>POT</v>
      </c>
      <c r="E15" s="70">
        <f>PLANTILLA!E12</f>
        <v>28</v>
      </c>
      <c r="F15" s="138">
        <f ca="1">PLANTILLA!F12</f>
        <v>94</v>
      </c>
      <c r="G15" s="85">
        <f>PLANTILLA!X12</f>
        <v>0</v>
      </c>
      <c r="H15" s="85">
        <f>PLANTILLA!Y12</f>
        <v>11.692307692307692</v>
      </c>
      <c r="I15" s="85">
        <f>PLANTILLA!Z12</f>
        <v>14.692307692307692</v>
      </c>
      <c r="J15" s="85">
        <f>PLANTILLA!AA12</f>
        <v>3</v>
      </c>
      <c r="K15" s="85">
        <f>PLANTILLA!AB12</f>
        <v>4</v>
      </c>
      <c r="L15" s="85">
        <f>PLANTILLA!AC12</f>
        <v>7.5</v>
      </c>
      <c r="M15" s="85">
        <f>PLANTILLA!AD12</f>
        <v>19</v>
      </c>
      <c r="N15" s="95">
        <f>PLANTILLA!V12</f>
        <v>33540</v>
      </c>
      <c r="P15" s="70">
        <v>23</v>
      </c>
      <c r="Q15" s="138">
        <f ca="1">F15+$AB$7*7-112</f>
        <v>31</v>
      </c>
      <c r="R15" s="85">
        <f t="shared" si="3"/>
        <v>0</v>
      </c>
      <c r="S15" s="85">
        <f t="shared" si="4"/>
        <v>11.692307692307692</v>
      </c>
      <c r="T15" s="85">
        <f>13+7/9</f>
        <v>13.777777777777779</v>
      </c>
      <c r="U15" s="85">
        <f t="shared" si="6"/>
        <v>3</v>
      </c>
      <c r="V15" s="85">
        <f t="shared" si="7"/>
        <v>4</v>
      </c>
      <c r="W15" s="85">
        <f t="shared" si="8"/>
        <v>7.5</v>
      </c>
      <c r="X15" s="85">
        <f t="shared" si="9"/>
        <v>19</v>
      </c>
      <c r="Y15" s="95">
        <f t="shared" si="10"/>
        <v>33540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F6" sqref="F6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540</v>
      </c>
      <c r="B1" s="3" t="s">
        <v>220</v>
      </c>
      <c r="C1" s="3" t="s">
        <v>100</v>
      </c>
      <c r="D1" s="3" t="s">
        <v>188</v>
      </c>
      <c r="E1" s="3" t="s">
        <v>541</v>
      </c>
      <c r="F1" s="3" t="s">
        <v>542</v>
      </c>
      <c r="G1" s="3" t="s">
        <v>543</v>
      </c>
      <c r="H1" s="3" t="s">
        <v>547</v>
      </c>
      <c r="I1" s="3" t="s">
        <v>89</v>
      </c>
      <c r="J1" s="3" t="s">
        <v>545</v>
      </c>
      <c r="K1" s="3" t="s">
        <v>544</v>
      </c>
    </row>
    <row r="2" spans="1:11" x14ac:dyDescent="0.25">
      <c r="A2" t="s">
        <v>560</v>
      </c>
      <c r="B2" t="s">
        <v>559</v>
      </c>
      <c r="C2" s="450">
        <v>3109990</v>
      </c>
      <c r="D2" s="450">
        <v>485244</v>
      </c>
      <c r="E2" s="450">
        <v>2884270</v>
      </c>
      <c r="F2">
        <v>417264</v>
      </c>
      <c r="G2" t="s">
        <v>565</v>
      </c>
      <c r="H2" t="s">
        <v>561</v>
      </c>
      <c r="I2" t="s">
        <v>562</v>
      </c>
      <c r="J2" t="s">
        <v>563</v>
      </c>
      <c r="K2" t="s">
        <v>564</v>
      </c>
    </row>
    <row r="3" spans="1:11" x14ac:dyDescent="0.25">
      <c r="A3" s="452" t="s">
        <v>546</v>
      </c>
      <c r="B3" t="s">
        <v>552</v>
      </c>
      <c r="C3" s="450">
        <v>2218380</v>
      </c>
      <c r="D3" s="450">
        <v>439122</v>
      </c>
      <c r="E3" s="450">
        <v>2130650</v>
      </c>
      <c r="F3">
        <v>403908</v>
      </c>
      <c r="G3" t="s">
        <v>550</v>
      </c>
      <c r="H3" t="s">
        <v>548</v>
      </c>
      <c r="I3" t="s">
        <v>549</v>
      </c>
      <c r="J3" t="s">
        <v>551</v>
      </c>
      <c r="K3" t="s">
        <v>551</v>
      </c>
    </row>
    <row r="4" spans="1:11" x14ac:dyDescent="0.25">
      <c r="A4" s="451" t="s">
        <v>583</v>
      </c>
      <c r="B4" t="s">
        <v>586</v>
      </c>
      <c r="C4" s="450">
        <v>2225100</v>
      </c>
      <c r="D4" s="450">
        <v>417586</v>
      </c>
      <c r="E4" s="450">
        <v>2154750</v>
      </c>
      <c r="F4">
        <v>403098</v>
      </c>
      <c r="G4" t="s">
        <v>585</v>
      </c>
      <c r="H4" t="s">
        <v>584</v>
      </c>
      <c r="I4" t="s">
        <v>569</v>
      </c>
      <c r="J4" t="s">
        <v>569</v>
      </c>
      <c r="K4" t="s">
        <v>551</v>
      </c>
    </row>
    <row r="5" spans="1:11" x14ac:dyDescent="0.25">
      <c r="A5" s="318" t="s">
        <v>553</v>
      </c>
      <c r="B5" t="s">
        <v>559</v>
      </c>
      <c r="C5" s="450">
        <v>2301580</v>
      </c>
      <c r="D5" s="450">
        <v>379880</v>
      </c>
      <c r="E5" s="450">
        <v>2237810</v>
      </c>
      <c r="F5">
        <v>364254</v>
      </c>
      <c r="G5" t="s">
        <v>558</v>
      </c>
      <c r="H5" t="s">
        <v>554</v>
      </c>
      <c r="I5" t="s">
        <v>555</v>
      </c>
      <c r="J5" t="s">
        <v>556</v>
      </c>
      <c r="K5" t="s">
        <v>557</v>
      </c>
    </row>
    <row r="6" spans="1:11" x14ac:dyDescent="0.25">
      <c r="A6" s="449" t="s">
        <v>566</v>
      </c>
      <c r="B6" t="s">
        <v>570</v>
      </c>
      <c r="C6" s="450">
        <v>1508850</v>
      </c>
      <c r="D6" s="450">
        <v>366854</v>
      </c>
      <c r="E6" s="450">
        <v>1190260</v>
      </c>
      <c r="F6">
        <v>277768</v>
      </c>
      <c r="G6" t="s">
        <v>568</v>
      </c>
      <c r="H6" t="s">
        <v>567</v>
      </c>
      <c r="I6" t="s">
        <v>551</v>
      </c>
      <c r="J6" t="s">
        <v>563</v>
      </c>
      <c r="K6" t="s">
        <v>569</v>
      </c>
    </row>
    <row r="7" spans="1:11" x14ac:dyDescent="0.25">
      <c r="A7" s="449" t="s">
        <v>580</v>
      </c>
      <c r="B7" t="s">
        <v>559</v>
      </c>
      <c r="C7" s="450">
        <v>1565290</v>
      </c>
      <c r="D7" s="450">
        <v>325982</v>
      </c>
      <c r="E7" s="450">
        <v>1444630</v>
      </c>
      <c r="F7">
        <v>267216</v>
      </c>
      <c r="G7" t="s">
        <v>582</v>
      </c>
      <c r="H7" t="s">
        <v>581</v>
      </c>
      <c r="I7" t="s">
        <v>569</v>
      </c>
      <c r="J7" t="s">
        <v>569</v>
      </c>
      <c r="K7" t="s">
        <v>557</v>
      </c>
    </row>
    <row r="8" spans="1:11" x14ac:dyDescent="0.25">
      <c r="A8" s="449" t="s">
        <v>571</v>
      </c>
      <c r="B8" t="s">
        <v>559</v>
      </c>
      <c r="C8" s="450">
        <v>786840</v>
      </c>
      <c r="D8" s="450">
        <v>259780</v>
      </c>
      <c r="E8" s="450">
        <v>745500</v>
      </c>
      <c r="F8">
        <v>248346</v>
      </c>
      <c r="G8" t="s">
        <v>573</v>
      </c>
      <c r="H8" t="s">
        <v>572</v>
      </c>
      <c r="I8" t="s">
        <v>574</v>
      </c>
      <c r="J8" t="s">
        <v>575</v>
      </c>
      <c r="K8" t="s">
        <v>576</v>
      </c>
    </row>
    <row r="9" spans="1:11" x14ac:dyDescent="0.25">
      <c r="A9" s="449" t="s">
        <v>577</v>
      </c>
      <c r="B9" t="s">
        <v>559</v>
      </c>
      <c r="C9" s="450">
        <v>1052180</v>
      </c>
      <c r="D9" s="450">
        <v>251518</v>
      </c>
      <c r="E9" s="450">
        <v>955350</v>
      </c>
      <c r="F9">
        <v>219508</v>
      </c>
      <c r="G9" t="s">
        <v>579</v>
      </c>
      <c r="H9" t="s">
        <v>578</v>
      </c>
      <c r="I9" t="s">
        <v>551</v>
      </c>
      <c r="J9" t="s">
        <v>569</v>
      </c>
      <c r="K9" t="s">
        <v>576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Banderas</vt:lpstr>
      <vt:lpstr>Hall_of_Fame</vt:lpstr>
      <vt:lpstr>Fites</vt:lpstr>
      <vt:lpstr>PLANTILLA</vt:lpstr>
      <vt:lpstr>JUVENILES</vt:lpstr>
      <vt:lpstr>Calculadora_Tactica</vt:lpstr>
      <vt:lpstr>ECONOMIA</vt:lpstr>
      <vt:lpstr>Planning_v3</vt:lpstr>
      <vt:lpstr>T78_III.7</vt:lpstr>
      <vt:lpstr>Evaluacion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Hoja1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2022-06-16T14:04:27Z</dcterms:modified>
</cp:coreProperties>
</file>