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988CA589-03A2-4EBD-BB1E-8A067301FA9C}" xr6:coauthVersionLast="47" xr6:coauthVersionMax="47" xr10:uidLastSave="{00000000-0000-0000-0000-000000000000}"/>
  <bookViews>
    <workbookView xWindow="990" yWindow="-120" windowWidth="27930" windowHeight="16440" tabRatio="500" firstSheet="6" activeTab="6" xr2:uid="{00000000-000D-0000-FFFF-FFFF00000000}"/>
  </bookViews>
  <sheets>
    <sheet name="Banderas" sheetId="12" r:id="rId1"/>
    <sheet name="Planning_Entrenamiento" sheetId="5" r:id="rId2"/>
    <sheet name="Liga" sheetId="4" r:id="rId3"/>
    <sheet name="Goles" sheetId="21" r:id="rId4"/>
    <sheet name="Hall_of_Fame" sheetId="1" r:id="rId5"/>
    <sheet name="Fites" sheetId="22" r:id="rId6"/>
    <sheet name="PLANTILLA" sheetId="2" r:id="rId7"/>
    <sheet name="JUVENILES" sheetId="3" r:id="rId8"/>
    <sheet name="ECONOMIA" sheetId="20" r:id="rId9"/>
    <sheet name="Capitán" sheetId="7" r:id="rId10"/>
    <sheet name="CA_Calcutator" sheetId="8" r:id="rId11"/>
    <sheet name="EstudioConversion" sheetId="9" r:id="rId12"/>
    <sheet name="ESTADIO" sheetId="10" r:id="rId13"/>
    <sheet name="Evaluacion Jugadores" sheetId="13" r:id="rId14"/>
    <sheet name="LAT" sheetId="14" r:id="rId15"/>
    <sheet name="Entrenador" sheetId="11" r:id="rId16"/>
    <sheet name="Inner" sheetId="19" r:id="rId17"/>
    <sheet name="Delantero" sheetId="15" r:id="rId18"/>
    <sheet name="PorteroTitular" sheetId="16" r:id="rId19"/>
    <sheet name="PorteroSuplente" sheetId="17" r:id="rId20"/>
  </sheets>
  <definedNames>
    <definedName name="_xlnm._FilterDatabase" localSheetId="11" hidden="1">EstudioConversion!$A$1:$H$159</definedName>
  </definedNames>
  <calcPr calcId="191029"/>
  <pivotCaches>
    <pivotCache cacheId="0" r:id="rId21"/>
    <pivotCache cacheId="1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W1" i="2" l="1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M7" i="20"/>
  <c r="AH10" i="20"/>
  <c r="AG10" i="20"/>
  <c r="AH9" i="20"/>
  <c r="AG9" i="20"/>
  <c r="AH8" i="20"/>
  <c r="AG8" i="20"/>
  <c r="AH7" i="20"/>
  <c r="AG7" i="20"/>
  <c r="AH6" i="20"/>
  <c r="AH5" i="20"/>
  <c r="AG5" i="20"/>
  <c r="AG3" i="20"/>
  <c r="K47" i="20"/>
  <c r="K46" i="20"/>
  <c r="L31" i="20"/>
  <c r="K50" i="20"/>
  <c r="M50" i="20" s="1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33" i="20"/>
  <c r="N15" i="20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N10" i="20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K31" i="20" l="1"/>
  <c r="M31" i="20"/>
  <c r="C13" i="20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B19" i="8"/>
  <c r="C19" i="8"/>
  <c r="D19" i="8"/>
  <c r="E19" i="8" s="1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D6" i="7"/>
  <c r="E6" i="7" s="1"/>
  <c r="F6" i="7" s="1"/>
  <c r="G6" i="7"/>
  <c r="H6" i="7" s="1"/>
  <c r="A7" i="7"/>
  <c r="B7" i="7"/>
  <c r="C7" i="7"/>
  <c r="D7" i="7"/>
  <c r="E7" i="7" s="1"/>
  <c r="F7" i="7" s="1"/>
  <c r="G7" i="7"/>
  <c r="H7" i="7" s="1"/>
  <c r="A8" i="7"/>
  <c r="B8" i="7"/>
  <c r="C8" i="7"/>
  <c r="G8" i="7" s="1"/>
  <c r="D8" i="7"/>
  <c r="E8" i="7" s="1"/>
  <c r="F8" i="7" s="1"/>
  <c r="A9" i="7"/>
  <c r="B9" i="7"/>
  <c r="C9" i="7"/>
  <c r="G9" i="7" s="1"/>
  <c r="D9" i="7"/>
  <c r="E9" i="7" s="1"/>
  <c r="F9" i="7" s="1"/>
  <c r="A10" i="7"/>
  <c r="B10" i="7"/>
  <c r="C10" i="7"/>
  <c r="D10" i="7"/>
  <c r="E10" i="7" s="1"/>
  <c r="F10" i="7" s="1"/>
  <c r="G10" i="7"/>
  <c r="H10" i="7" s="1"/>
  <c r="A11" i="7"/>
  <c r="B11" i="7"/>
  <c r="C11" i="7"/>
  <c r="D11" i="7"/>
  <c r="E11" i="7" s="1"/>
  <c r="F11" i="7" s="1"/>
  <c r="G11" i="7"/>
  <c r="H11" i="7" s="1"/>
  <c r="A12" i="7"/>
  <c r="B12" i="7"/>
  <c r="C12" i="7"/>
  <c r="G12" i="7" s="1"/>
  <c r="D12" i="7"/>
  <c r="E12" i="7"/>
  <c r="F12" i="7" s="1"/>
  <c r="A13" i="7"/>
  <c r="B13" i="7"/>
  <c r="C13" i="7"/>
  <c r="G13" i="7" s="1"/>
  <c r="D13" i="7"/>
  <c r="E13" i="7" s="1"/>
  <c r="F13" i="7" s="1"/>
  <c r="A14" i="7"/>
  <c r="B14" i="7"/>
  <c r="C14" i="7"/>
  <c r="G14" i="7" s="1"/>
  <c r="H14" i="7" s="1"/>
  <c r="D14" i="7"/>
  <c r="E14" i="7" s="1"/>
  <c r="F14" i="7" s="1"/>
  <c r="A15" i="7"/>
  <c r="B15" i="7"/>
  <c r="C15" i="7"/>
  <c r="G15" i="7" s="1"/>
  <c r="H15" i="7" s="1"/>
  <c r="D15" i="7"/>
  <c r="E15" i="7" s="1"/>
  <c r="F15" i="7" s="1"/>
  <c r="A16" i="7"/>
  <c r="B16" i="7"/>
  <c r="C16" i="7"/>
  <c r="G16" i="7" s="1"/>
  <c r="D16" i="7"/>
  <c r="E16" i="7" s="1"/>
  <c r="F16" i="7" s="1"/>
  <c r="A17" i="7"/>
  <c r="B17" i="7"/>
  <c r="C17" i="7"/>
  <c r="G17" i="7" s="1"/>
  <c r="D17" i="7"/>
  <c r="E17" i="7" s="1"/>
  <c r="F17" i="7" s="1"/>
  <c r="A18" i="7"/>
  <c r="B18" i="7"/>
  <c r="C18" i="7"/>
  <c r="D18" i="7"/>
  <c r="E18" i="7" s="1"/>
  <c r="F18" i="7" s="1"/>
  <c r="G18" i="7"/>
  <c r="H18" i="7" s="1"/>
  <c r="A19" i="7"/>
  <c r="B19" i="7"/>
  <c r="C19" i="7"/>
  <c r="D19" i="7"/>
  <c r="E19" i="7" s="1"/>
  <c r="F19" i="7" s="1"/>
  <c r="G19" i="7"/>
  <c r="H19" i="7" s="1"/>
  <c r="J18" i="7" l="1"/>
  <c r="J19" i="7"/>
  <c r="J15" i="7"/>
  <c r="J10" i="7"/>
  <c r="J6" i="7"/>
  <c r="J7" i="7"/>
  <c r="F19" i="8"/>
  <c r="H5" i="7"/>
  <c r="J5" i="7" s="1"/>
  <c r="I5" i="7"/>
  <c r="I8" i="7"/>
  <c r="H8" i="7"/>
  <c r="J8" i="7" s="1"/>
  <c r="I12" i="7"/>
  <c r="H12" i="7"/>
  <c r="J12" i="7" s="1"/>
  <c r="I17" i="7"/>
  <c r="H17" i="7"/>
  <c r="J17" i="7" s="1"/>
  <c r="H9" i="7"/>
  <c r="J9" i="7" s="1"/>
  <c r="I9" i="7"/>
  <c r="I4" i="7"/>
  <c r="H4" i="7"/>
  <c r="J4" i="7" s="1"/>
  <c r="I16" i="7"/>
  <c r="H16" i="7"/>
  <c r="J16" i="7" s="1"/>
  <c r="J14" i="7"/>
  <c r="H13" i="7"/>
  <c r="J13" i="7" s="1"/>
  <c r="I13" i="7"/>
  <c r="J11" i="7"/>
  <c r="I15" i="7"/>
  <c r="I11" i="7"/>
  <c r="I7" i="7"/>
  <c r="I19" i="7"/>
  <c r="I18" i="7"/>
  <c r="I14" i="7"/>
  <c r="I10" i="7"/>
  <c r="I6" i="7"/>
  <c r="U18" i="2"/>
  <c r="AQ18" i="2"/>
  <c r="W18" i="2"/>
  <c r="R18" i="2"/>
  <c r="S18" i="2"/>
  <c r="P18" i="2"/>
  <c r="N18" i="2"/>
  <c r="J18" i="2"/>
  <c r="K18" i="2"/>
  <c r="L18" i="2"/>
  <c r="AI18" i="2" l="1"/>
  <c r="C16" i="8"/>
  <c r="B16" i="8"/>
  <c r="AK18" i="2"/>
  <c r="AL18" i="2"/>
  <c r="AM18" i="2"/>
  <c r="AF18" i="2"/>
  <c r="AH18" i="2"/>
  <c r="AG18" i="2"/>
  <c r="AJ18" i="2"/>
  <c r="P23" i="15"/>
  <c r="Q23" i="15"/>
  <c r="R23" i="15"/>
  <c r="T23" i="15"/>
  <c r="V23" i="15" s="1"/>
  <c r="U23" i="15"/>
  <c r="X23" i="15"/>
  <c r="Z23" i="15" s="1"/>
  <c r="Y23" i="15"/>
  <c r="O23" i="15"/>
  <c r="S23" i="15"/>
  <c r="W23" i="15"/>
  <c r="P22" i="15"/>
  <c r="Q22" i="15"/>
  <c r="R22" i="15"/>
  <c r="T22" i="15"/>
  <c r="V22" i="15"/>
  <c r="U22" i="15"/>
  <c r="X22" i="15"/>
  <c r="Z22" i="15" s="1"/>
  <c r="Y22" i="15"/>
  <c r="O22" i="15"/>
  <c r="S22" i="15"/>
  <c r="W22" i="15"/>
  <c r="P21" i="15"/>
  <c r="Q21" i="15"/>
  <c r="R21" i="15"/>
  <c r="T21" i="15"/>
  <c r="V21" i="15"/>
  <c r="U21" i="15"/>
  <c r="X21" i="15"/>
  <c r="Z21" i="15" s="1"/>
  <c r="Y21" i="15"/>
  <c r="O21" i="15"/>
  <c r="S21" i="15"/>
  <c r="W21" i="15"/>
  <c r="D16" i="8" l="1"/>
  <c r="F16" i="8" s="1"/>
  <c r="P20" i="15"/>
  <c r="Q20" i="15"/>
  <c r="R20" i="15"/>
  <c r="T20" i="15"/>
  <c r="V20" i="15" s="1"/>
  <c r="U20" i="15"/>
  <c r="X20" i="15"/>
  <c r="Z20" i="15" s="1"/>
  <c r="Y20" i="15"/>
  <c r="O20" i="15"/>
  <c r="S20" i="15"/>
  <c r="W20" i="15"/>
  <c r="E16" i="8" l="1"/>
  <c r="P19" i="15"/>
  <c r="Q19" i="15"/>
  <c r="R19" i="15"/>
  <c r="T19" i="15"/>
  <c r="V19" i="15" s="1"/>
  <c r="U19" i="15"/>
  <c r="X19" i="15"/>
  <c r="Z19" i="15" s="1"/>
  <c r="Y19" i="15"/>
  <c r="O19" i="15"/>
  <c r="S19" i="15"/>
  <c r="W19" i="15"/>
  <c r="AF15" i="15"/>
  <c r="AH15" i="15" s="1"/>
  <c r="P15" i="15"/>
  <c r="Q15" i="15"/>
  <c r="R15" i="15"/>
  <c r="T15" i="15"/>
  <c r="V15" i="15" s="1"/>
  <c r="U15" i="15"/>
  <c r="X15" i="15"/>
  <c r="Z15" i="15" s="1"/>
  <c r="Y15" i="15"/>
  <c r="O15" i="15"/>
  <c r="S15" i="15"/>
  <c r="W15" i="15"/>
  <c r="AF12" i="15"/>
  <c r="AH12" i="15" s="1"/>
  <c r="P12" i="15"/>
  <c r="Q12" i="15"/>
  <c r="R12" i="15"/>
  <c r="T12" i="15"/>
  <c r="V12" i="15" s="1"/>
  <c r="U12" i="15"/>
  <c r="X12" i="15"/>
  <c r="Z12" i="15" s="1"/>
  <c r="Y12" i="15"/>
  <c r="O12" i="15"/>
  <c r="S12" i="15"/>
  <c r="W12" i="15"/>
  <c r="P18" i="15"/>
  <c r="Q18" i="15"/>
  <c r="R18" i="15"/>
  <c r="T18" i="15"/>
  <c r="V18" i="15" s="1"/>
  <c r="U18" i="15"/>
  <c r="X18" i="15"/>
  <c r="Z18" i="15" s="1"/>
  <c r="Y18" i="15"/>
  <c r="O18" i="15"/>
  <c r="S18" i="15"/>
  <c r="W18" i="15"/>
  <c r="S62" i="10" l="1"/>
  <c r="S66" i="10" s="1"/>
  <c r="S67" i="10" s="1"/>
  <c r="S68" i="10" s="1"/>
  <c r="S63" i="10"/>
  <c r="S64" i="10"/>
  <c r="S65" i="10"/>
  <c r="S57" i="10"/>
  <c r="S52" i="10"/>
  <c r="S53" i="10"/>
  <c r="S54" i="10"/>
  <c r="S56" i="10" s="1"/>
  <c r="S55" i="10"/>
  <c r="Z11" i="2" l="1"/>
  <c r="AF13" i="15" l="1"/>
  <c r="AH13" i="15" s="1"/>
  <c r="P13" i="15"/>
  <c r="Q13" i="15"/>
  <c r="R13" i="15"/>
  <c r="T13" i="15"/>
  <c r="V13" i="15" s="1"/>
  <c r="U13" i="15"/>
  <c r="X13" i="15"/>
  <c r="Z13" i="15" s="1"/>
  <c r="Y13" i="15"/>
  <c r="O13" i="15"/>
  <c r="S13" i="15"/>
  <c r="W13" i="15"/>
  <c r="AF17" i="15"/>
  <c r="AH17" i="15" s="1"/>
  <c r="P17" i="15"/>
  <c r="Q17" i="15"/>
  <c r="R17" i="15"/>
  <c r="T17" i="15"/>
  <c r="V17" i="15" s="1"/>
  <c r="U17" i="15"/>
  <c r="X17" i="15"/>
  <c r="Z17" i="15" s="1"/>
  <c r="Y17" i="15"/>
  <c r="O17" i="15"/>
  <c r="S17" i="15"/>
  <c r="W17" i="15"/>
  <c r="AF16" i="15" l="1"/>
  <c r="AH16" i="15" s="1"/>
  <c r="AE14" i="15"/>
  <c r="AG14" i="15" s="1"/>
  <c r="AF14" i="15"/>
  <c r="AH14" i="15" s="1"/>
  <c r="AE11" i="15" l="1"/>
  <c r="AG11" i="15" s="1"/>
  <c r="AF11" i="15"/>
  <c r="AH11" i="15" s="1"/>
  <c r="AE10" i="15" l="1"/>
  <c r="AG10" i="15" s="1"/>
  <c r="AF10" i="15"/>
  <c r="AH10" i="15" s="1"/>
  <c r="AB9" i="15"/>
  <c r="AE9" i="15" s="1"/>
  <c r="AG9" i="15" s="1"/>
  <c r="AF9" i="15" l="1"/>
  <c r="AH9" i="15" s="1"/>
  <c r="R66" i="10" l="1"/>
  <c r="R67" i="10" s="1"/>
  <c r="R65" i="10"/>
  <c r="R64" i="10"/>
  <c r="R63" i="10"/>
  <c r="R62" i="10"/>
  <c r="R55" i="10"/>
  <c r="R56" i="10" s="1"/>
  <c r="R57" i="10" s="1"/>
  <c r="R54" i="10"/>
  <c r="R53" i="10"/>
  <c r="R52" i="10"/>
  <c r="Q63" i="10"/>
  <c r="Q64" i="10"/>
  <c r="Q65" i="10"/>
  <c r="Q62" i="10"/>
  <c r="R68" i="10" l="1"/>
  <c r="Q51" i="10"/>
  <c r="Q59" i="10"/>
  <c r="Q60" i="10"/>
  <c r="Q61" i="10"/>
  <c r="Q58" i="10"/>
  <c r="R39" i="10"/>
  <c r="R40" i="10"/>
  <c r="R41" i="10"/>
  <c r="R3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B21" i="10"/>
  <c r="B20" i="10"/>
  <c r="B19" i="10"/>
  <c r="B18" i="10"/>
  <c r="D16" i="10"/>
  <c r="E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C16" i="10"/>
  <c r="C52" i="10"/>
  <c r="D52" i="10"/>
  <c r="E52" i="10"/>
  <c r="E56" i="10" s="1"/>
  <c r="F52" i="10"/>
  <c r="G52" i="10"/>
  <c r="H52" i="10"/>
  <c r="I52" i="10"/>
  <c r="J52" i="10"/>
  <c r="K52" i="10"/>
  <c r="L52" i="10"/>
  <c r="M52" i="10"/>
  <c r="M56" i="10" s="1"/>
  <c r="N52" i="10"/>
  <c r="O52" i="10"/>
  <c r="P52" i="10"/>
  <c r="Q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C55" i="10"/>
  <c r="D55" i="10"/>
  <c r="D56" i="10" s="1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B55" i="10"/>
  <c r="B54" i="10"/>
  <c r="B53" i="10"/>
  <c r="B52" i="10"/>
  <c r="B37" i="10"/>
  <c r="K56" i="10" l="1"/>
  <c r="P56" i="10"/>
  <c r="J56" i="10"/>
  <c r="G56" i="10"/>
  <c r="N56" i="10"/>
  <c r="Q56" i="10"/>
  <c r="I56" i="10"/>
  <c r="O56" i="10"/>
  <c r="C56" i="10"/>
  <c r="L56" i="10"/>
  <c r="H56" i="10"/>
  <c r="F56" i="10"/>
  <c r="B56" i="10"/>
  <c r="B57" i="10" s="1"/>
  <c r="K19" i="13"/>
  <c r="L19" i="13"/>
  <c r="M19" i="13"/>
  <c r="N19" i="13"/>
  <c r="O19" i="13"/>
  <c r="P19" i="13"/>
  <c r="Q19" i="13"/>
  <c r="J19" i="13"/>
  <c r="G19" i="13"/>
  <c r="H19" i="13"/>
  <c r="B19" i="13"/>
  <c r="C19" i="13"/>
  <c r="D19" i="13"/>
  <c r="A19" i="13"/>
  <c r="U19" i="13" l="1"/>
  <c r="S19" i="13"/>
  <c r="R19" i="13"/>
  <c r="AO19" i="13" s="1"/>
  <c r="T19" i="13"/>
  <c r="CE19" i="13"/>
  <c r="BT19" i="13"/>
  <c r="BL19" i="13"/>
  <c r="BD19" i="13"/>
  <c r="AU19" i="13"/>
  <c r="AL19" i="13"/>
  <c r="AC19" i="13"/>
  <c r="BS19" i="13"/>
  <c r="BK19" i="13"/>
  <c r="AT19" i="13"/>
  <c r="AV19" i="13" s="1"/>
  <c r="AK19" i="13"/>
  <c r="BY19" i="13"/>
  <c r="CA19" i="13" s="1"/>
  <c r="BQ19" i="13"/>
  <c r="AI19" i="13"/>
  <c r="Z19" i="13"/>
  <c r="AB19" i="13" s="1"/>
  <c r="BX19" i="13"/>
  <c r="BP19" i="13"/>
  <c r="BH19" i="13"/>
  <c r="AZ19" i="13"/>
  <c r="AQ19" i="13"/>
  <c r="AH19" i="13"/>
  <c r="X19" i="13"/>
  <c r="BR19" i="13"/>
  <c r="AS19" i="13"/>
  <c r="BI19" i="13"/>
  <c r="BW19" i="13"/>
  <c r="BO19" i="13"/>
  <c r="BG19" i="13"/>
  <c r="AP19" i="13"/>
  <c r="AR19" i="13" s="1"/>
  <c r="AG19" i="13"/>
  <c r="W19" i="13"/>
  <c r="Y19" i="13" s="1"/>
  <c r="BJ19" i="13"/>
  <c r="AA19" i="13"/>
  <c r="CB19" i="13"/>
  <c r="CD19" i="13" s="1"/>
  <c r="BV19" i="13"/>
  <c r="BN19" i="13"/>
  <c r="BF19" i="13"/>
  <c r="AN19" i="13"/>
  <c r="AE19" i="13"/>
  <c r="V19" i="13"/>
  <c r="CC19" i="13"/>
  <c r="BB19" i="13"/>
  <c r="AJ19" i="13"/>
  <c r="BA19" i="13"/>
  <c r="BC19" i="13" s="1"/>
  <c r="AX19" i="13"/>
  <c r="BU19" i="13"/>
  <c r="BM19" i="13"/>
  <c r="BE19" i="13"/>
  <c r="AW19" i="13"/>
  <c r="AY19" i="13" s="1"/>
  <c r="AM19" i="13"/>
  <c r="AD19" i="13"/>
  <c r="AF19" i="13" s="1"/>
  <c r="BZ19" i="13"/>
  <c r="C57" i="10"/>
  <c r="D57" i="10" l="1"/>
  <c r="E57" i="10" s="1"/>
  <c r="AQ16" i="2"/>
  <c r="U16" i="2"/>
  <c r="W16" i="2"/>
  <c r="R16" i="2"/>
  <c r="S16" i="2"/>
  <c r="P16" i="2"/>
  <c r="N16" i="2"/>
  <c r="J16" i="2"/>
  <c r="K16" i="2"/>
  <c r="L16" i="2"/>
  <c r="B14" i="8" l="1"/>
  <c r="C14" i="8"/>
  <c r="AF16" i="2"/>
  <c r="F57" i="10"/>
  <c r="AI16" i="2"/>
  <c r="AG16" i="2"/>
  <c r="AM16" i="2"/>
  <c r="AK16" i="2"/>
  <c r="AH16" i="2"/>
  <c r="AL16" i="2"/>
  <c r="AJ16" i="2"/>
  <c r="D14" i="8" l="1"/>
  <c r="G57" i="10"/>
  <c r="AA12" i="2"/>
  <c r="E14" i="8" l="1"/>
  <c r="F14" i="8"/>
  <c r="H57" i="10"/>
  <c r="AA9" i="2"/>
  <c r="AA8" i="2"/>
  <c r="AA7" i="2"/>
  <c r="AA14" i="2"/>
  <c r="AA11" i="2"/>
  <c r="AA13" i="2"/>
  <c r="Y14" i="2"/>
  <c r="Y8" i="2"/>
  <c r="Y13" i="2"/>
  <c r="Y11" i="2"/>
  <c r="Y10" i="2"/>
  <c r="I57" i="10" l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2" i="21"/>
  <c r="S2" i="1"/>
  <c r="S27" i="1"/>
  <c r="T27" i="1"/>
  <c r="S28" i="1"/>
  <c r="T28" i="1"/>
  <c r="S29" i="1"/>
  <c r="T29" i="1"/>
  <c r="S30" i="1"/>
  <c r="T30" i="1"/>
  <c r="S32" i="1"/>
  <c r="T32" i="1"/>
  <c r="S33" i="1"/>
  <c r="T33" i="1"/>
  <c r="S20" i="1"/>
  <c r="S34" i="1"/>
  <c r="T34" i="1"/>
  <c r="S31" i="1"/>
  <c r="S35" i="1"/>
  <c r="T35" i="1"/>
  <c r="S37" i="1"/>
  <c r="T37" i="1"/>
  <c r="S38" i="1"/>
  <c r="T38" i="1"/>
  <c r="S39" i="1"/>
  <c r="T39" i="1"/>
  <c r="S41" i="1"/>
  <c r="T41" i="1"/>
  <c r="S42" i="1"/>
  <c r="T42" i="1"/>
  <c r="S43" i="1"/>
  <c r="T43" i="1"/>
  <c r="S44" i="1"/>
  <c r="T44" i="1"/>
  <c r="S45" i="1"/>
  <c r="T45" i="1"/>
  <c r="S46" i="1"/>
  <c r="T46" i="1"/>
  <c r="S40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8" i="1"/>
  <c r="T58" i="1"/>
  <c r="S59" i="1"/>
  <c r="T59" i="1"/>
  <c r="S60" i="1"/>
  <c r="T60" i="1"/>
  <c r="S61" i="1"/>
  <c r="T61" i="1"/>
  <c r="S36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57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3" i="1"/>
  <c r="T3" i="1"/>
  <c r="S4" i="1"/>
  <c r="S6" i="1"/>
  <c r="T6" i="1"/>
  <c r="S7" i="1"/>
  <c r="T7" i="1"/>
  <c r="S8" i="1"/>
  <c r="T8" i="1"/>
  <c r="S5" i="1"/>
  <c r="S10" i="1"/>
  <c r="T10" i="1"/>
  <c r="S9" i="1"/>
  <c r="S11" i="1"/>
  <c r="T11" i="1"/>
  <c r="S12" i="1"/>
  <c r="S14" i="1"/>
  <c r="T14" i="1"/>
  <c r="S16" i="1"/>
  <c r="T16" i="1"/>
  <c r="S13" i="1"/>
  <c r="S17" i="1"/>
  <c r="T17" i="1"/>
  <c r="S18" i="1"/>
  <c r="T18" i="1"/>
  <c r="S15" i="1"/>
  <c r="S21" i="1"/>
  <c r="T21" i="1"/>
  <c r="S22" i="1"/>
  <c r="T22" i="1"/>
  <c r="S23" i="1"/>
  <c r="T23" i="1"/>
  <c r="S24" i="1"/>
  <c r="T24" i="1"/>
  <c r="S25" i="1"/>
  <c r="T25" i="1"/>
  <c r="S19" i="1"/>
  <c r="S26" i="1"/>
  <c r="T26" i="1"/>
  <c r="J57" i="10" l="1"/>
  <c r="U3" i="1"/>
  <c r="K57" i="10" l="1"/>
  <c r="O6" i="20"/>
  <c r="L57" i="10" l="1"/>
  <c r="AA10" i="2"/>
  <c r="AA6" i="2"/>
  <c r="M57" i="10" l="1"/>
  <c r="N57" i="10" l="1"/>
  <c r="AK18" i="10"/>
  <c r="AK19" i="10"/>
  <c r="AK21" i="10"/>
  <c r="O57" i="10" l="1"/>
  <c r="C25" i="20"/>
  <c r="C20" i="20"/>
  <c r="C8" i="20"/>
  <c r="P57" i="10" l="1"/>
  <c r="Y12" i="2"/>
  <c r="Y6" i="2"/>
  <c r="Y4" i="2"/>
  <c r="Q57" i="10" l="1"/>
  <c r="Z19" i="2"/>
  <c r="Z20" i="2"/>
  <c r="Z14" i="2"/>
  <c r="Z10" i="2"/>
  <c r="Z6" i="2"/>
  <c r="Z7" i="2"/>
  <c r="Z8" i="2"/>
  <c r="M6" i="20" l="1"/>
  <c r="N50" i="20" l="1"/>
  <c r="E16" i="3"/>
  <c r="G3" i="20" l="1"/>
  <c r="X24" i="3" l="1"/>
  <c r="W24" i="3"/>
  <c r="E24" i="3"/>
  <c r="X23" i="3"/>
  <c r="W23" i="3"/>
  <c r="E23" i="3"/>
  <c r="U9" i="4" l="1"/>
  <c r="U8" i="4"/>
  <c r="U7" i="4"/>
  <c r="U6" i="4"/>
  <c r="U5" i="4"/>
  <c r="U4" i="4"/>
  <c r="U3" i="4"/>
  <c r="U2" i="4"/>
  <c r="AA19" i="2" l="1"/>
  <c r="Y5" i="2"/>
  <c r="N48" i="20" l="1"/>
  <c r="N46" i="20"/>
  <c r="N44" i="20"/>
  <c r="N42" i="20"/>
  <c r="N40" i="20"/>
  <c r="N41" i="20"/>
  <c r="N43" i="20"/>
  <c r="N45" i="20"/>
  <c r="N47" i="20"/>
  <c r="N49" i="20"/>
  <c r="N39" i="20"/>
  <c r="N38" i="20"/>
  <c r="C11" i="20"/>
  <c r="N34" i="20"/>
  <c r="N35" i="20"/>
  <c r="N36" i="20"/>
  <c r="N37" i="20"/>
  <c r="N33" i="20"/>
  <c r="N16" i="20"/>
  <c r="O16" i="20" s="1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Z6" i="20"/>
  <c r="X6" i="20"/>
  <c r="V6" i="20"/>
  <c r="T6" i="20"/>
  <c r="R6" i="20"/>
  <c r="N3" i="20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M28" i="20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A24" i="20"/>
  <c r="AB24" i="20" s="1"/>
  <c r="N24" i="20"/>
  <c r="O24" i="20" s="1"/>
  <c r="K24" i="20"/>
  <c r="AA23" i="20"/>
  <c r="AB23" i="20" s="1"/>
  <c r="N23" i="20"/>
  <c r="O23" i="20" s="1"/>
  <c r="AA21" i="20"/>
  <c r="AB21" i="20" s="1"/>
  <c r="N21" i="20"/>
  <c r="Q21" i="20" s="1"/>
  <c r="R21" i="20" s="1"/>
  <c r="S21" i="20" s="1"/>
  <c r="T21" i="20" s="1"/>
  <c r="U21" i="20" s="1"/>
  <c r="V21" i="20" s="1"/>
  <c r="W21" i="20" s="1"/>
  <c r="X21" i="20" s="1"/>
  <c r="Y21" i="20" s="1"/>
  <c r="X20" i="20"/>
  <c r="Y20" i="20" s="1"/>
  <c r="O20" i="20"/>
  <c r="P20" i="20" s="1"/>
  <c r="Q20" i="20" s="1"/>
  <c r="N19" i="20"/>
  <c r="O19" i="20" s="1"/>
  <c r="P19" i="20" s="1"/>
  <c r="K19" i="20"/>
  <c r="N18" i="20"/>
  <c r="O18" i="20" s="1"/>
  <c r="K18" i="20"/>
  <c r="L17" i="20"/>
  <c r="C4" i="20" s="1"/>
  <c r="K16" i="20"/>
  <c r="K15" i="20"/>
  <c r="M14" i="20"/>
  <c r="O13" i="20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L12" i="20"/>
  <c r="C16" i="20" s="1"/>
  <c r="L9" i="20"/>
  <c r="C23" i="20" s="1"/>
  <c r="G9" i="20" s="1"/>
  <c r="L8" i="20"/>
  <c r="C22" i="20" s="1"/>
  <c r="M5" i="20"/>
  <c r="M4" i="20"/>
  <c r="M26" i="20" s="1"/>
  <c r="N4" i="20" s="1"/>
  <c r="N1" i="20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N31" i="20" l="1"/>
  <c r="C12" i="20" s="1"/>
  <c r="C10" i="20" s="1"/>
  <c r="N26" i="20"/>
  <c r="O4" i="20" s="1"/>
  <c r="AB11" i="20"/>
  <c r="L11" i="20" s="1"/>
  <c r="C15" i="20" s="1"/>
  <c r="L7" i="20"/>
  <c r="C18" i="20" s="1"/>
  <c r="G8" i="20" s="1"/>
  <c r="N14" i="20"/>
  <c r="P14" i="20"/>
  <c r="N25" i="20"/>
  <c r="Q19" i="20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L19" i="20" s="1"/>
  <c r="G18" i="20" s="1"/>
  <c r="R22" i="20"/>
  <c r="S22" i="20" s="1"/>
  <c r="P24" i="20"/>
  <c r="Q24" i="20" s="1"/>
  <c r="R24" i="20" s="1"/>
  <c r="S24" i="20" s="1"/>
  <c r="T24" i="20" s="1"/>
  <c r="U24" i="20" s="1"/>
  <c r="V24" i="20" s="1"/>
  <c r="W24" i="20" s="1"/>
  <c r="X24" i="20" s="1"/>
  <c r="Y24" i="20" s="1"/>
  <c r="P23" i="20"/>
  <c r="Q23" i="20" s="1"/>
  <c r="R23" i="20" s="1"/>
  <c r="S23" i="20" s="1"/>
  <c r="T23" i="20" s="1"/>
  <c r="U23" i="20" s="1"/>
  <c r="V23" i="20" s="1"/>
  <c r="W23" i="20" s="1"/>
  <c r="X23" i="20" s="1"/>
  <c r="Y23" i="20" s="1"/>
  <c r="P18" i="20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R20" i="20"/>
  <c r="S20" i="20" s="1"/>
  <c r="M25" i="20"/>
  <c r="L21" i="20"/>
  <c r="C5" i="20" s="1"/>
  <c r="C3" i="20" s="1"/>
  <c r="L6" i="20"/>
  <c r="C17" i="20" s="1"/>
  <c r="L16" i="20"/>
  <c r="G15" i="20" s="1"/>
  <c r="T22" i="20" l="1"/>
  <c r="U22" i="20" s="1"/>
  <c r="O26" i="20"/>
  <c r="P4" i="20" s="1"/>
  <c r="O14" i="20"/>
  <c r="Q14" i="20"/>
  <c r="L18" i="20"/>
  <c r="G17" i="20" s="1"/>
  <c r="L23" i="20"/>
  <c r="C21" i="20" s="1"/>
  <c r="L20" i="20"/>
  <c r="G21" i="20" s="1"/>
  <c r="L24" i="20"/>
  <c r="G20" i="20" s="1"/>
  <c r="O25" i="20"/>
  <c r="M27" i="20"/>
  <c r="N5" i="20" s="1"/>
  <c r="N27" i="20" s="1"/>
  <c r="O5" i="20" s="1"/>
  <c r="V22" i="20" l="1"/>
  <c r="W22" i="20" s="1"/>
  <c r="X22" i="20" s="1"/>
  <c r="Y22" i="20" s="1"/>
  <c r="Z22" i="20" s="1"/>
  <c r="AA22" i="20" s="1"/>
  <c r="AB22" i="20" s="1"/>
  <c r="L22" i="20"/>
  <c r="G19" i="20" s="1"/>
  <c r="R14" i="20"/>
  <c r="L26" i="20"/>
  <c r="C9" i="20" s="1"/>
  <c r="C7" i="20" s="1"/>
  <c r="P26" i="20"/>
  <c r="Q4" i="20" s="1"/>
  <c r="Q26" i="20" s="1"/>
  <c r="R4" i="20" s="1"/>
  <c r="O27" i="20"/>
  <c r="P5" i="20" s="1"/>
  <c r="P25" i="20"/>
  <c r="AB6" i="2"/>
  <c r="AB11" i="2"/>
  <c r="AB8" i="2"/>
  <c r="AB7" i="2"/>
  <c r="AB9" i="2"/>
  <c r="R26" i="20" l="1"/>
  <c r="S4" i="20" s="1"/>
  <c r="P27" i="20"/>
  <c r="Q5" i="20" s="1"/>
  <c r="Q25" i="20"/>
  <c r="S14" i="20" l="1"/>
  <c r="S26" i="20"/>
  <c r="T4" i="20" s="1"/>
  <c r="Q27" i="20"/>
  <c r="R5" i="20" s="1"/>
  <c r="T14" i="20"/>
  <c r="R25" i="20"/>
  <c r="O3" i="19"/>
  <c r="Q3" i="19" s="1"/>
  <c r="P3" i="19"/>
  <c r="R3" i="19"/>
  <c r="S3" i="19"/>
  <c r="U3" i="19" s="1"/>
  <c r="T3" i="19"/>
  <c r="V3" i="19"/>
  <c r="X3" i="19" s="1"/>
  <c r="W3" i="19"/>
  <c r="Y3" i="19"/>
  <c r="Z3" i="19"/>
  <c r="AB3" i="19" s="1"/>
  <c r="AA3" i="19"/>
  <c r="O4" i="19"/>
  <c r="Q4" i="19" s="1"/>
  <c r="P4" i="19"/>
  <c r="R4" i="19"/>
  <c r="S4" i="19"/>
  <c r="U4" i="19" s="1"/>
  <c r="T4" i="19"/>
  <c r="V4" i="19"/>
  <c r="X4" i="19" s="1"/>
  <c r="W4" i="19"/>
  <c r="Y4" i="19"/>
  <c r="Z4" i="19"/>
  <c r="AB4" i="19" s="1"/>
  <c r="AA4" i="19"/>
  <c r="O5" i="19"/>
  <c r="Q5" i="19" s="1"/>
  <c r="P5" i="19"/>
  <c r="R5" i="19"/>
  <c r="S5" i="19"/>
  <c r="U5" i="19" s="1"/>
  <c r="T5" i="19"/>
  <c r="V5" i="19"/>
  <c r="X5" i="19" s="1"/>
  <c r="W5" i="19"/>
  <c r="Y5" i="19"/>
  <c r="Z5" i="19"/>
  <c r="AB5" i="19" s="1"/>
  <c r="AA5" i="19"/>
  <c r="O6" i="19"/>
  <c r="Q6" i="19" s="1"/>
  <c r="P6" i="19"/>
  <c r="R6" i="19"/>
  <c r="S6" i="19"/>
  <c r="U6" i="19" s="1"/>
  <c r="T6" i="19"/>
  <c r="V6" i="19"/>
  <c r="X6" i="19" s="1"/>
  <c r="W6" i="19"/>
  <c r="Y6" i="19"/>
  <c r="Z6" i="19"/>
  <c r="AB6" i="19" s="1"/>
  <c r="AA6" i="19"/>
  <c r="O7" i="19"/>
  <c r="Q7" i="19" s="1"/>
  <c r="P7" i="19"/>
  <c r="R7" i="19"/>
  <c r="S7" i="19"/>
  <c r="U7" i="19" s="1"/>
  <c r="T7" i="19"/>
  <c r="V7" i="19"/>
  <c r="X7" i="19" s="1"/>
  <c r="W7" i="19"/>
  <c r="Y7" i="19"/>
  <c r="Z7" i="19"/>
  <c r="AB7" i="19" s="1"/>
  <c r="AA7" i="19"/>
  <c r="O8" i="19"/>
  <c r="Q8" i="19" s="1"/>
  <c r="P8" i="19"/>
  <c r="R8" i="19"/>
  <c r="S8" i="19"/>
  <c r="U8" i="19" s="1"/>
  <c r="T8" i="19"/>
  <c r="V8" i="19"/>
  <c r="X8" i="19" s="1"/>
  <c r="W8" i="19"/>
  <c r="Y8" i="19"/>
  <c r="Z8" i="19"/>
  <c r="AB8" i="19" s="1"/>
  <c r="AA8" i="19"/>
  <c r="O9" i="19"/>
  <c r="Q9" i="19" s="1"/>
  <c r="P9" i="19"/>
  <c r="R9" i="19"/>
  <c r="S9" i="19"/>
  <c r="U9" i="19" s="1"/>
  <c r="T9" i="19"/>
  <c r="V9" i="19"/>
  <c r="X9" i="19" s="1"/>
  <c r="W9" i="19"/>
  <c r="Y9" i="19"/>
  <c r="Z9" i="19"/>
  <c r="AB9" i="19" s="1"/>
  <c r="AA9" i="19"/>
  <c r="O10" i="19"/>
  <c r="Q10" i="19" s="1"/>
  <c r="P10" i="19"/>
  <c r="R10" i="19"/>
  <c r="S10" i="19"/>
  <c r="U10" i="19" s="1"/>
  <c r="T10" i="19"/>
  <c r="V10" i="19"/>
  <c r="X10" i="19" s="1"/>
  <c r="W10" i="19"/>
  <c r="Y10" i="19"/>
  <c r="Z10" i="19"/>
  <c r="AB10" i="19" s="1"/>
  <c r="AA10" i="19"/>
  <c r="O11" i="19"/>
  <c r="Q11" i="19" s="1"/>
  <c r="P11" i="19"/>
  <c r="R11" i="19"/>
  <c r="S11" i="19"/>
  <c r="U11" i="19" s="1"/>
  <c r="T11" i="19"/>
  <c r="V11" i="19"/>
  <c r="X11" i="19" s="1"/>
  <c r="W11" i="19"/>
  <c r="Y11" i="19"/>
  <c r="Z11" i="19"/>
  <c r="AB11" i="19" s="1"/>
  <c r="AA11" i="19"/>
  <c r="O12" i="19"/>
  <c r="Q12" i="19" s="1"/>
  <c r="P12" i="19"/>
  <c r="R12" i="19"/>
  <c r="S12" i="19"/>
  <c r="U12" i="19" s="1"/>
  <c r="T12" i="19"/>
  <c r="V12" i="19"/>
  <c r="X12" i="19" s="1"/>
  <c r="W12" i="19"/>
  <c r="Y12" i="19"/>
  <c r="Z12" i="19"/>
  <c r="AB12" i="19" s="1"/>
  <c r="AA12" i="19"/>
  <c r="O13" i="19"/>
  <c r="Q13" i="19" s="1"/>
  <c r="P13" i="19"/>
  <c r="R13" i="19"/>
  <c r="S13" i="19"/>
  <c r="U13" i="19" s="1"/>
  <c r="T13" i="19"/>
  <c r="V13" i="19"/>
  <c r="X13" i="19" s="1"/>
  <c r="W13" i="19"/>
  <c r="Y13" i="19"/>
  <c r="Z13" i="19"/>
  <c r="AB13" i="19" s="1"/>
  <c r="AA13" i="19"/>
  <c r="O14" i="19"/>
  <c r="Q14" i="19" s="1"/>
  <c r="P14" i="19"/>
  <c r="R14" i="19"/>
  <c r="S14" i="19"/>
  <c r="U14" i="19" s="1"/>
  <c r="T14" i="19"/>
  <c r="V14" i="19"/>
  <c r="X14" i="19" s="1"/>
  <c r="W14" i="19"/>
  <c r="Y14" i="19"/>
  <c r="Z14" i="19"/>
  <c r="AB14" i="19" s="1"/>
  <c r="AA14" i="19"/>
  <c r="T26" i="20" l="1"/>
  <c r="U4" i="20" s="1"/>
  <c r="R27" i="20"/>
  <c r="S5" i="20" s="1"/>
  <c r="U14" i="20"/>
  <c r="S25" i="20"/>
  <c r="AG14" i="19"/>
  <c r="AI14" i="19" s="1"/>
  <c r="AH14" i="19"/>
  <c r="AJ14" i="19" s="1"/>
  <c r="AG13" i="19"/>
  <c r="AI13" i="19" s="1"/>
  <c r="AH13" i="19"/>
  <c r="AJ13" i="19" s="1"/>
  <c r="AG11" i="19"/>
  <c r="AI11" i="19" s="1"/>
  <c r="AG10" i="19"/>
  <c r="AI10" i="19" s="1"/>
  <c r="AH10" i="19"/>
  <c r="AJ10" i="19" s="1"/>
  <c r="AG9" i="19"/>
  <c r="AI9" i="19" s="1"/>
  <c r="AG8" i="19"/>
  <c r="AI8" i="19" s="1"/>
  <c r="AH8" i="19"/>
  <c r="AJ8" i="19" s="1"/>
  <c r="AG7" i="19"/>
  <c r="AI7" i="19" s="1"/>
  <c r="AH7" i="19"/>
  <c r="AJ7" i="19" s="1"/>
  <c r="AG6" i="19"/>
  <c r="AI6" i="19" s="1"/>
  <c r="AH6" i="19"/>
  <c r="AJ6" i="19" s="1"/>
  <c r="AG5" i="19"/>
  <c r="AI5" i="19" s="1"/>
  <c r="AH5" i="19"/>
  <c r="AJ5" i="19" s="1"/>
  <c r="AG4" i="19"/>
  <c r="AI4" i="19" s="1"/>
  <c r="AH4" i="19"/>
  <c r="AJ4" i="19" s="1"/>
  <c r="AG3" i="19"/>
  <c r="AI3" i="19" s="1"/>
  <c r="AH3" i="19"/>
  <c r="AJ3" i="19" s="1"/>
  <c r="U26" i="20" l="1"/>
  <c r="V4" i="20" s="1"/>
  <c r="S27" i="20"/>
  <c r="T5" i="20" s="1"/>
  <c r="V14" i="20"/>
  <c r="T25" i="20"/>
  <c r="AH12" i="19"/>
  <c r="AJ12" i="19" s="1"/>
  <c r="AG12" i="19"/>
  <c r="AI12" i="19" s="1"/>
  <c r="V26" i="20" l="1"/>
  <c r="W4" i="20" s="1"/>
  <c r="T27" i="20"/>
  <c r="U5" i="20" s="1"/>
  <c r="U25" i="20"/>
  <c r="W14" i="20"/>
  <c r="W26" i="20" l="1"/>
  <c r="X4" i="20" s="1"/>
  <c r="U27" i="20"/>
  <c r="V5" i="20" s="1"/>
  <c r="X14" i="20"/>
  <c r="V25" i="20"/>
  <c r="X26" i="20" l="1"/>
  <c r="Y4" i="20" s="1"/>
  <c r="V27" i="20"/>
  <c r="W5" i="20" s="1"/>
  <c r="Y14" i="20"/>
  <c r="W25" i="20"/>
  <c r="Y26" i="20" l="1"/>
  <c r="Z4" i="20" s="1"/>
  <c r="W27" i="20"/>
  <c r="X5" i="20" s="1"/>
  <c r="X25" i="20"/>
  <c r="Z14" i="20"/>
  <c r="Z26" i="20" l="1"/>
  <c r="AA4" i="20" s="1"/>
  <c r="X27" i="20"/>
  <c r="Y5" i="20" s="1"/>
  <c r="AA14" i="20"/>
  <c r="Y25" i="20"/>
  <c r="F10" i="10"/>
  <c r="F11" i="10"/>
  <c r="F12" i="10"/>
  <c r="F9" i="10"/>
  <c r="AA26" i="20" l="1"/>
  <c r="AB4" i="20" s="1"/>
  <c r="AB26" i="20" s="1"/>
  <c r="Y27" i="20"/>
  <c r="Z5" i="20" s="1"/>
  <c r="Z25" i="20"/>
  <c r="AB14" i="20"/>
  <c r="L14" i="20" s="1"/>
  <c r="L10" i="20"/>
  <c r="C19" i="20" s="1"/>
  <c r="AC13" i="2"/>
  <c r="C14" i="20" l="1"/>
  <c r="Z27" i="20"/>
  <c r="AA5" i="20" s="1"/>
  <c r="AA25" i="20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AA27" i="20" l="1"/>
  <c r="AB5" i="20" s="1"/>
  <c r="AB25" i="20"/>
  <c r="L25" i="20" s="1"/>
  <c r="L15" i="20"/>
  <c r="G16" i="20" s="1"/>
  <c r="R21" i="10" l="1"/>
  <c r="R19" i="10"/>
  <c r="R18" i="10"/>
  <c r="G14" i="20"/>
  <c r="AB27" i="20"/>
  <c r="S18" i="10" l="1"/>
  <c r="S21" i="10"/>
  <c r="S19" i="10"/>
  <c r="L27" i="20"/>
  <c r="C26" i="20" s="1"/>
  <c r="U17" i="2"/>
  <c r="T18" i="10" l="1"/>
  <c r="T21" i="10"/>
  <c r="T19" i="10"/>
  <c r="C24" i="20"/>
  <c r="U19" i="10" l="1"/>
  <c r="U18" i="10"/>
  <c r="U21" i="10"/>
  <c r="C2" i="20"/>
  <c r="P9" i="15"/>
  <c r="Q9" i="15"/>
  <c r="R9" i="15"/>
  <c r="T9" i="15"/>
  <c r="V9" i="15" s="1"/>
  <c r="U9" i="15"/>
  <c r="X9" i="15"/>
  <c r="Z9" i="15" s="1"/>
  <c r="Y9" i="15"/>
  <c r="O9" i="15"/>
  <c r="S9" i="15"/>
  <c r="W9" i="15"/>
  <c r="V18" i="10" l="1"/>
  <c r="V21" i="10"/>
  <c r="V19" i="10"/>
  <c r="D24" i="20"/>
  <c r="D9" i="20"/>
  <c r="D13" i="20"/>
  <c r="D22" i="20"/>
  <c r="D7" i="20"/>
  <c r="D23" i="20"/>
  <c r="D20" i="20"/>
  <c r="D18" i="20"/>
  <c r="D17" i="20"/>
  <c r="D16" i="20"/>
  <c r="D10" i="20"/>
  <c r="D21" i="20"/>
  <c r="D15" i="20"/>
  <c r="D19" i="20"/>
  <c r="D12" i="20"/>
  <c r="D14" i="20"/>
  <c r="D26" i="20"/>
  <c r="P16" i="15"/>
  <c r="Q16" i="15"/>
  <c r="R16" i="15"/>
  <c r="T16" i="15"/>
  <c r="V16" i="15" s="1"/>
  <c r="U16" i="15"/>
  <c r="X16" i="15"/>
  <c r="Z16" i="15" s="1"/>
  <c r="Y16" i="15"/>
  <c r="O16" i="15"/>
  <c r="S16" i="15"/>
  <c r="W16" i="15"/>
  <c r="P3" i="15"/>
  <c r="Q3" i="15"/>
  <c r="R3" i="15"/>
  <c r="T3" i="15"/>
  <c r="V3" i="15" s="1"/>
  <c r="U3" i="15"/>
  <c r="X3" i="15"/>
  <c r="Z3" i="15" s="1"/>
  <c r="Y3" i="15"/>
  <c r="O3" i="15"/>
  <c r="S3" i="15"/>
  <c r="W3" i="15"/>
  <c r="P4" i="15"/>
  <c r="Q4" i="15"/>
  <c r="R4" i="15"/>
  <c r="T4" i="15"/>
  <c r="V4" i="15" s="1"/>
  <c r="U4" i="15"/>
  <c r="X4" i="15"/>
  <c r="Z4" i="15" s="1"/>
  <c r="Y4" i="15"/>
  <c r="O4" i="15"/>
  <c r="S4" i="15"/>
  <c r="W4" i="15"/>
  <c r="W21" i="10" l="1"/>
  <c r="W18" i="10"/>
  <c r="W19" i="10"/>
  <c r="A4" i="13"/>
  <c r="B4" i="13"/>
  <c r="D4" i="13"/>
  <c r="E4" i="13"/>
  <c r="F4" i="13"/>
  <c r="G4" i="13" s="1"/>
  <c r="J4" i="13"/>
  <c r="K4" i="13"/>
  <c r="M4" i="13"/>
  <c r="N4" i="13"/>
  <c r="O4" i="13"/>
  <c r="P4" i="13"/>
  <c r="Q4" i="13"/>
  <c r="A5" i="13"/>
  <c r="B5" i="13"/>
  <c r="D5" i="13"/>
  <c r="E5" i="13"/>
  <c r="F5" i="13"/>
  <c r="G5" i="13" s="1"/>
  <c r="J5" i="13"/>
  <c r="K5" i="13"/>
  <c r="L5" i="13"/>
  <c r="M5" i="13"/>
  <c r="N5" i="13"/>
  <c r="O5" i="13"/>
  <c r="P5" i="13"/>
  <c r="Q5" i="13"/>
  <c r="A6" i="13"/>
  <c r="B6" i="13"/>
  <c r="D6" i="13"/>
  <c r="E6" i="13"/>
  <c r="F6" i="13"/>
  <c r="G6" i="13" s="1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H7" i="13" s="1"/>
  <c r="J7" i="13"/>
  <c r="K7" i="13"/>
  <c r="M7" i="13"/>
  <c r="N7" i="13"/>
  <c r="O7" i="13"/>
  <c r="P7" i="13"/>
  <c r="A8" i="13"/>
  <c r="B8" i="13"/>
  <c r="D8" i="13"/>
  <c r="E8" i="13"/>
  <c r="F8" i="13"/>
  <c r="J8" i="13"/>
  <c r="K8" i="13"/>
  <c r="L8" i="13"/>
  <c r="M8" i="13"/>
  <c r="N8" i="13"/>
  <c r="O8" i="13"/>
  <c r="P8" i="13"/>
  <c r="A9" i="13"/>
  <c r="B9" i="13"/>
  <c r="D9" i="13"/>
  <c r="E9" i="13"/>
  <c r="F9" i="13"/>
  <c r="G9" i="13" s="1"/>
  <c r="J9" i="13"/>
  <c r="K9" i="13"/>
  <c r="L9" i="13"/>
  <c r="M9" i="13"/>
  <c r="N9" i="13"/>
  <c r="O9" i="13"/>
  <c r="Q9" i="13"/>
  <c r="A10" i="13"/>
  <c r="B10" i="13"/>
  <c r="D10" i="13"/>
  <c r="E10" i="13"/>
  <c r="F10" i="13"/>
  <c r="H10" i="13" s="1"/>
  <c r="J10" i="13"/>
  <c r="K10" i="13"/>
  <c r="L10" i="13"/>
  <c r="M10" i="13"/>
  <c r="N10" i="13"/>
  <c r="O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A12" i="13"/>
  <c r="B12" i="13"/>
  <c r="D12" i="13"/>
  <c r="E12" i="13"/>
  <c r="F12" i="13"/>
  <c r="G12" i="13" s="1"/>
  <c r="I12" i="13"/>
  <c r="J12" i="13"/>
  <c r="K12" i="13"/>
  <c r="L12" i="13"/>
  <c r="M12" i="13"/>
  <c r="N12" i="13"/>
  <c r="P12" i="13"/>
  <c r="Q12" i="13"/>
  <c r="A13" i="13"/>
  <c r="B13" i="13"/>
  <c r="D13" i="13"/>
  <c r="E13" i="13"/>
  <c r="F13" i="13"/>
  <c r="H13" i="13" s="1"/>
  <c r="J13" i="13"/>
  <c r="K13" i="13"/>
  <c r="L13" i="13"/>
  <c r="M13" i="13"/>
  <c r="N13" i="13"/>
  <c r="O13" i="13"/>
  <c r="P13" i="13"/>
  <c r="Q13" i="13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G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J16" i="13"/>
  <c r="K16" i="13"/>
  <c r="L16" i="13"/>
  <c r="M16" i="13"/>
  <c r="N16" i="13"/>
  <c r="O16" i="13"/>
  <c r="P16" i="13"/>
  <c r="Q16" i="13"/>
  <c r="A17" i="13"/>
  <c r="B17" i="13"/>
  <c r="D17" i="13"/>
  <c r="E17" i="13"/>
  <c r="F17" i="13"/>
  <c r="G17" i="13" s="1"/>
  <c r="J17" i="13"/>
  <c r="K17" i="13"/>
  <c r="L17" i="13"/>
  <c r="M17" i="13"/>
  <c r="N17" i="13"/>
  <c r="O17" i="13"/>
  <c r="P17" i="13"/>
  <c r="Q17" i="13"/>
  <c r="A18" i="13"/>
  <c r="B18" i="13"/>
  <c r="D18" i="13"/>
  <c r="E18" i="13"/>
  <c r="F18" i="13"/>
  <c r="H18" i="13" s="1"/>
  <c r="J18" i="13"/>
  <c r="K18" i="13"/>
  <c r="L18" i="13"/>
  <c r="M18" i="13"/>
  <c r="N18" i="13"/>
  <c r="O18" i="13"/>
  <c r="P18" i="13"/>
  <c r="Q18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X19" i="10" l="1"/>
  <c r="X18" i="10"/>
  <c r="X21" i="10"/>
  <c r="R8" i="13"/>
  <c r="AN12" i="13"/>
  <c r="S16" i="13"/>
  <c r="R17" i="13"/>
  <c r="S4" i="13"/>
  <c r="R11" i="13"/>
  <c r="T16" i="13"/>
  <c r="S18" i="13"/>
  <c r="S15" i="13"/>
  <c r="H5" i="13"/>
  <c r="H6" i="13"/>
  <c r="G18" i="13"/>
  <c r="T12" i="13"/>
  <c r="X12" i="13"/>
  <c r="R6" i="13"/>
  <c r="S17" i="13"/>
  <c r="AM12" i="13"/>
  <c r="U12" i="13"/>
  <c r="V12" i="13" s="1"/>
  <c r="BN12" i="13"/>
  <c r="BJ12" i="13"/>
  <c r="H15" i="13"/>
  <c r="G14" i="13"/>
  <c r="G13" i="13"/>
  <c r="H12" i="13"/>
  <c r="BI12" i="13"/>
  <c r="AK12" i="13"/>
  <c r="BE12" i="13"/>
  <c r="AH12" i="13"/>
  <c r="AE12" i="13"/>
  <c r="CE12" i="13"/>
  <c r="AW12" i="13"/>
  <c r="AY12" i="13" s="1"/>
  <c r="AD12" i="13"/>
  <c r="AF12" i="13" s="1"/>
  <c r="BT12" i="13"/>
  <c r="AQ12" i="13"/>
  <c r="AA12" i="13"/>
  <c r="BO12" i="13"/>
  <c r="AP12" i="13"/>
  <c r="AR12" i="13" s="1"/>
  <c r="G7" i="13"/>
  <c r="H17" i="13"/>
  <c r="S13" i="13"/>
  <c r="T17" i="13"/>
  <c r="R13" i="13"/>
  <c r="AJ12" i="13"/>
  <c r="AZ12" i="13"/>
  <c r="AS12" i="13"/>
  <c r="BK12" i="13"/>
  <c r="AC12" i="13"/>
  <c r="BU12" i="13"/>
  <c r="BP12" i="13"/>
  <c r="BX12" i="13"/>
  <c r="AG12" i="13"/>
  <c r="H8" i="13"/>
  <c r="G8" i="13"/>
  <c r="T14" i="13"/>
  <c r="R18" i="13"/>
  <c r="R15" i="13"/>
  <c r="BF12" i="13"/>
  <c r="G16" i="13"/>
  <c r="H16" i="13"/>
  <c r="T9" i="13"/>
  <c r="S14" i="13"/>
  <c r="R5" i="13"/>
  <c r="T5" i="13"/>
  <c r="T15" i="13"/>
  <c r="T18" i="13"/>
  <c r="R14" i="13"/>
  <c r="T13" i="13"/>
  <c r="R16" i="13"/>
  <c r="S12" i="13"/>
  <c r="T6" i="13"/>
  <c r="S6" i="13"/>
  <c r="G11" i="13"/>
  <c r="Z12" i="13"/>
  <c r="AB12" i="13" s="1"/>
  <c r="AI12" i="13"/>
  <c r="BS12" i="13"/>
  <c r="AL12" i="13"/>
  <c r="BD12" i="13"/>
  <c r="W12" i="13"/>
  <c r="Y12" i="13" s="1"/>
  <c r="AX12" i="13"/>
  <c r="H9" i="13"/>
  <c r="R9" i="13"/>
  <c r="R10" i="13"/>
  <c r="G10" i="13"/>
  <c r="S5" i="13"/>
  <c r="H4" i="13"/>
  <c r="Y19" i="10" l="1"/>
  <c r="Y18" i="10"/>
  <c r="Y21" i="10"/>
  <c r="N12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A3" i="8"/>
  <c r="H4" i="8"/>
  <c r="O12" i="7"/>
  <c r="O11" i="7"/>
  <c r="S11" i="7"/>
  <c r="Q11" i="7"/>
  <c r="O13" i="7"/>
  <c r="Q13" i="7"/>
  <c r="O8" i="7"/>
  <c r="S8" i="7"/>
  <c r="O9" i="7"/>
  <c r="S9" i="7"/>
  <c r="Q9" i="7"/>
  <c r="O3" i="7"/>
  <c r="O7" i="7"/>
  <c r="R7" i="7"/>
  <c r="O6" i="7"/>
  <c r="Q6" i="7"/>
  <c r="O10" i="7"/>
  <c r="R10" i="7"/>
  <c r="Q10" i="7"/>
  <c r="O4" i="7"/>
  <c r="R4" i="7"/>
  <c r="Z21" i="10" l="1"/>
  <c r="Z19" i="10"/>
  <c r="Z18" i="10"/>
  <c r="S13" i="7"/>
  <c r="R13" i="7"/>
  <c r="S6" i="7"/>
  <c r="R6" i="7"/>
  <c r="Q3" i="7"/>
  <c r="P3" i="7"/>
  <c r="S3" i="7"/>
  <c r="R3" i="7"/>
  <c r="S12" i="7"/>
  <c r="R12" i="7"/>
  <c r="R9" i="7"/>
  <c r="R11" i="7"/>
  <c r="R8" i="7"/>
  <c r="P10" i="7"/>
  <c r="P11" i="7"/>
  <c r="P13" i="7"/>
  <c r="P12" i="7"/>
  <c r="Q12" i="7"/>
  <c r="Q8" i="7"/>
  <c r="P8" i="7"/>
  <c r="P9" i="7"/>
  <c r="P6" i="7"/>
  <c r="Q7" i="7"/>
  <c r="P7" i="7"/>
  <c r="Q4" i="7"/>
  <c r="P4" i="7"/>
  <c r="S7" i="7"/>
  <c r="AA18" i="10" l="1"/>
  <c r="AA21" i="10"/>
  <c r="AA19" i="10"/>
  <c r="S10" i="7"/>
  <c r="S4" i="7"/>
  <c r="AB18" i="10" l="1"/>
  <c r="AB21" i="10"/>
  <c r="AB19" i="10"/>
  <c r="U10" i="17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F7" i="15"/>
  <c r="AH7" i="15" s="1"/>
  <c r="AE7" i="15"/>
  <c r="AG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AF8" i="15"/>
  <c r="AH8" i="15" s="1"/>
  <c r="AE8" i="15"/>
  <c r="AG8" i="15" s="1"/>
  <c r="Y8" i="15"/>
  <c r="X8" i="15"/>
  <c r="Z8" i="15" s="1"/>
  <c r="W8" i="15"/>
  <c r="U8" i="15"/>
  <c r="T8" i="15"/>
  <c r="V8" i="15" s="1"/>
  <c r="S8" i="15"/>
  <c r="R8" i="15"/>
  <c r="Q8" i="15"/>
  <c r="P8" i="15"/>
  <c r="O8" i="15"/>
  <c r="Y6" i="15"/>
  <c r="X6" i="15"/>
  <c r="Z6" i="15" s="1"/>
  <c r="W6" i="15"/>
  <c r="U6" i="15"/>
  <c r="T6" i="15"/>
  <c r="V6" i="15" s="1"/>
  <c r="S6" i="15"/>
  <c r="R6" i="15"/>
  <c r="Q6" i="15"/>
  <c r="P6" i="15"/>
  <c r="O6" i="15"/>
  <c r="Y10" i="15"/>
  <c r="X10" i="15"/>
  <c r="Z10" i="15" s="1"/>
  <c r="W10" i="15"/>
  <c r="U10" i="15"/>
  <c r="T10" i="15"/>
  <c r="V10" i="15" s="1"/>
  <c r="S10" i="15"/>
  <c r="R10" i="15"/>
  <c r="Q10" i="15"/>
  <c r="P10" i="15"/>
  <c r="O10" i="15"/>
  <c r="Y14" i="15"/>
  <c r="X14" i="15"/>
  <c r="Z14" i="15" s="1"/>
  <c r="W14" i="15"/>
  <c r="U14" i="15"/>
  <c r="T14" i="15"/>
  <c r="V14" i="15" s="1"/>
  <c r="S14" i="15"/>
  <c r="R14" i="15"/>
  <c r="Q14" i="15"/>
  <c r="P14" i="15"/>
  <c r="O14" i="15"/>
  <c r="Y5" i="15"/>
  <c r="X5" i="15"/>
  <c r="Z5" i="15" s="1"/>
  <c r="W5" i="15"/>
  <c r="U5" i="15"/>
  <c r="T5" i="15"/>
  <c r="V5" i="15" s="1"/>
  <c r="S5" i="15"/>
  <c r="R5" i="15"/>
  <c r="Q5" i="15"/>
  <c r="P5" i="15"/>
  <c r="O5" i="15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K19" i="14"/>
  <c r="J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C16" i="14"/>
  <c r="B16" i="14"/>
  <c r="A16" i="14"/>
  <c r="R15" i="14"/>
  <c r="Q15" i="14"/>
  <c r="P15" i="14"/>
  <c r="O15" i="14"/>
  <c r="N15" i="14"/>
  <c r="L15" i="14"/>
  <c r="T15" i="14" s="1"/>
  <c r="K15" i="14"/>
  <c r="J15" i="14"/>
  <c r="I15" i="14"/>
  <c r="G15" i="14"/>
  <c r="E15" i="14"/>
  <c r="C15" i="14"/>
  <c r="B15" i="14"/>
  <c r="A15" i="14"/>
  <c r="L14" i="14"/>
  <c r="R14" i="14" s="1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L12" i="14"/>
  <c r="S12" i="14" s="1"/>
  <c r="G12" i="14"/>
  <c r="E12" i="14"/>
  <c r="C12" i="14"/>
  <c r="B12" i="14"/>
  <c r="A12" i="14"/>
  <c r="T11" i="14"/>
  <c r="S11" i="14"/>
  <c r="R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L9" i="14"/>
  <c r="N9" i="14" s="1"/>
  <c r="J9" i="14"/>
  <c r="H9" i="14"/>
  <c r="G9" i="14"/>
  <c r="E9" i="14"/>
  <c r="C9" i="14"/>
  <c r="B9" i="14"/>
  <c r="A9" i="14"/>
  <c r="L8" i="14"/>
  <c r="O8" i="14" s="1"/>
  <c r="U8" i="14" s="1"/>
  <c r="K8" i="14"/>
  <c r="J8" i="14"/>
  <c r="G8" i="14"/>
  <c r="E8" i="14"/>
  <c r="C8" i="14"/>
  <c r="B8" i="14"/>
  <c r="A8" i="14"/>
  <c r="O7" i="14"/>
  <c r="U7" i="14" s="1"/>
  <c r="L7" i="14"/>
  <c r="N7" i="14" s="1"/>
  <c r="K7" i="14"/>
  <c r="J7" i="14"/>
  <c r="G7" i="14"/>
  <c r="E7" i="14"/>
  <c r="C7" i="14"/>
  <c r="B7" i="14"/>
  <c r="A7" i="14"/>
  <c r="L6" i="14"/>
  <c r="O6" i="14" s="1"/>
  <c r="U6" i="14" s="1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S76" i="11"/>
  <c r="O76" i="11"/>
  <c r="Q76" i="11" s="1"/>
  <c r="T75" i="11"/>
  <c r="S75" i="11"/>
  <c r="O75" i="11"/>
  <c r="Q75" i="11" s="1"/>
  <c r="T74" i="11"/>
  <c r="S74" i="11"/>
  <c r="U74" i="11" s="1"/>
  <c r="O74" i="11"/>
  <c r="Q74" i="11" s="1"/>
  <c r="T73" i="11"/>
  <c r="S73" i="11"/>
  <c r="O73" i="11"/>
  <c r="Q73" i="11" s="1"/>
  <c r="T72" i="11"/>
  <c r="S72" i="11"/>
  <c r="O72" i="11"/>
  <c r="Q72" i="11" s="1"/>
  <c r="T71" i="11"/>
  <c r="S71" i="11"/>
  <c r="U71" i="11" s="1"/>
  <c r="O71" i="11"/>
  <c r="Q71" i="11" s="1"/>
  <c r="T70" i="11"/>
  <c r="S70" i="11"/>
  <c r="O70" i="11"/>
  <c r="Q70" i="11" s="1"/>
  <c r="T69" i="11"/>
  <c r="S69" i="11"/>
  <c r="U69" i="11" s="1"/>
  <c r="O69" i="11"/>
  <c r="Q69" i="11" s="1"/>
  <c r="T68" i="11"/>
  <c r="U68" i="11" s="1"/>
  <c r="S68" i="11"/>
  <c r="O68" i="11"/>
  <c r="Q68" i="11" s="1"/>
  <c r="T67" i="11"/>
  <c r="S67" i="11"/>
  <c r="O67" i="11"/>
  <c r="Q67" i="11" s="1"/>
  <c r="T66" i="11"/>
  <c r="U66" i="11" s="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T63" i="11"/>
  <c r="S63" i="11"/>
  <c r="U63" i="11" s="1"/>
  <c r="O63" i="11"/>
  <c r="Q63" i="11" s="1"/>
  <c r="T62" i="11"/>
  <c r="S62" i="11"/>
  <c r="U62" i="11" s="1"/>
  <c r="Q62" i="11"/>
  <c r="O62" i="11"/>
  <c r="T61" i="11"/>
  <c r="S61" i="11"/>
  <c r="U61" i="11" s="1"/>
  <c r="O61" i="11"/>
  <c r="Q61" i="11" s="1"/>
  <c r="T60" i="11"/>
  <c r="S60" i="11"/>
  <c r="Q60" i="11"/>
  <c r="O60" i="11"/>
  <c r="T59" i="11"/>
  <c r="S59" i="11"/>
  <c r="U59" i="11" s="1"/>
  <c r="O59" i="11"/>
  <c r="Q59" i="11" s="1"/>
  <c r="T58" i="11"/>
  <c r="S58" i="11"/>
  <c r="U58" i="11" s="1"/>
  <c r="O58" i="11"/>
  <c r="Q58" i="11" s="1"/>
  <c r="T57" i="11"/>
  <c r="S57" i="11"/>
  <c r="Q57" i="11"/>
  <c r="O57" i="11"/>
  <c r="T56" i="11"/>
  <c r="S56" i="11"/>
  <c r="O56" i="11"/>
  <c r="Q56" i="11" s="1"/>
  <c r="U55" i="11"/>
  <c r="T55" i="11"/>
  <c r="S55" i="11"/>
  <c r="O55" i="11"/>
  <c r="Q55" i="11" s="1"/>
  <c r="T54" i="11"/>
  <c r="S54" i="11"/>
  <c r="U54" i="11" s="1"/>
  <c r="O54" i="11"/>
  <c r="Q54" i="11" s="1"/>
  <c r="T53" i="11"/>
  <c r="S53" i="11"/>
  <c r="Q53" i="11"/>
  <c r="O53" i="11"/>
  <c r="T52" i="11"/>
  <c r="S52" i="11"/>
  <c r="U52" i="11" s="1"/>
  <c r="Q52" i="11"/>
  <c r="O52" i="11"/>
  <c r="T51" i="11"/>
  <c r="S51" i="11"/>
  <c r="U51" i="11" s="1"/>
  <c r="O51" i="11"/>
  <c r="Q51" i="11" s="1"/>
  <c r="T50" i="11"/>
  <c r="S50" i="11"/>
  <c r="U50" i="11" s="1"/>
  <c r="O50" i="11"/>
  <c r="Q50" i="11" s="1"/>
  <c r="T49" i="11"/>
  <c r="S49" i="11"/>
  <c r="Q49" i="11"/>
  <c r="O49" i="11"/>
  <c r="T48" i="11"/>
  <c r="S48" i="11"/>
  <c r="O48" i="11"/>
  <c r="Q48" i="11" s="1"/>
  <c r="U47" i="11"/>
  <c r="T47" i="11"/>
  <c r="S47" i="11"/>
  <c r="O47" i="11"/>
  <c r="Q47" i="11" s="1"/>
  <c r="T46" i="11"/>
  <c r="S46" i="11"/>
  <c r="U46" i="11" s="1"/>
  <c r="O46" i="11"/>
  <c r="Q46" i="11" s="1"/>
  <c r="T45" i="11"/>
  <c r="S45" i="11"/>
  <c r="Q45" i="11"/>
  <c r="O45" i="11"/>
  <c r="T44" i="11"/>
  <c r="U44" i="11" s="1"/>
  <c r="S44" i="11"/>
  <c r="O44" i="11"/>
  <c r="Q44" i="11" s="1"/>
  <c r="T43" i="11"/>
  <c r="S43" i="11"/>
  <c r="Q43" i="11"/>
  <c r="O43" i="11"/>
  <c r="T42" i="11"/>
  <c r="S42" i="11"/>
  <c r="U42" i="11" s="1"/>
  <c r="O42" i="11"/>
  <c r="Q42" i="11" s="1"/>
  <c r="T41" i="11"/>
  <c r="S41" i="11"/>
  <c r="Q41" i="11"/>
  <c r="O41" i="11"/>
  <c r="T40" i="11"/>
  <c r="S40" i="11"/>
  <c r="O40" i="11"/>
  <c r="Q40" i="11" s="1"/>
  <c r="U39" i="11"/>
  <c r="T39" i="11"/>
  <c r="S39" i="11"/>
  <c r="O39" i="11"/>
  <c r="Q39" i="11" s="1"/>
  <c r="T38" i="11"/>
  <c r="S38" i="11"/>
  <c r="U38" i="11" s="1"/>
  <c r="O38" i="11"/>
  <c r="Q38" i="11" s="1"/>
  <c r="T37" i="11"/>
  <c r="S37" i="11"/>
  <c r="O37" i="11"/>
  <c r="Q37" i="11" s="1"/>
  <c r="T36" i="11"/>
  <c r="S36" i="11"/>
  <c r="U36" i="11" s="1"/>
  <c r="O36" i="11"/>
  <c r="Q36" i="11" s="1"/>
  <c r="T35" i="11"/>
  <c r="S35" i="11"/>
  <c r="O35" i="11"/>
  <c r="Q35" i="11" s="1"/>
  <c r="T34" i="11"/>
  <c r="S34" i="11"/>
  <c r="U34" i="11" s="1"/>
  <c r="O34" i="11"/>
  <c r="Q34" i="11" s="1"/>
  <c r="T33" i="11"/>
  <c r="S33" i="11"/>
  <c r="O33" i="11"/>
  <c r="Q33" i="11" s="1"/>
  <c r="B33" i="11"/>
  <c r="T32" i="11"/>
  <c r="S32" i="11"/>
  <c r="O32" i="11"/>
  <c r="Q32" i="11" s="1"/>
  <c r="T31" i="11"/>
  <c r="S31" i="11"/>
  <c r="Q31" i="11"/>
  <c r="O31" i="11"/>
  <c r="B31" i="11"/>
  <c r="B32" i="11" s="1"/>
  <c r="T30" i="11"/>
  <c r="S30" i="11"/>
  <c r="U30" i="11" s="1"/>
  <c r="O30" i="11"/>
  <c r="Q30" i="11" s="1"/>
  <c r="T29" i="11"/>
  <c r="S29" i="11"/>
  <c r="U29" i="11" s="1"/>
  <c r="O29" i="11"/>
  <c r="Q29" i="11" s="1"/>
  <c r="T28" i="11"/>
  <c r="S28" i="11"/>
  <c r="U28" i="11" s="1"/>
  <c r="Q28" i="11"/>
  <c r="O28" i="11"/>
  <c r="T27" i="11"/>
  <c r="U27" i="11" s="1"/>
  <c r="S27" i="11"/>
  <c r="Q27" i="11"/>
  <c r="O27" i="11"/>
  <c r="T26" i="11"/>
  <c r="S26" i="11"/>
  <c r="O26" i="11"/>
  <c r="Q26" i="11" s="1"/>
  <c r="T25" i="11"/>
  <c r="U25" i="11" s="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T22" i="11"/>
  <c r="S22" i="11"/>
  <c r="U22" i="11" s="1"/>
  <c r="O22" i="11"/>
  <c r="Q22" i="11" s="1"/>
  <c r="T21" i="11"/>
  <c r="S21" i="11"/>
  <c r="U21" i="11" s="1"/>
  <c r="O21" i="11"/>
  <c r="Q21" i="11" s="1"/>
  <c r="T20" i="11"/>
  <c r="S20" i="11"/>
  <c r="U20" i="11" s="1"/>
  <c r="O20" i="11"/>
  <c r="Q20" i="11" s="1"/>
  <c r="T19" i="11"/>
  <c r="U19" i="11" s="1"/>
  <c r="S19" i="11"/>
  <c r="O19" i="11"/>
  <c r="Q19" i="11" s="1"/>
  <c r="T18" i="11"/>
  <c r="S18" i="11"/>
  <c r="U18" i="11" s="1"/>
  <c r="O18" i="11"/>
  <c r="Q18" i="11" s="1"/>
  <c r="T17" i="11"/>
  <c r="S17" i="11"/>
  <c r="U17" i="11" s="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T14" i="11"/>
  <c r="S14" i="11"/>
  <c r="U14" i="11" s="1"/>
  <c r="O14" i="11"/>
  <c r="Q14" i="11" s="1"/>
  <c r="T13" i="11"/>
  <c r="S13" i="11"/>
  <c r="Q13" i="11"/>
  <c r="O13" i="11"/>
  <c r="T12" i="11"/>
  <c r="S12" i="11"/>
  <c r="U12" i="11" s="1"/>
  <c r="Q12" i="11"/>
  <c r="O12" i="11"/>
  <c r="T11" i="11"/>
  <c r="S11" i="11"/>
  <c r="O11" i="11"/>
  <c r="Q11" i="11" s="1"/>
  <c r="T10" i="11"/>
  <c r="S10" i="11"/>
  <c r="U10" i="11" s="1"/>
  <c r="O10" i="11"/>
  <c r="Q10" i="11" s="1"/>
  <c r="T9" i="11"/>
  <c r="S9" i="11"/>
  <c r="U9" i="11" s="1"/>
  <c r="O9" i="11"/>
  <c r="Q9" i="11" s="1"/>
  <c r="K9" i="11"/>
  <c r="T8" i="11"/>
  <c r="S8" i="11"/>
  <c r="Q8" i="11"/>
  <c r="O8" i="11"/>
  <c r="T7" i="11"/>
  <c r="S7" i="11"/>
  <c r="U7" i="11" s="1"/>
  <c r="O7" i="11"/>
  <c r="Q7" i="11" s="1"/>
  <c r="T6" i="11"/>
  <c r="S6" i="11"/>
  <c r="U6" i="11" s="1"/>
  <c r="O6" i="11"/>
  <c r="Q6" i="11" s="1"/>
  <c r="T5" i="11"/>
  <c r="S5" i="11"/>
  <c r="Q5" i="11"/>
  <c r="O5" i="11"/>
  <c r="T4" i="11"/>
  <c r="S4" i="11"/>
  <c r="O4" i="11"/>
  <c r="Q4" i="11" s="1"/>
  <c r="U3" i="11"/>
  <c r="T3" i="11"/>
  <c r="S3" i="11"/>
  <c r="O3" i="11"/>
  <c r="Q3" i="11" s="1"/>
  <c r="T2" i="11"/>
  <c r="S2" i="11"/>
  <c r="U2" i="11" s="1"/>
  <c r="O2" i="11"/>
  <c r="Q2" i="11" s="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B25" i="10"/>
  <c r="B29" i="10" s="1"/>
  <c r="B23" i="10"/>
  <c r="B27" i="10" s="1"/>
  <c r="C23" i="10"/>
  <c r="Q13" i="10"/>
  <c r="L7" i="10" s="1"/>
  <c r="O13" i="10"/>
  <c r="L5" i="10" s="1"/>
  <c r="N13" i="10"/>
  <c r="P12" i="10"/>
  <c r="E12" i="10"/>
  <c r="B61" i="10" s="1"/>
  <c r="D61" i="10" s="1"/>
  <c r="E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P11" i="10"/>
  <c r="E11" i="10"/>
  <c r="B60" i="10" s="1"/>
  <c r="D60" i="10" s="1"/>
  <c r="E60" i="10" s="1"/>
  <c r="F60" i="10" s="1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P10" i="10"/>
  <c r="E10" i="10"/>
  <c r="B59" i="10" s="1"/>
  <c r="D59" i="10" s="1"/>
  <c r="E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P9" i="10"/>
  <c r="H9" i="10"/>
  <c r="I11" i="10" s="1"/>
  <c r="E9" i="10"/>
  <c r="B58" i="10" s="1"/>
  <c r="P8" i="10"/>
  <c r="P7" i="10"/>
  <c r="K7" i="10"/>
  <c r="J7" i="10"/>
  <c r="I7" i="10"/>
  <c r="G7" i="10"/>
  <c r="E7" i="10"/>
  <c r="P6" i="10"/>
  <c r="K6" i="10"/>
  <c r="J6" i="10"/>
  <c r="I6" i="10"/>
  <c r="G6" i="10"/>
  <c r="E6" i="10"/>
  <c r="P5" i="10"/>
  <c r="K5" i="10"/>
  <c r="J5" i="10"/>
  <c r="I5" i="10"/>
  <c r="G5" i="10"/>
  <c r="E5" i="10"/>
  <c r="P4" i="10"/>
  <c r="L4" i="10"/>
  <c r="K4" i="10"/>
  <c r="J4" i="10"/>
  <c r="I4" i="10"/>
  <c r="G4" i="10"/>
  <c r="E4" i="10"/>
  <c r="P3" i="10"/>
  <c r="C3" i="10"/>
  <c r="C8" i="10" s="1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H2" i="8"/>
  <c r="H13" i="8" s="1"/>
  <c r="O13" i="8" s="1"/>
  <c r="A2" i="8"/>
  <c r="O2" i="8" s="1"/>
  <c r="K1" i="8"/>
  <c r="R1" i="8" s="1"/>
  <c r="P18" i="7"/>
  <c r="D3" i="7"/>
  <c r="E3" i="7" s="1"/>
  <c r="C3" i="7"/>
  <c r="G3" i="7" s="1"/>
  <c r="R5" i="7" s="1"/>
  <c r="B3" i="7"/>
  <c r="A3" i="7"/>
  <c r="O5" i="7" s="1"/>
  <c r="AH30" i="5"/>
  <c r="AE30" i="5"/>
  <c r="J30" i="5"/>
  <c r="AD30" i="5" s="1"/>
  <c r="AH29" i="5"/>
  <c r="AE29" i="5"/>
  <c r="AD29" i="5"/>
  <c r="AH28" i="5"/>
  <c r="AE28" i="5"/>
  <c r="O28" i="5"/>
  <c r="J28" i="5"/>
  <c r="AD28" i="5" s="1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D26" i="5"/>
  <c r="AH25" i="5"/>
  <c r="AE25" i="5"/>
  <c r="J25" i="5"/>
  <c r="AD25" i="5" s="1"/>
  <c r="H25" i="5"/>
  <c r="AB25" i="5" s="1"/>
  <c r="AH24" i="5"/>
  <c r="AE24" i="5"/>
  <c r="AD24" i="5"/>
  <c r="J24" i="5"/>
  <c r="AS23" i="5"/>
  <c r="AH23" i="5"/>
  <c r="AE23" i="5"/>
  <c r="N23" i="5"/>
  <c r="AS22" i="5"/>
  <c r="AH22" i="5"/>
  <c r="AE22" i="5"/>
  <c r="D22" i="5"/>
  <c r="AH21" i="5"/>
  <c r="AE21" i="5"/>
  <c r="D21" i="5"/>
  <c r="AH20" i="5"/>
  <c r="N20" i="5"/>
  <c r="D20" i="5"/>
  <c r="AH19" i="5"/>
  <c r="AE19" i="5"/>
  <c r="D19" i="5"/>
  <c r="AN18" i="5"/>
  <c r="AH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N30" i="5" s="1"/>
  <c r="AD15" i="5"/>
  <c r="AB15" i="5"/>
  <c r="H30" i="5" s="1"/>
  <c r="AB30" i="5" s="1"/>
  <c r="V15" i="5"/>
  <c r="N15" i="5"/>
  <c r="M15" i="5"/>
  <c r="AG15" i="5" s="1"/>
  <c r="M30" i="5" s="1"/>
  <c r="L15" i="5"/>
  <c r="AF15" i="5" s="1"/>
  <c r="L30" i="5" s="1"/>
  <c r="AF30" i="5" s="1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U29" i="5" s="1"/>
  <c r="AO29" i="5" s="1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V14" i="5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AA29" i="5" s="1"/>
  <c r="E14" i="5"/>
  <c r="Y14" i="5" s="1"/>
  <c r="E29" i="5" s="1"/>
  <c r="Y29" i="5" s="1"/>
  <c r="AO13" i="5"/>
  <c r="U28" i="5" s="1"/>
  <c r="AO28" i="5" s="1"/>
  <c r="AN13" i="5"/>
  <c r="T28" i="5" s="1"/>
  <c r="AN28" i="5" s="1"/>
  <c r="AM13" i="5"/>
  <c r="S28" i="5" s="1"/>
  <c r="AM28" i="5" s="1"/>
  <c r="AL13" i="5"/>
  <c r="R28" i="5" s="1"/>
  <c r="AL28" i="5" s="1"/>
  <c r="AK13" i="5"/>
  <c r="Q28" i="5" s="1"/>
  <c r="AK28" i="5" s="1"/>
  <c r="AJ13" i="5"/>
  <c r="P28" i="5" s="1"/>
  <c r="AJ28" i="5" s="1"/>
  <c r="AI13" i="5"/>
  <c r="AH13" i="5"/>
  <c r="N28" i="5" s="1"/>
  <c r="AB13" i="5"/>
  <c r="V13" i="5"/>
  <c r="N13" i="5"/>
  <c r="M13" i="5"/>
  <c r="AG13" i="5" s="1"/>
  <c r="M28" i="5" s="1"/>
  <c r="I13" i="5"/>
  <c r="AC13" i="5" s="1"/>
  <c r="I28" i="5" s="1"/>
  <c r="AC28" i="5" s="1"/>
  <c r="G13" i="5"/>
  <c r="AA13" i="5" s="1"/>
  <c r="G28" i="5" s="1"/>
  <c r="AA28" i="5" s="1"/>
  <c r="E13" i="5"/>
  <c r="Y13" i="5" s="1"/>
  <c r="E28" i="5" s="1"/>
  <c r="Y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T26" i="5" s="1"/>
  <c r="AN26" i="5" s="1"/>
  <c r="AM11" i="5"/>
  <c r="S26" i="5" s="1"/>
  <c r="AM26" i="5" s="1"/>
  <c r="AL11" i="5"/>
  <c r="R26" i="5" s="1"/>
  <c r="AL26" i="5" s="1"/>
  <c r="AK11" i="5"/>
  <c r="Q26" i="5" s="1"/>
  <c r="AK26" i="5" s="1"/>
  <c r="AJ11" i="5"/>
  <c r="P26" i="5" s="1"/>
  <c r="AJ26" i="5" s="1"/>
  <c r="AI11" i="5"/>
  <c r="O26" i="5" s="1"/>
  <c r="V11" i="5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AA11" i="5" s="1"/>
  <c r="G26" i="5" s="1"/>
  <c r="AA26" i="5" s="1"/>
  <c r="E11" i="5"/>
  <c r="Y11" i="5" s="1"/>
  <c r="E26" i="5" s="1"/>
  <c r="Y26" i="5" s="1"/>
  <c r="AO10" i="5"/>
  <c r="U25" i="5" s="1"/>
  <c r="AO25" i="5" s="1"/>
  <c r="AN10" i="5"/>
  <c r="T25" i="5" s="1"/>
  <c r="AN25" i="5" s="1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O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N24" i="5" s="1"/>
  <c r="AB9" i="5"/>
  <c r="H24" i="5" s="1"/>
  <c r="AB24" i="5" s="1"/>
  <c r="V9" i="5"/>
  <c r="N9" i="5"/>
  <c r="M9" i="5"/>
  <c r="AG9" i="5" s="1"/>
  <c r="M24" i="5" s="1"/>
  <c r="I9" i="5"/>
  <c r="AC9" i="5" s="1"/>
  <c r="I24" i="5" s="1"/>
  <c r="AC24" i="5" s="1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AA8" i="5" s="1"/>
  <c r="G23" i="5" s="1"/>
  <c r="AA23" i="5" s="1"/>
  <c r="E8" i="5"/>
  <c r="Y8" i="5" s="1"/>
  <c r="E23" i="5" s="1"/>
  <c r="Y23" i="5" s="1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O22" i="5" s="1"/>
  <c r="AI22" i="5" s="1"/>
  <c r="AH7" i="5"/>
  <c r="N22" i="5" s="1"/>
  <c r="AB7" i="5"/>
  <c r="H22" i="5" s="1"/>
  <c r="AB22" i="5" s="1"/>
  <c r="V7" i="5"/>
  <c r="N7" i="5"/>
  <c r="L7" i="5"/>
  <c r="AF7" i="5" s="1"/>
  <c r="L22" i="5" s="1"/>
  <c r="AF22" i="5" s="1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H6" i="5"/>
  <c r="N21" i="5" s="1"/>
  <c r="AB6" i="5"/>
  <c r="H21" i="5" s="1"/>
  <c r="AB21" i="5" s="1"/>
  <c r="V6" i="5"/>
  <c r="N6" i="5"/>
  <c r="M6" i="5"/>
  <c r="AG6" i="5" s="1"/>
  <c r="M21" i="5" s="1"/>
  <c r="L6" i="5"/>
  <c r="AF6" i="5" s="1"/>
  <c r="L21" i="5" s="1"/>
  <c r="AF21" i="5" s="1"/>
  <c r="J6" i="5"/>
  <c r="AD6" i="5" s="1"/>
  <c r="J21" i="5" s="1"/>
  <c r="AD21" i="5" s="1"/>
  <c r="I6" i="5"/>
  <c r="AC6" i="5" s="1"/>
  <c r="I21" i="5" s="1"/>
  <c r="AC21" i="5" s="1"/>
  <c r="G6" i="5"/>
  <c r="AA6" i="5" s="1"/>
  <c r="G21" i="5" s="1"/>
  <c r="AA21" i="5" s="1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D5" i="5"/>
  <c r="J20" i="5" s="1"/>
  <c r="AD20" i="5" s="1"/>
  <c r="AB5" i="5"/>
  <c r="H20" i="5" s="1"/>
  <c r="AB20" i="5" s="1"/>
  <c r="V5" i="5"/>
  <c r="AM5" i="5"/>
  <c r="S20" i="5" s="1"/>
  <c r="AM20" i="5" s="1"/>
  <c r="N5" i="5"/>
  <c r="M5" i="5"/>
  <c r="AG5" i="5" s="1"/>
  <c r="M20" i="5" s="1"/>
  <c r="L5" i="5"/>
  <c r="AF5" i="5" s="1"/>
  <c r="L20" i="5" s="1"/>
  <c r="AF20" i="5" s="1"/>
  <c r="I5" i="5"/>
  <c r="AC5" i="5" s="1"/>
  <c r="I20" i="5" s="1"/>
  <c r="AC20" i="5" s="1"/>
  <c r="H5" i="5"/>
  <c r="G5" i="5"/>
  <c r="AA5" i="5" s="1"/>
  <c r="G20" i="5" s="1"/>
  <c r="AA20" i="5" s="1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Q19" i="5" s="1"/>
  <c r="AK19" i="5" s="1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U18" i="5" s="1"/>
  <c r="AO18" i="5" s="1"/>
  <c r="AN3" i="5"/>
  <c r="T18" i="5" s="1"/>
  <c r="AM3" i="5"/>
  <c r="S18" i="5" s="1"/>
  <c r="AM18" i="5" s="1"/>
  <c r="AL3" i="5"/>
  <c r="R18" i="5" s="1"/>
  <c r="AL18" i="5" s="1"/>
  <c r="AK3" i="5"/>
  <c r="Q18" i="5" s="1"/>
  <c r="AK18" i="5" s="1"/>
  <c r="AJ3" i="5"/>
  <c r="P18" i="5" s="1"/>
  <c r="AJ18" i="5" s="1"/>
  <c r="AI3" i="5"/>
  <c r="O18" i="5" s="1"/>
  <c r="AI18" i="5" s="1"/>
  <c r="AH3" i="5"/>
  <c r="N18" i="5" s="1"/>
  <c r="AB3" i="5"/>
  <c r="H18" i="5" s="1"/>
  <c r="AB18" i="5" s="1"/>
  <c r="V3" i="5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AC3" i="5" s="1"/>
  <c r="I18" i="5" s="1"/>
  <c r="AC18" i="5" s="1"/>
  <c r="G3" i="5"/>
  <c r="AA3" i="5" s="1"/>
  <c r="G18" i="5" s="1"/>
  <c r="AA18" i="5" s="1"/>
  <c r="E3" i="5"/>
  <c r="Y3" i="5" s="1"/>
  <c r="E18" i="5" s="1"/>
  <c r="Y18" i="5" s="1"/>
  <c r="U29" i="4"/>
  <c r="U28" i="4"/>
  <c r="U27" i="4"/>
  <c r="U26" i="4"/>
  <c r="U25" i="4"/>
  <c r="U24" i="4"/>
  <c r="U23" i="4"/>
  <c r="U22" i="4"/>
  <c r="U19" i="4"/>
  <c r="U18" i="4"/>
  <c r="U17" i="4"/>
  <c r="U16" i="4"/>
  <c r="U15" i="4"/>
  <c r="U14" i="4"/>
  <c r="U13" i="4"/>
  <c r="U12" i="4"/>
  <c r="A32" i="3"/>
  <c r="A36" i="3" s="1"/>
  <c r="A33" i="3" s="1"/>
  <c r="C15" i="3" s="1"/>
  <c r="X16" i="3"/>
  <c r="W16" i="3"/>
  <c r="X14" i="3"/>
  <c r="W14" i="3"/>
  <c r="E14" i="3"/>
  <c r="X22" i="3"/>
  <c r="W22" i="3"/>
  <c r="E22" i="3"/>
  <c r="X26" i="3"/>
  <c r="W26" i="3"/>
  <c r="E26" i="3"/>
  <c r="X27" i="3"/>
  <c r="W27" i="3"/>
  <c r="E27" i="3"/>
  <c r="X20" i="3"/>
  <c r="W20" i="3"/>
  <c r="E20" i="3"/>
  <c r="X21" i="3"/>
  <c r="W21" i="3"/>
  <c r="E21" i="3"/>
  <c r="X3" i="3"/>
  <c r="W3" i="3"/>
  <c r="E3" i="3"/>
  <c r="X13" i="3"/>
  <c r="W13" i="3"/>
  <c r="X15" i="3"/>
  <c r="W15" i="3"/>
  <c r="E15" i="3"/>
  <c r="X25" i="3"/>
  <c r="W25" i="3"/>
  <c r="E25" i="3"/>
  <c r="X28" i="3"/>
  <c r="W28" i="3"/>
  <c r="E28" i="3"/>
  <c r="X9" i="3"/>
  <c r="W9" i="3"/>
  <c r="E9" i="3"/>
  <c r="X19" i="3"/>
  <c r="W19" i="3"/>
  <c r="E19" i="3"/>
  <c r="X8" i="3"/>
  <c r="W8" i="3"/>
  <c r="E8" i="3"/>
  <c r="AG6" i="3"/>
  <c r="AG12" i="3" s="1"/>
  <c r="AG18" i="3" s="1"/>
  <c r="AF6" i="3"/>
  <c r="AF12" i="3" s="1"/>
  <c r="AF18" i="3" s="1"/>
  <c r="AE6" i="3"/>
  <c r="AE12" i="3" s="1"/>
  <c r="AE18" i="3" s="1"/>
  <c r="AD6" i="3"/>
  <c r="AD12" i="3" s="1"/>
  <c r="AD18" i="3" s="1"/>
  <c r="AC6" i="3"/>
  <c r="AC12" i="3" s="1"/>
  <c r="AC18" i="3" s="1"/>
  <c r="AB6" i="3"/>
  <c r="AB12" i="3" s="1"/>
  <c r="AB18" i="3" s="1"/>
  <c r="AA6" i="3"/>
  <c r="AA12" i="3" s="1"/>
  <c r="AA18" i="3" s="1"/>
  <c r="Y6" i="3"/>
  <c r="Y12" i="3" s="1"/>
  <c r="Y18" i="3" s="1"/>
  <c r="X6" i="3"/>
  <c r="X12" i="3" s="1"/>
  <c r="X18" i="3" s="1"/>
  <c r="W6" i="3"/>
  <c r="W12" i="3" s="1"/>
  <c r="W18" i="3" s="1"/>
  <c r="V6" i="3"/>
  <c r="V12" i="3" s="1"/>
  <c r="V18" i="3" s="1"/>
  <c r="U6" i="3"/>
  <c r="U12" i="3" s="1"/>
  <c r="U18" i="3" s="1"/>
  <c r="T6" i="3"/>
  <c r="T12" i="3" s="1"/>
  <c r="T18" i="3" s="1"/>
  <c r="S6" i="3"/>
  <c r="S12" i="3" s="1"/>
  <c r="S18" i="3" s="1"/>
  <c r="R6" i="3"/>
  <c r="R12" i="3" s="1"/>
  <c r="R18" i="3" s="1"/>
  <c r="Q6" i="3"/>
  <c r="Q12" i="3" s="1"/>
  <c r="Q18" i="3" s="1"/>
  <c r="P6" i="3"/>
  <c r="P12" i="3" s="1"/>
  <c r="P18" i="3" s="1"/>
  <c r="O6" i="3"/>
  <c r="O12" i="3" s="1"/>
  <c r="O18" i="3" s="1"/>
  <c r="N6" i="3"/>
  <c r="N12" i="3" s="1"/>
  <c r="N18" i="3" s="1"/>
  <c r="M6" i="3"/>
  <c r="M12" i="3" s="1"/>
  <c r="M18" i="3" s="1"/>
  <c r="L6" i="3"/>
  <c r="L12" i="3" s="1"/>
  <c r="L18" i="3" s="1"/>
  <c r="K6" i="3"/>
  <c r="K12" i="3" s="1"/>
  <c r="K18" i="3" s="1"/>
  <c r="J6" i="3"/>
  <c r="J12" i="3" s="1"/>
  <c r="J18" i="3" s="1"/>
  <c r="H6" i="3"/>
  <c r="H12" i="3" s="1"/>
  <c r="H18" i="3" s="1"/>
  <c r="G6" i="3"/>
  <c r="G12" i="3" s="1"/>
  <c r="G18" i="3" s="1"/>
  <c r="F6" i="3"/>
  <c r="F12" i="3" s="1"/>
  <c r="F18" i="3" s="1"/>
  <c r="X7" i="3"/>
  <c r="W7" i="3"/>
  <c r="E7" i="3"/>
  <c r="AQ20" i="2"/>
  <c r="W20" i="2"/>
  <c r="U20" i="2"/>
  <c r="S20" i="2"/>
  <c r="R20" i="2"/>
  <c r="P20" i="2"/>
  <c r="N20" i="2"/>
  <c r="L20" i="2"/>
  <c r="K20" i="2"/>
  <c r="J20" i="2"/>
  <c r="AQ17" i="2"/>
  <c r="W17" i="2"/>
  <c r="S17" i="2"/>
  <c r="R17" i="2"/>
  <c r="P17" i="2"/>
  <c r="N17" i="2"/>
  <c r="L17" i="2"/>
  <c r="K17" i="2"/>
  <c r="J17" i="2"/>
  <c r="AQ19" i="2"/>
  <c r="W19" i="2"/>
  <c r="U19" i="2"/>
  <c r="S19" i="2"/>
  <c r="R19" i="2"/>
  <c r="P19" i="2"/>
  <c r="N19" i="2"/>
  <c r="L19" i="2"/>
  <c r="K19" i="2"/>
  <c r="J19" i="2"/>
  <c r="AQ15" i="2"/>
  <c r="W15" i="2"/>
  <c r="U15" i="2"/>
  <c r="S15" i="2"/>
  <c r="R15" i="2"/>
  <c r="P15" i="2"/>
  <c r="N15" i="2"/>
  <c r="L15" i="2"/>
  <c r="K15" i="2"/>
  <c r="J15" i="2"/>
  <c r="K11" i="5"/>
  <c r="AE11" i="5" s="1"/>
  <c r="K26" i="5" s="1"/>
  <c r="H11" i="5"/>
  <c r="AB11" i="5" s="1"/>
  <c r="H26" i="5" s="1"/>
  <c r="AB26" i="5" s="1"/>
  <c r="I14" i="13"/>
  <c r="AQ14" i="2"/>
  <c r="W14" i="2"/>
  <c r="U14" i="2"/>
  <c r="S14" i="2"/>
  <c r="R14" i="2"/>
  <c r="P14" i="2"/>
  <c r="N14" i="2"/>
  <c r="L14" i="2"/>
  <c r="K14" i="2"/>
  <c r="J14" i="2"/>
  <c r="AQ13" i="2"/>
  <c r="AM13" i="2"/>
  <c r="AL13" i="2"/>
  <c r="AK13" i="2"/>
  <c r="AJ13" i="2"/>
  <c r="AI13" i="2"/>
  <c r="O12" i="13"/>
  <c r="J13" i="5"/>
  <c r="W13" i="2"/>
  <c r="U13" i="2"/>
  <c r="S13" i="2"/>
  <c r="R13" i="2"/>
  <c r="P13" i="2"/>
  <c r="L13" i="2"/>
  <c r="K13" i="2"/>
  <c r="J13" i="2"/>
  <c r="AQ12" i="2"/>
  <c r="Q11" i="13"/>
  <c r="T11" i="13" s="1"/>
  <c r="P11" i="13"/>
  <c r="K10" i="5"/>
  <c r="AE10" i="5" s="1"/>
  <c r="K25" i="5" s="1"/>
  <c r="J10" i="5"/>
  <c r="W12" i="2"/>
  <c r="U12" i="2"/>
  <c r="S12" i="2"/>
  <c r="R12" i="2"/>
  <c r="P12" i="2"/>
  <c r="N12" i="2"/>
  <c r="L12" i="2"/>
  <c r="K12" i="2"/>
  <c r="J12" i="2"/>
  <c r="AQ11" i="2"/>
  <c r="Q10" i="13"/>
  <c r="T10" i="13" s="1"/>
  <c r="P10" i="13"/>
  <c r="J14" i="5"/>
  <c r="W11" i="2"/>
  <c r="U11" i="2"/>
  <c r="S11" i="2"/>
  <c r="R11" i="2"/>
  <c r="P11" i="2"/>
  <c r="N11" i="2"/>
  <c r="L11" i="2"/>
  <c r="K11" i="2"/>
  <c r="J11" i="2"/>
  <c r="AQ10" i="2"/>
  <c r="P9" i="13"/>
  <c r="S9" i="13" s="1"/>
  <c r="K9" i="5"/>
  <c r="AE9" i="5" s="1"/>
  <c r="K24" i="5" s="1"/>
  <c r="H9" i="5"/>
  <c r="W10" i="2"/>
  <c r="U10" i="2"/>
  <c r="S10" i="2"/>
  <c r="R10" i="2"/>
  <c r="P10" i="2"/>
  <c r="N10" i="2"/>
  <c r="L10" i="2"/>
  <c r="K10" i="2"/>
  <c r="J10" i="2"/>
  <c r="AQ9" i="2"/>
  <c r="Q8" i="13"/>
  <c r="K8" i="5"/>
  <c r="AE8" i="5" s="1"/>
  <c r="K23" i="5" s="1"/>
  <c r="W9" i="2"/>
  <c r="U9" i="2"/>
  <c r="S9" i="2"/>
  <c r="R9" i="2"/>
  <c r="P9" i="2"/>
  <c r="N9" i="2"/>
  <c r="L9" i="2"/>
  <c r="K9" i="2"/>
  <c r="J9" i="2"/>
  <c r="AQ8" i="2"/>
  <c r="Q7" i="13"/>
  <c r="S7" i="13" s="1"/>
  <c r="K7" i="5"/>
  <c r="AE7" i="5" s="1"/>
  <c r="K22" i="5" s="1"/>
  <c r="L7" i="13"/>
  <c r="W8" i="2"/>
  <c r="U8" i="2"/>
  <c r="S8" i="2"/>
  <c r="R8" i="2"/>
  <c r="P8" i="2"/>
  <c r="N8" i="2"/>
  <c r="L8" i="2"/>
  <c r="K8" i="2"/>
  <c r="J8" i="2"/>
  <c r="AQ7" i="2"/>
  <c r="J5" i="5"/>
  <c r="W7" i="2"/>
  <c r="U7" i="2"/>
  <c r="S7" i="2"/>
  <c r="R7" i="2"/>
  <c r="P7" i="2"/>
  <c r="N7" i="2"/>
  <c r="L7" i="2"/>
  <c r="K7" i="2"/>
  <c r="J7" i="2"/>
  <c r="AQ6" i="2"/>
  <c r="H6" i="5"/>
  <c r="W6" i="2"/>
  <c r="U6" i="2"/>
  <c r="S6" i="2"/>
  <c r="R6" i="2"/>
  <c r="P6" i="2"/>
  <c r="N6" i="2"/>
  <c r="L6" i="2"/>
  <c r="K6" i="2"/>
  <c r="J6" i="2"/>
  <c r="K4" i="5"/>
  <c r="AE4" i="5" s="1"/>
  <c r="K19" i="5" s="1"/>
  <c r="J4" i="5"/>
  <c r="AQ5" i="2"/>
  <c r="L4" i="13"/>
  <c r="W5" i="2"/>
  <c r="U5" i="2"/>
  <c r="S5" i="2"/>
  <c r="R5" i="2"/>
  <c r="P5" i="2"/>
  <c r="N5" i="2"/>
  <c r="I4" i="13" s="1"/>
  <c r="L5" i="2"/>
  <c r="K5" i="2"/>
  <c r="J5" i="2"/>
  <c r="AQ4" i="2"/>
  <c r="W4" i="2"/>
  <c r="U4" i="2"/>
  <c r="S4" i="2"/>
  <c r="R4" i="2"/>
  <c r="P4" i="2"/>
  <c r="N4" i="2"/>
  <c r="AK4" i="2" s="1"/>
  <c r="L4" i="2"/>
  <c r="K4" i="2"/>
  <c r="J4" i="2"/>
  <c r="V2" i="2"/>
  <c r="T2" i="2"/>
  <c r="Q2" i="2"/>
  <c r="O2" i="2"/>
  <c r="I2" i="2"/>
  <c r="D2" i="2"/>
  <c r="F18" i="2" s="1"/>
  <c r="F20" i="2" l="1"/>
  <c r="F19" i="2"/>
  <c r="F16" i="2"/>
  <c r="C16" i="2" s="1"/>
  <c r="F17" i="2"/>
  <c r="C17" i="13" s="1"/>
  <c r="F15" i="2"/>
  <c r="C15" i="13" s="1"/>
  <c r="F14" i="2"/>
  <c r="C13" i="13" s="1"/>
  <c r="F13" i="2"/>
  <c r="C12" i="13" s="1"/>
  <c r="F10" i="2"/>
  <c r="C9" i="13" s="1"/>
  <c r="AG13" i="2"/>
  <c r="C11" i="8"/>
  <c r="D11" i="8" s="1"/>
  <c r="B11" i="8"/>
  <c r="F11" i="2"/>
  <c r="C10" i="13" s="1"/>
  <c r="F12" i="2"/>
  <c r="C11" i="13" s="1"/>
  <c r="F9" i="2"/>
  <c r="C8" i="13" s="1"/>
  <c r="F6" i="2"/>
  <c r="C5" i="13" s="1"/>
  <c r="F8" i="2"/>
  <c r="C7" i="13" s="1"/>
  <c r="F7" i="2"/>
  <c r="C6" i="13" s="1"/>
  <c r="F4" i="2"/>
  <c r="F5" i="2"/>
  <c r="C4" i="13" s="1"/>
  <c r="I6" i="13"/>
  <c r="CB6" i="13" s="1"/>
  <c r="CD6" i="13" s="1"/>
  <c r="C5" i="8"/>
  <c r="B5" i="8"/>
  <c r="I8" i="13"/>
  <c r="AL8" i="13" s="1"/>
  <c r="B7" i="8"/>
  <c r="I3" i="8" s="1"/>
  <c r="C7" i="8"/>
  <c r="I10" i="13"/>
  <c r="AZ10" i="13" s="1"/>
  <c r="C9" i="8"/>
  <c r="B9" i="8"/>
  <c r="I15" i="13"/>
  <c r="BQ15" i="13" s="1"/>
  <c r="B13" i="8"/>
  <c r="C13" i="8"/>
  <c r="I7" i="13"/>
  <c r="AI7" i="13" s="1"/>
  <c r="B6" i="8"/>
  <c r="I2" i="8" s="1"/>
  <c r="C6" i="8"/>
  <c r="I16" i="13"/>
  <c r="BO16" i="13" s="1"/>
  <c r="B17" i="8"/>
  <c r="C17" i="8"/>
  <c r="I9" i="13"/>
  <c r="AC9" i="13" s="1"/>
  <c r="C8" i="8"/>
  <c r="B8" i="8"/>
  <c r="I5" i="8" s="1"/>
  <c r="I13" i="13"/>
  <c r="BI13" i="13" s="1"/>
  <c r="C12" i="8"/>
  <c r="B12" i="8"/>
  <c r="I5" i="13"/>
  <c r="U5" i="13" s="1"/>
  <c r="V5" i="13" s="1"/>
  <c r="C4" i="8"/>
  <c r="B4" i="8"/>
  <c r="I6" i="8" s="1"/>
  <c r="I17" i="8" s="1"/>
  <c r="I17" i="13"/>
  <c r="AZ17" i="13" s="1"/>
  <c r="B15" i="8"/>
  <c r="C15" i="8"/>
  <c r="I11" i="13"/>
  <c r="Z11" i="13" s="1"/>
  <c r="AB11" i="13" s="1"/>
  <c r="B10" i="8"/>
  <c r="I4" i="8" s="1"/>
  <c r="C10" i="8"/>
  <c r="J4" i="8" s="1"/>
  <c r="I18" i="13"/>
  <c r="AQ18" i="13" s="1"/>
  <c r="B18" i="8"/>
  <c r="C18" i="8"/>
  <c r="C18" i="2"/>
  <c r="C18" i="13"/>
  <c r="C16" i="13"/>
  <c r="C26" i="3"/>
  <c r="C20" i="3"/>
  <c r="D58" i="10"/>
  <c r="B64" i="10"/>
  <c r="C64" i="10" s="1"/>
  <c r="D64" i="10" s="1"/>
  <c r="E64" i="10" s="1"/>
  <c r="F64" i="10" s="1"/>
  <c r="G64" i="10" s="1"/>
  <c r="H64" i="10" s="1"/>
  <c r="I64" i="10" s="1"/>
  <c r="J64" i="10" s="1"/>
  <c r="K64" i="10" s="1"/>
  <c r="L64" i="10" s="1"/>
  <c r="M64" i="10" s="1"/>
  <c r="N64" i="10" s="1"/>
  <c r="O64" i="10" s="1"/>
  <c r="P64" i="10" s="1"/>
  <c r="D40" i="10"/>
  <c r="B65" i="10"/>
  <c r="D41" i="10"/>
  <c r="B62" i="10"/>
  <c r="C62" i="10" s="1"/>
  <c r="D38" i="10"/>
  <c r="B63" i="10"/>
  <c r="C63" i="10" s="1"/>
  <c r="D63" i="10" s="1"/>
  <c r="E63" i="10" s="1"/>
  <c r="F63" i="10" s="1"/>
  <c r="G63" i="10" s="1"/>
  <c r="H63" i="10" s="1"/>
  <c r="I63" i="10" s="1"/>
  <c r="J63" i="10" s="1"/>
  <c r="K63" i="10" s="1"/>
  <c r="L63" i="10" s="1"/>
  <c r="M63" i="10" s="1"/>
  <c r="N63" i="10" s="1"/>
  <c r="O63" i="10" s="1"/>
  <c r="P63" i="10" s="1"/>
  <c r="D39" i="10"/>
  <c r="AC20" i="10"/>
  <c r="AC18" i="10"/>
  <c r="AC19" i="10"/>
  <c r="AC21" i="10"/>
  <c r="AK20" i="10"/>
  <c r="B24" i="10"/>
  <c r="B28" i="10" s="1"/>
  <c r="C24" i="10"/>
  <c r="R20" i="10"/>
  <c r="S20" i="10"/>
  <c r="T20" i="10"/>
  <c r="U20" i="10"/>
  <c r="V20" i="10"/>
  <c r="W20" i="10"/>
  <c r="X20" i="10"/>
  <c r="Y20" i="10"/>
  <c r="Z20" i="10"/>
  <c r="AA20" i="10"/>
  <c r="AB20" i="10"/>
  <c r="C23" i="3"/>
  <c r="C25" i="3"/>
  <c r="C21" i="3"/>
  <c r="C28" i="3"/>
  <c r="C27" i="3"/>
  <c r="C22" i="3"/>
  <c r="C24" i="3"/>
  <c r="C13" i="3"/>
  <c r="C19" i="3"/>
  <c r="C14" i="3"/>
  <c r="C3" i="3"/>
  <c r="C9" i="3"/>
  <c r="C16" i="3"/>
  <c r="C8" i="3"/>
  <c r="C7" i="3"/>
  <c r="C14" i="13"/>
  <c r="M6" i="14"/>
  <c r="P14" i="14"/>
  <c r="U5" i="11"/>
  <c r="U11" i="11"/>
  <c r="U13" i="11"/>
  <c r="U31" i="11"/>
  <c r="U35" i="11"/>
  <c r="U41" i="11"/>
  <c r="U43" i="11"/>
  <c r="U45" i="11"/>
  <c r="U49" i="11"/>
  <c r="U53" i="11"/>
  <c r="U57" i="11"/>
  <c r="U72" i="11"/>
  <c r="U76" i="11"/>
  <c r="M7" i="14"/>
  <c r="N11" i="14"/>
  <c r="M15" i="14"/>
  <c r="S10" i="13"/>
  <c r="U37" i="11"/>
  <c r="U70" i="11"/>
  <c r="O11" i="14"/>
  <c r="M8" i="14"/>
  <c r="N12" i="14"/>
  <c r="AH16" i="5"/>
  <c r="I13" i="10"/>
  <c r="U4" i="11"/>
  <c r="U8" i="11"/>
  <c r="U32" i="11"/>
  <c r="U40" i="11"/>
  <c r="U48" i="11"/>
  <c r="U56" i="11"/>
  <c r="U60" i="11"/>
  <c r="N8" i="14"/>
  <c r="O12" i="14"/>
  <c r="P12" i="14"/>
  <c r="N6" i="14"/>
  <c r="M9" i="14"/>
  <c r="R12" i="14"/>
  <c r="S15" i="14"/>
  <c r="T4" i="13"/>
  <c r="R4" i="13"/>
  <c r="AO4" i="13" s="1"/>
  <c r="T7" i="13"/>
  <c r="R7" i="13"/>
  <c r="BH12" i="13"/>
  <c r="BQ12" i="13"/>
  <c r="BW12" i="13"/>
  <c r="BL12" i="13"/>
  <c r="BM12" i="13"/>
  <c r="BA12" i="13"/>
  <c r="BC12" i="13" s="1"/>
  <c r="AU12" i="13"/>
  <c r="AT12" i="13"/>
  <c r="AV12" i="13" s="1"/>
  <c r="BR12" i="13"/>
  <c r="CC12" i="13"/>
  <c r="BV12" i="13"/>
  <c r="BZ12" i="13"/>
  <c r="BG12" i="13"/>
  <c r="R12" i="13"/>
  <c r="AO12" i="13" s="1"/>
  <c r="BY12" i="13"/>
  <c r="CA12" i="13" s="1"/>
  <c r="CB12" i="13"/>
  <c r="CD12" i="13" s="1"/>
  <c r="BB12" i="13"/>
  <c r="AD2" i="2"/>
  <c r="S8" i="13"/>
  <c r="T8" i="13"/>
  <c r="S11" i="13"/>
  <c r="J8" i="10"/>
  <c r="C10" i="10"/>
  <c r="B30" i="10"/>
  <c r="C30" i="10" s="1"/>
  <c r="D30" i="10" s="1"/>
  <c r="E30" i="10" s="1"/>
  <c r="K8" i="10"/>
  <c r="B12" i="10"/>
  <c r="C25" i="10"/>
  <c r="AP6" i="5"/>
  <c r="G3" i="13"/>
  <c r="AH13" i="2"/>
  <c r="AP7" i="5"/>
  <c r="AP5" i="5"/>
  <c r="R20" i="5"/>
  <c r="AL20" i="5" s="1"/>
  <c r="AP20" i="5" s="1"/>
  <c r="AP10" i="5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U4" i="13"/>
  <c r="V4" i="13" s="1"/>
  <c r="W4" i="13"/>
  <c r="Y4" i="13" s="1"/>
  <c r="X4" i="13"/>
  <c r="AN4" i="13"/>
  <c r="AU4" i="13"/>
  <c r="AN14" i="13"/>
  <c r="BY14" i="13"/>
  <c r="CA14" i="13" s="1"/>
  <c r="AT14" i="13"/>
  <c r="AV14" i="13" s="1"/>
  <c r="BZ14" i="13"/>
  <c r="BF14" i="13"/>
  <c r="AU14" i="13"/>
  <c r="BX14" i="13"/>
  <c r="BA14" i="13"/>
  <c r="BC14" i="13" s="1"/>
  <c r="W14" i="13"/>
  <c r="Y14" i="13" s="1"/>
  <c r="BW14" i="13"/>
  <c r="U14" i="13"/>
  <c r="V14" i="13" s="1"/>
  <c r="BB14" i="13"/>
  <c r="BQ14" i="13"/>
  <c r="AK14" i="13"/>
  <c r="BV14" i="13"/>
  <c r="X14" i="13"/>
  <c r="BE14" i="13"/>
  <c r="BI14" i="13"/>
  <c r="AH14" i="13"/>
  <c r="BN14" i="13"/>
  <c r="BK14" i="13"/>
  <c r="AM14" i="13"/>
  <c r="BR14" i="13"/>
  <c r="AW14" i="13"/>
  <c r="AY14" i="13" s="1"/>
  <c r="AX14" i="13"/>
  <c r="BD14" i="13"/>
  <c r="AA14" i="13"/>
  <c r="BS14" i="13"/>
  <c r="CC14" i="13"/>
  <c r="AS14" i="13"/>
  <c r="AJ14" i="13"/>
  <c r="AC14" i="13"/>
  <c r="AP14" i="13"/>
  <c r="AR14" i="13" s="1"/>
  <c r="AZ14" i="13"/>
  <c r="BL14" i="13"/>
  <c r="AI14" i="13"/>
  <c r="Z14" i="13"/>
  <c r="AB14" i="13" s="1"/>
  <c r="AQ14" i="13"/>
  <c r="AD14" i="13"/>
  <c r="AF14" i="13" s="1"/>
  <c r="CB14" i="13"/>
  <c r="CD14" i="13" s="1"/>
  <c r="AE14" i="13"/>
  <c r="BG14" i="13"/>
  <c r="BP14" i="13"/>
  <c r="CE14" i="13"/>
  <c r="BO14" i="13"/>
  <c r="BJ14" i="13"/>
  <c r="AG14" i="13"/>
  <c r="BM14" i="13"/>
  <c r="AL14" i="13"/>
  <c r="BT14" i="13"/>
  <c r="BU14" i="13"/>
  <c r="BH14" i="13"/>
  <c r="AO14" i="13"/>
  <c r="AL20" i="2"/>
  <c r="AF5" i="2"/>
  <c r="C3" i="8"/>
  <c r="B3" i="8"/>
  <c r="AI11" i="2"/>
  <c r="AM7" i="2"/>
  <c r="AF17" i="2"/>
  <c r="AL14" i="2"/>
  <c r="AI15" i="2"/>
  <c r="N1" i="5"/>
  <c r="P19" i="7"/>
  <c r="P20" i="7" s="1"/>
  <c r="W2" i="2"/>
  <c r="U2" i="2"/>
  <c r="H4" i="17"/>
  <c r="R2" i="2"/>
  <c r="H3" i="17"/>
  <c r="S2" i="2"/>
  <c r="AJ14" i="2"/>
  <c r="AF14" i="2"/>
  <c r="AH8" i="2"/>
  <c r="AJ17" i="2"/>
  <c r="AK12" i="2"/>
  <c r="AM17" i="2"/>
  <c r="AH14" i="2"/>
  <c r="AI14" i="2"/>
  <c r="AL15" i="2"/>
  <c r="AH9" i="2"/>
  <c r="AM15" i="2"/>
  <c r="AK17" i="2"/>
  <c r="AK20" i="2"/>
  <c r="AM11" i="2"/>
  <c r="AK14" i="2"/>
  <c r="AL17" i="2"/>
  <c r="AK11" i="2"/>
  <c r="AM8" i="2"/>
  <c r="AG11" i="2"/>
  <c r="AI12" i="2"/>
  <c r="AG15" i="2"/>
  <c r="AH20" i="2"/>
  <c r="AM5" i="2"/>
  <c r="AL9" i="2"/>
  <c r="AL4" i="2"/>
  <c r="AH7" i="2"/>
  <c r="AM4" i="2"/>
  <c r="AG12" i="2"/>
  <c r="AH17" i="2"/>
  <c r="AF15" i="2"/>
  <c r="V19" i="5"/>
  <c r="AJ19" i="5"/>
  <c r="AP19" i="5" s="1"/>
  <c r="N26" i="5"/>
  <c r="N16" i="5" s="1"/>
  <c r="AH1" i="5"/>
  <c r="AI23" i="5"/>
  <c r="AP23" i="5" s="1"/>
  <c r="V23" i="5"/>
  <c r="AP22" i="5"/>
  <c r="M7" i="5"/>
  <c r="AG7" i="5" s="1"/>
  <c r="M22" i="5" s="1"/>
  <c r="AP8" i="5"/>
  <c r="V22" i="5"/>
  <c r="I3" i="7"/>
  <c r="H3" i="7"/>
  <c r="S5" i="7" s="1"/>
  <c r="I7" i="14"/>
  <c r="AL6" i="2"/>
  <c r="AL7" i="2"/>
  <c r="H19" i="14"/>
  <c r="M3" i="17"/>
  <c r="J3" i="16"/>
  <c r="F4" i="14"/>
  <c r="L3" i="13"/>
  <c r="B2" i="8"/>
  <c r="AM6" i="2"/>
  <c r="AM9" i="2"/>
  <c r="J11" i="14"/>
  <c r="AL10" i="2"/>
  <c r="I12" i="14"/>
  <c r="K14" i="5"/>
  <c r="AE14" i="5" s="1"/>
  <c r="K29" i="5" s="1"/>
  <c r="AJ11" i="2"/>
  <c r="F13" i="14"/>
  <c r="AH12" i="2"/>
  <c r="AH19" i="2"/>
  <c r="I19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P5" i="7"/>
  <c r="F3" i="7"/>
  <c r="Q5" i="7" s="1"/>
  <c r="B13" i="10"/>
  <c r="B10" i="10" s="1"/>
  <c r="I8" i="14"/>
  <c r="K9" i="14"/>
  <c r="J4" i="17"/>
  <c r="F4" i="16"/>
  <c r="AF6" i="2"/>
  <c r="AF8" i="2"/>
  <c r="AM10" i="2"/>
  <c r="K5" i="5"/>
  <c r="AE5" i="5" s="1"/>
  <c r="K20" i="5" s="1"/>
  <c r="H7" i="5"/>
  <c r="M10" i="5"/>
  <c r="AG10" i="5" s="1"/>
  <c r="M25" i="5" s="1"/>
  <c r="V25" i="5"/>
  <c r="AP13" i="5"/>
  <c r="V18" i="5"/>
  <c r="AG4" i="2"/>
  <c r="AI5" i="2"/>
  <c r="AH6" i="2"/>
  <c r="AG10" i="2"/>
  <c r="J13" i="14"/>
  <c r="L10" i="5"/>
  <c r="AF10" i="5" s="1"/>
  <c r="L25" i="5" s="1"/>
  <c r="AF25" i="5" s="1"/>
  <c r="I14" i="14"/>
  <c r="K13" i="5"/>
  <c r="AE13" i="5" s="1"/>
  <c r="K28" i="5" s="1"/>
  <c r="H15" i="14"/>
  <c r="AH15" i="2"/>
  <c r="AK19" i="2"/>
  <c r="AG20" i="2"/>
  <c r="AP4" i="5"/>
  <c r="H13" i="14"/>
  <c r="AM20" i="2"/>
  <c r="AF4" i="2"/>
  <c r="AG7" i="2"/>
  <c r="AG8" i="2"/>
  <c r="AG9" i="2"/>
  <c r="K12" i="14"/>
  <c r="M14" i="5"/>
  <c r="AG14" i="5" s="1"/>
  <c r="M29" i="5" s="1"/>
  <c r="I13" i="14"/>
  <c r="AJ12" i="2"/>
  <c r="H14" i="14"/>
  <c r="AF20" i="2"/>
  <c r="AH4" i="2"/>
  <c r="AJ5" i="2"/>
  <c r="F6" i="14"/>
  <c r="AI6" i="2"/>
  <c r="AI7" i="2"/>
  <c r="AI8" i="2"/>
  <c r="AI9" i="2"/>
  <c r="AH10" i="2"/>
  <c r="AF11" i="2"/>
  <c r="K13" i="14"/>
  <c r="AL12" i="2"/>
  <c r="J14" i="14"/>
  <c r="L13" i="5"/>
  <c r="AF13" i="5" s="1"/>
  <c r="L28" i="5" s="1"/>
  <c r="AF28" i="5" s="1"/>
  <c r="AM14" i="2"/>
  <c r="AL19" i="2"/>
  <c r="AG17" i="2"/>
  <c r="H3" i="5"/>
  <c r="M8" i="5"/>
  <c r="AG8" i="5" s="1"/>
  <c r="M23" i="5" s="1"/>
  <c r="AP9" i="5"/>
  <c r="AP15" i="5"/>
  <c r="O30" i="5"/>
  <c r="I11" i="14"/>
  <c r="AK10" i="2"/>
  <c r="H12" i="14"/>
  <c r="AG5" i="2"/>
  <c r="F14" i="14"/>
  <c r="H13" i="5"/>
  <c r="AI19" i="2"/>
  <c r="J3" i="17"/>
  <c r="F3" i="16"/>
  <c r="I3" i="13"/>
  <c r="BB3" i="13" s="1"/>
  <c r="C2" i="8"/>
  <c r="AJ19" i="2"/>
  <c r="AJ6" i="2"/>
  <c r="F8" i="14"/>
  <c r="AJ7" i="2"/>
  <c r="F9" i="14"/>
  <c r="AJ8" i="2"/>
  <c r="F10" i="14"/>
  <c r="AJ9" i="2"/>
  <c r="F11" i="14"/>
  <c r="AI10" i="2"/>
  <c r="AM12" i="2"/>
  <c r="AJ15" i="2"/>
  <c r="AM19" i="2"/>
  <c r="AI20" i="2"/>
  <c r="AP3" i="5"/>
  <c r="O21" i="5"/>
  <c r="V26" i="5"/>
  <c r="AI26" i="5"/>
  <c r="AP26" i="5" s="1"/>
  <c r="K6" i="14"/>
  <c r="AL8" i="2"/>
  <c r="K10" i="14"/>
  <c r="AG19" i="2"/>
  <c r="N2" i="2"/>
  <c r="AF7" i="2"/>
  <c r="AF9" i="2"/>
  <c r="J12" i="14"/>
  <c r="L14" i="5"/>
  <c r="AF14" i="5" s="1"/>
  <c r="L29" i="5" s="1"/>
  <c r="AF29" i="5" s="1"/>
  <c r="AH5" i="2"/>
  <c r="AG6" i="2"/>
  <c r="AF10" i="2"/>
  <c r="AL11" i="2"/>
  <c r="F15" i="14"/>
  <c r="H15" i="5"/>
  <c r="AI4" i="2"/>
  <c r="AK5" i="2"/>
  <c r="H6" i="14"/>
  <c r="F7" i="14"/>
  <c r="AJ4" i="2"/>
  <c r="M4" i="17"/>
  <c r="J4" i="16"/>
  <c r="F5" i="14"/>
  <c r="AL5" i="2"/>
  <c r="I6" i="14"/>
  <c r="H7" i="14"/>
  <c r="AK6" i="2"/>
  <c r="H8" i="14"/>
  <c r="AK7" i="2"/>
  <c r="I9" i="14"/>
  <c r="AK8" i="2"/>
  <c r="I10" i="14"/>
  <c r="AK9" i="2"/>
  <c r="H11" i="14"/>
  <c r="AJ10" i="2"/>
  <c r="F12" i="14"/>
  <c r="H14" i="5"/>
  <c r="AH11" i="2"/>
  <c r="AF12" i="2"/>
  <c r="AF13" i="2"/>
  <c r="AG14" i="2"/>
  <c r="AK15" i="2"/>
  <c r="AF19" i="2"/>
  <c r="AI17" i="2"/>
  <c r="AJ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AP14" i="5"/>
  <c r="C11" i="10"/>
  <c r="C9" i="10"/>
  <c r="U33" i="11"/>
  <c r="O3" i="8"/>
  <c r="U26" i="11"/>
  <c r="S3" i="13"/>
  <c r="I12" i="10"/>
  <c r="I10" i="10"/>
  <c r="L8" i="10"/>
  <c r="U24" i="11"/>
  <c r="H16" i="8"/>
  <c r="O16" i="8" s="1"/>
  <c r="B22" i="10"/>
  <c r="B26" i="10" s="1"/>
  <c r="U65" i="11"/>
  <c r="U67" i="11"/>
  <c r="U73" i="11"/>
  <c r="U75" i="11"/>
  <c r="N13" i="14"/>
  <c r="S13" i="14"/>
  <c r="R13" i="14"/>
  <c r="Q13" i="14"/>
  <c r="O13" i="14"/>
  <c r="M13" i="14"/>
  <c r="T13" i="14"/>
  <c r="Q14" i="14"/>
  <c r="O14" i="14"/>
  <c r="N14" i="14"/>
  <c r="M14" i="14"/>
  <c r="T14" i="14"/>
  <c r="S14" i="14"/>
  <c r="U15" i="14"/>
  <c r="Q12" i="14"/>
  <c r="U12" i="14" s="1"/>
  <c r="T12" i="14"/>
  <c r="Q11" i="14"/>
  <c r="M12" i="14"/>
  <c r="E11" i="8" l="1"/>
  <c r="F11" i="8"/>
  <c r="BZ9" i="13"/>
  <c r="BI7" i="13"/>
  <c r="BS7" i="13"/>
  <c r="AX7" i="13"/>
  <c r="BM7" i="13"/>
  <c r="BZ7" i="13"/>
  <c r="BV7" i="13"/>
  <c r="AN7" i="13"/>
  <c r="AS7" i="13"/>
  <c r="BW7" i="13"/>
  <c r="AE7" i="13"/>
  <c r="AC7" i="13"/>
  <c r="BX7" i="13"/>
  <c r="BL7" i="13"/>
  <c r="BG6" i="13"/>
  <c r="Z7" i="13"/>
  <c r="AB7" i="13" s="1"/>
  <c r="BU7" i="13"/>
  <c r="U7" i="13"/>
  <c r="V7" i="13" s="1"/>
  <c r="BB7" i="13"/>
  <c r="BJ7" i="13"/>
  <c r="BR7" i="13"/>
  <c r="BN7" i="13"/>
  <c r="AH7" i="13"/>
  <c r="AP10" i="13"/>
  <c r="AR10" i="13" s="1"/>
  <c r="BN10" i="13"/>
  <c r="CB11" i="13"/>
  <c r="CD11" i="13" s="1"/>
  <c r="AM11" i="13"/>
  <c r="BT10" i="13"/>
  <c r="AS11" i="13"/>
  <c r="BD10" i="13"/>
  <c r="BH11" i="13"/>
  <c r="BE11" i="13"/>
  <c r="BA8" i="13"/>
  <c r="BC8" i="13" s="1"/>
  <c r="X10" i="13"/>
  <c r="AD18" i="13"/>
  <c r="AF18" i="13" s="1"/>
  <c r="CC15" i="13"/>
  <c r="BE6" i="13"/>
  <c r="AW6" i="13"/>
  <c r="AY6" i="13" s="1"/>
  <c r="BG15" i="13"/>
  <c r="AJ18" i="13"/>
  <c r="BI6" i="13"/>
  <c r="BF6" i="13"/>
  <c r="AE6" i="13"/>
  <c r="BX6" i="13"/>
  <c r="BZ6" i="13"/>
  <c r="AN6" i="13"/>
  <c r="BL6" i="13"/>
  <c r="CE6" i="13"/>
  <c r="AS6" i="13"/>
  <c r="AQ6" i="13"/>
  <c r="AP18" i="13"/>
  <c r="AR18" i="13" s="1"/>
  <c r="BJ15" i="13"/>
  <c r="BM6" i="13"/>
  <c r="BS6" i="13"/>
  <c r="AI18" i="13"/>
  <c r="AN15" i="13"/>
  <c r="BH6" i="13"/>
  <c r="AK6" i="13"/>
  <c r="AD6" i="13"/>
  <c r="AF6" i="13" s="1"/>
  <c r="CE5" i="13"/>
  <c r="AC6" i="13"/>
  <c r="BN6" i="13"/>
  <c r="BT6" i="13"/>
  <c r="BK5" i="13"/>
  <c r="V6" i="13"/>
  <c r="AJ6" i="13"/>
  <c r="BA6" i="13"/>
  <c r="BC6" i="13" s="1"/>
  <c r="AH6" i="13"/>
  <c r="AA6" i="13"/>
  <c r="BR6" i="13"/>
  <c r="BD6" i="13"/>
  <c r="AQ5" i="13"/>
  <c r="BP6" i="13"/>
  <c r="W6" i="13"/>
  <c r="Y6" i="13" s="1"/>
  <c r="AX6" i="13"/>
  <c r="BO6" i="13"/>
  <c r="BV6" i="13"/>
  <c r="BJ6" i="13"/>
  <c r="BZ5" i="13"/>
  <c r="BU6" i="13"/>
  <c r="AO6" i="13"/>
  <c r="AG6" i="13"/>
  <c r="AI6" i="13"/>
  <c r="AP6" i="13"/>
  <c r="AR6" i="13" s="1"/>
  <c r="AT6" i="13"/>
  <c r="AV6" i="13" s="1"/>
  <c r="AT5" i="13"/>
  <c r="AV5" i="13" s="1"/>
  <c r="X6" i="13"/>
  <c r="AZ6" i="13"/>
  <c r="AU6" i="13"/>
  <c r="CC6" i="13"/>
  <c r="BY6" i="13"/>
  <c r="CA6" i="13" s="1"/>
  <c r="Z6" i="13"/>
  <c r="AB6" i="13" s="1"/>
  <c r="AL6" i="13"/>
  <c r="AW9" i="13"/>
  <c r="AY9" i="13" s="1"/>
  <c r="BK6" i="13"/>
  <c r="BB6" i="13"/>
  <c r="U6" i="13"/>
  <c r="BQ6" i="13"/>
  <c r="BW6" i="13"/>
  <c r="AM6" i="13"/>
  <c r="CC9" i="13"/>
  <c r="Z18" i="13"/>
  <c r="AB18" i="13" s="1"/>
  <c r="AE15" i="13"/>
  <c r="BE18" i="13"/>
  <c r="AK15" i="13"/>
  <c r="BD18" i="13"/>
  <c r="BL15" i="13"/>
  <c r="BX18" i="13"/>
  <c r="U15" i="13"/>
  <c r="V15" i="13" s="1"/>
  <c r="AN8" i="13"/>
  <c r="AX18" i="13"/>
  <c r="AK18" i="13"/>
  <c r="AT15" i="13"/>
  <c r="AV15" i="13" s="1"/>
  <c r="BN18" i="13"/>
  <c r="BV18" i="13"/>
  <c r="W18" i="13"/>
  <c r="Y18" i="13" s="1"/>
  <c r="BP18" i="13"/>
  <c r="BB15" i="13"/>
  <c r="AQ15" i="13"/>
  <c r="BR15" i="13"/>
  <c r="AP8" i="13"/>
  <c r="AR8" i="13" s="1"/>
  <c r="AT17" i="13"/>
  <c r="AV17" i="13" s="1"/>
  <c r="AW18" i="13"/>
  <c r="AY18" i="13" s="1"/>
  <c r="BI18" i="13"/>
  <c r="BQ18" i="13"/>
  <c r="BT15" i="13"/>
  <c r="AL15" i="13"/>
  <c r="CB15" i="13"/>
  <c r="CD15" i="13" s="1"/>
  <c r="AQ8" i="13"/>
  <c r="AI17" i="13"/>
  <c r="BM18" i="13"/>
  <c r="BU18" i="13"/>
  <c r="BL18" i="13"/>
  <c r="AH15" i="13"/>
  <c r="CE15" i="13"/>
  <c r="BX15" i="13"/>
  <c r="AW8" i="13"/>
  <c r="AY8" i="13" s="1"/>
  <c r="AG17" i="13"/>
  <c r="BB18" i="13"/>
  <c r="AA18" i="13"/>
  <c r="AE18" i="13"/>
  <c r="BN15" i="13"/>
  <c r="BY15" i="13"/>
  <c r="CA15" i="13" s="1"/>
  <c r="BF15" i="13"/>
  <c r="AH18" i="13"/>
  <c r="BY18" i="13"/>
  <c r="CA18" i="13" s="1"/>
  <c r="U18" i="13"/>
  <c r="V18" i="13" s="1"/>
  <c r="BE15" i="13"/>
  <c r="AM15" i="13"/>
  <c r="BU15" i="13"/>
  <c r="BL8" i="13"/>
  <c r="BU11" i="13"/>
  <c r="BR11" i="13"/>
  <c r="AH10" i="13"/>
  <c r="BK10" i="13"/>
  <c r="BU10" i="13"/>
  <c r="BX11" i="13"/>
  <c r="BQ11" i="13"/>
  <c r="BI10" i="13"/>
  <c r="AD10" i="13"/>
  <c r="AF10" i="13" s="1"/>
  <c r="AG10" i="13"/>
  <c r="X11" i="13"/>
  <c r="BB11" i="13"/>
  <c r="AM10" i="13"/>
  <c r="BB10" i="13"/>
  <c r="BH10" i="13"/>
  <c r="CE11" i="13"/>
  <c r="AG11" i="13"/>
  <c r="BJ11" i="13"/>
  <c r="AQ10" i="13"/>
  <c r="AA10" i="13"/>
  <c r="BF11" i="13"/>
  <c r="BM11" i="13"/>
  <c r="BG11" i="13"/>
  <c r="U10" i="13"/>
  <c r="V10" i="13" s="1"/>
  <c r="AS10" i="13"/>
  <c r="W11" i="13"/>
  <c r="Y11" i="13" s="1"/>
  <c r="AK11" i="13"/>
  <c r="AX11" i="13"/>
  <c r="BY10" i="13"/>
  <c r="CA10" i="13" s="1"/>
  <c r="AU10" i="13"/>
  <c r="BV5" i="13"/>
  <c r="BS5" i="13"/>
  <c r="BN5" i="13"/>
  <c r="AD5" i="13"/>
  <c r="AF5" i="13" s="1"/>
  <c r="AO5" i="13"/>
  <c r="CB5" i="13"/>
  <c r="CD5" i="13" s="1"/>
  <c r="D9" i="8"/>
  <c r="E9" i="8" s="1"/>
  <c r="BV9" i="13"/>
  <c r="AM9" i="13"/>
  <c r="BD9" i="13"/>
  <c r="AU9" i="13"/>
  <c r="AL9" i="13"/>
  <c r="BM9" i="13"/>
  <c r="BS9" i="13"/>
  <c r="BF9" i="13"/>
  <c r="AN9" i="13"/>
  <c r="BA9" i="13"/>
  <c r="BC9" i="13" s="1"/>
  <c r="AJ9" i="13"/>
  <c r="AQ9" i="13"/>
  <c r="BN9" i="13"/>
  <c r="AS9" i="13"/>
  <c r="AH9" i="13"/>
  <c r="Z9" i="13"/>
  <c r="AB9" i="13" s="1"/>
  <c r="AK7" i="13"/>
  <c r="AZ7" i="13"/>
  <c r="CC7" i="13"/>
  <c r="AD7" i="13"/>
  <c r="AF7" i="13" s="1"/>
  <c r="AP7" i="13"/>
  <c r="AR7" i="13" s="1"/>
  <c r="X7" i="13"/>
  <c r="AA7" i="13"/>
  <c r="AO7" i="13"/>
  <c r="BY7" i="13"/>
  <c r="CA7" i="13" s="1"/>
  <c r="AJ7" i="13"/>
  <c r="AU7" i="13"/>
  <c r="BF7" i="13"/>
  <c r="AM7" i="13"/>
  <c r="W7" i="13"/>
  <c r="Y7" i="13" s="1"/>
  <c r="BQ7" i="13"/>
  <c r="BP7" i="13"/>
  <c r="AT7" i="13"/>
  <c r="AV7" i="13" s="1"/>
  <c r="AG7" i="13"/>
  <c r="BK7" i="13"/>
  <c r="BO7" i="13"/>
  <c r="CE7" i="13"/>
  <c r="BG7" i="13"/>
  <c r="BT7" i="13"/>
  <c r="BE7" i="13"/>
  <c r="AW7" i="13"/>
  <c r="AY7" i="13" s="1"/>
  <c r="AQ7" i="13"/>
  <c r="BH7" i="13"/>
  <c r="BA7" i="13"/>
  <c r="BC7" i="13" s="1"/>
  <c r="CB7" i="13"/>
  <c r="CD7" i="13" s="1"/>
  <c r="BD7" i="13"/>
  <c r="AL7" i="13"/>
  <c r="BG5" i="13"/>
  <c r="W5" i="13"/>
  <c r="Y5" i="13" s="1"/>
  <c r="BT5" i="13"/>
  <c r="BD5" i="13"/>
  <c r="AH5" i="13"/>
  <c r="X5" i="13"/>
  <c r="AX5" i="13"/>
  <c r="AZ5" i="13"/>
  <c r="AK5" i="13"/>
  <c r="D8" i="8"/>
  <c r="F8" i="8" s="1"/>
  <c r="AH13" i="13"/>
  <c r="BL17" i="13"/>
  <c r="BS8" i="13"/>
  <c r="AJ17" i="13"/>
  <c r="BW17" i="13"/>
  <c r="BR17" i="13"/>
  <c r="AO17" i="13"/>
  <c r="CC13" i="13"/>
  <c r="AG13" i="13"/>
  <c r="BV13" i="13"/>
  <c r="U13" i="13"/>
  <c r="V13" i="13" s="1"/>
  <c r="AN13" i="13"/>
  <c r="AK13" i="13"/>
  <c r="BA13" i="13"/>
  <c r="BC13" i="13" s="1"/>
  <c r="AX13" i="13"/>
  <c r="BM13" i="13"/>
  <c r="AA13" i="13"/>
  <c r="AT13" i="13"/>
  <c r="AV13" i="13" s="1"/>
  <c r="BY13" i="13"/>
  <c r="CA13" i="13" s="1"/>
  <c r="AG5" i="13"/>
  <c r="CC5" i="13"/>
  <c r="BO5" i="13"/>
  <c r="BJ5" i="13"/>
  <c r="BE5" i="13"/>
  <c r="AN5" i="13"/>
  <c r="BY5" i="13"/>
  <c r="CA5" i="13" s="1"/>
  <c r="AP9" i="13"/>
  <c r="AR9" i="13" s="1"/>
  <c r="AA9" i="13"/>
  <c r="BQ9" i="13"/>
  <c r="BW9" i="13"/>
  <c r="BR9" i="13"/>
  <c r="BK9" i="13"/>
  <c r="AP5" i="13"/>
  <c r="AR5" i="13" s="1"/>
  <c r="AC5" i="13"/>
  <c r="AI5" i="13"/>
  <c r="AA5" i="13"/>
  <c r="BR5" i="13"/>
  <c r="BH5" i="13"/>
  <c r="AO9" i="13"/>
  <c r="AD9" i="13"/>
  <c r="AF9" i="13" s="1"/>
  <c r="BI9" i="13"/>
  <c r="AX9" i="13"/>
  <c r="BH9" i="13"/>
  <c r="AG9" i="13"/>
  <c r="BB9" i="13"/>
  <c r="AM5" i="13"/>
  <c r="AE5" i="13"/>
  <c r="AL5" i="13"/>
  <c r="BF5" i="13"/>
  <c r="BU5" i="13"/>
  <c r="BQ5" i="13"/>
  <c r="BM5" i="13"/>
  <c r="BJ9" i="13"/>
  <c r="BO9" i="13"/>
  <c r="BG9" i="13"/>
  <c r="AI9" i="13"/>
  <c r="X9" i="13"/>
  <c r="BP9" i="13"/>
  <c r="CB9" i="13"/>
  <c r="CD9" i="13" s="1"/>
  <c r="AJ5" i="13"/>
  <c r="AS5" i="13"/>
  <c r="Z5" i="13"/>
  <c r="AB5" i="13" s="1"/>
  <c r="AW5" i="13"/>
  <c r="AY5" i="13" s="1"/>
  <c r="BL5" i="13"/>
  <c r="BA5" i="13"/>
  <c r="BC5" i="13" s="1"/>
  <c r="BW5" i="13"/>
  <c r="U9" i="13"/>
  <c r="V9" i="13" s="1"/>
  <c r="AE9" i="13"/>
  <c r="BL9" i="13"/>
  <c r="AT9" i="13"/>
  <c r="AV9" i="13" s="1"/>
  <c r="W9" i="13"/>
  <c r="Y9" i="13" s="1"/>
  <c r="BX9" i="13"/>
  <c r="AZ9" i="13"/>
  <c r="D18" i="8"/>
  <c r="E18" i="8" s="1"/>
  <c r="D13" i="8"/>
  <c r="E13" i="8" s="1"/>
  <c r="BI5" i="13"/>
  <c r="AU5" i="13"/>
  <c r="BX5" i="13"/>
  <c r="BP5" i="13"/>
  <c r="BB5" i="13"/>
  <c r="BY9" i="13"/>
  <c r="CA9" i="13" s="1"/>
  <c r="BE9" i="13"/>
  <c r="BT9" i="13"/>
  <c r="AK9" i="13"/>
  <c r="CE9" i="13"/>
  <c r="BU9" i="13"/>
  <c r="D17" i="8"/>
  <c r="F17" i="8" s="1"/>
  <c r="AD13" i="13"/>
  <c r="AF13" i="13" s="1"/>
  <c r="BP13" i="13"/>
  <c r="BU13" i="13"/>
  <c r="BQ13" i="13"/>
  <c r="AQ13" i="13"/>
  <c r="W13" i="13"/>
  <c r="Y13" i="13" s="1"/>
  <c r="BF13" i="13"/>
  <c r="AZ13" i="13"/>
  <c r="BW13" i="13"/>
  <c r="AI13" i="13"/>
  <c r="BE13" i="13"/>
  <c r="BL13" i="13"/>
  <c r="AO13" i="13"/>
  <c r="BX13" i="13"/>
  <c r="CB13" i="13"/>
  <c r="CD13" i="13" s="1"/>
  <c r="CE13" i="13"/>
  <c r="AW13" i="13"/>
  <c r="AY13" i="13" s="1"/>
  <c r="AM13" i="13"/>
  <c r="AP13" i="13"/>
  <c r="AR13" i="13" s="1"/>
  <c r="BZ13" i="13"/>
  <c r="BH13" i="13"/>
  <c r="AL13" i="13"/>
  <c r="AU13" i="13"/>
  <c r="BG13" i="13"/>
  <c r="X13" i="13"/>
  <c r="AE13" i="13"/>
  <c r="BK13" i="13"/>
  <c r="BB13" i="13"/>
  <c r="BJ13" i="13"/>
  <c r="BO13" i="13"/>
  <c r="AS13" i="13"/>
  <c r="BS13" i="13"/>
  <c r="BT13" i="13"/>
  <c r="AC13" i="13"/>
  <c r="BR13" i="13"/>
  <c r="AJ13" i="13"/>
  <c r="BN13" i="13"/>
  <c r="Z13" i="13"/>
  <c r="AB13" i="13" s="1"/>
  <c r="BD13" i="13"/>
  <c r="D6" i="8"/>
  <c r="E6" i="8" s="1"/>
  <c r="AA16" i="13"/>
  <c r="AO18" i="13"/>
  <c r="AT18" i="13"/>
  <c r="AV18" i="13" s="1"/>
  <c r="BW18" i="13"/>
  <c r="AC18" i="13"/>
  <c r="BO18" i="13"/>
  <c r="BR18" i="13"/>
  <c r="AN18" i="13"/>
  <c r="BS15" i="13"/>
  <c r="X15" i="13"/>
  <c r="AW15" i="13"/>
  <c r="AY15" i="13" s="1"/>
  <c r="BA15" i="13"/>
  <c r="BC15" i="13" s="1"/>
  <c r="AS15" i="13"/>
  <c r="BP15" i="13"/>
  <c r="CE8" i="13"/>
  <c r="BP8" i="13"/>
  <c r="BN8" i="13"/>
  <c r="BB17" i="13"/>
  <c r="BG17" i="13"/>
  <c r="CC18" i="13"/>
  <c r="AZ18" i="13"/>
  <c r="CE18" i="13"/>
  <c r="BK18" i="13"/>
  <c r="AS18" i="13"/>
  <c r="AU18" i="13"/>
  <c r="CB18" i="13"/>
  <c r="CD18" i="13" s="1"/>
  <c r="AO15" i="13"/>
  <c r="BO15" i="13"/>
  <c r="BI15" i="13"/>
  <c r="W15" i="13"/>
  <c r="Y15" i="13" s="1"/>
  <c r="AZ15" i="13"/>
  <c r="AC15" i="13"/>
  <c r="BH15" i="13"/>
  <c r="U8" i="13"/>
  <c r="AE8" i="13"/>
  <c r="CB8" i="13"/>
  <c r="CD8" i="13" s="1"/>
  <c r="BU17" i="13"/>
  <c r="AW17" i="13"/>
  <c r="AY17" i="13" s="1"/>
  <c r="BK15" i="13"/>
  <c r="BZ15" i="13"/>
  <c r="AG15" i="13"/>
  <c r="AC8" i="13"/>
  <c r="AA8" i="13"/>
  <c r="AA17" i="13"/>
  <c r="BZ17" i="13"/>
  <c r="AG18" i="13"/>
  <c r="BJ18" i="13"/>
  <c r="AM18" i="13"/>
  <c r="BZ18" i="13"/>
  <c r="AL18" i="13"/>
  <c r="BH18" i="13"/>
  <c r="BS18" i="13"/>
  <c r="AP15" i="13"/>
  <c r="AR15" i="13" s="1"/>
  <c r="AX15" i="13"/>
  <c r="AD15" i="13"/>
  <c r="AF15" i="13" s="1"/>
  <c r="BD15" i="13"/>
  <c r="AJ15" i="13"/>
  <c r="BM15" i="13"/>
  <c r="BV15" i="13"/>
  <c r="BT8" i="13"/>
  <c r="W8" i="13"/>
  <c r="Y8" i="13" s="1"/>
  <c r="BY17" i="13"/>
  <c r="CA17" i="13" s="1"/>
  <c r="BF17" i="13"/>
  <c r="BV17" i="13"/>
  <c r="BF18" i="13"/>
  <c r="BT18" i="13"/>
  <c r="BA18" i="13"/>
  <c r="BC18" i="13" s="1"/>
  <c r="BG18" i="13"/>
  <c r="X18" i="13"/>
  <c r="Z15" i="13"/>
  <c r="AB15" i="13" s="1"/>
  <c r="AA15" i="13"/>
  <c r="BW15" i="13"/>
  <c r="AI15" i="13"/>
  <c r="AU15" i="13"/>
  <c r="BM8" i="13"/>
  <c r="AX8" i="13"/>
  <c r="BF8" i="13"/>
  <c r="V17" i="13"/>
  <c r="AU17" i="13"/>
  <c r="AC17" i="13"/>
  <c r="AT16" i="13"/>
  <c r="AV16" i="13" s="1"/>
  <c r="BY11" i="13"/>
  <c r="CA11" i="13" s="1"/>
  <c r="AE11" i="13"/>
  <c r="BV11" i="13"/>
  <c r="AZ11" i="13"/>
  <c r="AH11" i="13"/>
  <c r="AN11" i="13"/>
  <c r="BW11" i="13"/>
  <c r="BV10" i="13"/>
  <c r="AW10" i="13"/>
  <c r="AY10" i="13" s="1"/>
  <c r="AK10" i="13"/>
  <c r="BQ10" i="13"/>
  <c r="BZ10" i="13"/>
  <c r="AL10" i="13"/>
  <c r="BP10" i="13"/>
  <c r="X8" i="13"/>
  <c r="BW8" i="13"/>
  <c r="BU8" i="13"/>
  <c r="BK8" i="13"/>
  <c r="BI8" i="13"/>
  <c r="AM8" i="13"/>
  <c r="BQ17" i="13"/>
  <c r="BT17" i="13"/>
  <c r="AL17" i="13"/>
  <c r="BK17" i="13"/>
  <c r="BD17" i="13"/>
  <c r="AP17" i="13"/>
  <c r="AR17" i="13" s="1"/>
  <c r="BI16" i="13"/>
  <c r="BB16" i="13"/>
  <c r="BP11" i="13"/>
  <c r="CC11" i="13"/>
  <c r="AW11" i="13"/>
  <c r="AY11" i="13" s="1"/>
  <c r="BL11" i="13"/>
  <c r="AQ11" i="13"/>
  <c r="BT11" i="13"/>
  <c r="BN11" i="13"/>
  <c r="W10" i="13"/>
  <c r="Y10" i="13" s="1"/>
  <c r="CB10" i="13"/>
  <c r="CD10" i="13" s="1"/>
  <c r="BE10" i="13"/>
  <c r="CC10" i="13"/>
  <c r="BS10" i="13"/>
  <c r="CE10" i="13"/>
  <c r="AO8" i="13"/>
  <c r="BY8" i="13"/>
  <c r="CA8" i="13" s="1"/>
  <c r="BG8" i="13"/>
  <c r="AJ8" i="13"/>
  <c r="AS8" i="13"/>
  <c r="AZ8" i="13"/>
  <c r="AD8" i="13"/>
  <c r="AF8" i="13" s="1"/>
  <c r="W17" i="13"/>
  <c r="Y17" i="13" s="1"/>
  <c r="BA17" i="13"/>
  <c r="BC17" i="13" s="1"/>
  <c r="BS17" i="13"/>
  <c r="Z17" i="13"/>
  <c r="AB17" i="13" s="1"/>
  <c r="AN17" i="13"/>
  <c r="AQ17" i="13"/>
  <c r="AS17" i="13"/>
  <c r="W16" i="13"/>
  <c r="Y16" i="13" s="1"/>
  <c r="AC11" i="13"/>
  <c r="AO11" i="13"/>
  <c r="BO11" i="13"/>
  <c r="BZ11" i="13"/>
  <c r="BD11" i="13"/>
  <c r="BA11" i="13"/>
  <c r="BC11" i="13" s="1"/>
  <c r="AL11" i="13"/>
  <c r="Z10" i="13"/>
  <c r="AB10" i="13" s="1"/>
  <c r="BF10" i="13"/>
  <c r="BO10" i="13"/>
  <c r="AC10" i="13"/>
  <c r="BX10" i="13"/>
  <c r="AT10" i="13"/>
  <c r="AV10" i="13" s="1"/>
  <c r="AT8" i="13"/>
  <c r="AV8" i="13" s="1"/>
  <c r="BZ8" i="13"/>
  <c r="BV8" i="13"/>
  <c r="AI8" i="13"/>
  <c r="CC8" i="13"/>
  <c r="AH8" i="13"/>
  <c r="BE8" i="13"/>
  <c r="BI17" i="13"/>
  <c r="BM17" i="13"/>
  <c r="AE17" i="13"/>
  <c r="AM17" i="13"/>
  <c r="BN17" i="13"/>
  <c r="CE17" i="13"/>
  <c r="BX17" i="13"/>
  <c r="BF16" i="13"/>
  <c r="AJ11" i="13"/>
  <c r="BS11" i="13"/>
  <c r="AT11" i="13"/>
  <c r="AV11" i="13" s="1"/>
  <c r="BI11" i="13"/>
  <c r="AP11" i="13"/>
  <c r="AR11" i="13" s="1"/>
  <c r="AI11" i="13"/>
  <c r="AO10" i="13"/>
  <c r="AN10" i="13"/>
  <c r="BG10" i="13"/>
  <c r="BM10" i="13"/>
  <c r="AJ10" i="13"/>
  <c r="BJ10" i="13"/>
  <c r="BR10" i="13"/>
  <c r="V8" i="13"/>
  <c r="BD8" i="13"/>
  <c r="BH8" i="13"/>
  <c r="BQ8" i="13"/>
  <c r="BJ8" i="13"/>
  <c r="BX8" i="13"/>
  <c r="AU8" i="13"/>
  <c r="X17" i="13"/>
  <c r="AK17" i="13"/>
  <c r="AX17" i="13"/>
  <c r="BO17" i="13"/>
  <c r="AH17" i="13"/>
  <c r="AD17" i="13"/>
  <c r="AF17" i="13" s="1"/>
  <c r="BP17" i="13"/>
  <c r="D4" i="8"/>
  <c r="F4" i="8" s="1"/>
  <c r="D5" i="8"/>
  <c r="F5" i="8" s="1"/>
  <c r="BL16" i="13"/>
  <c r="BK11" i="13"/>
  <c r="AU11" i="13"/>
  <c r="U11" i="13"/>
  <c r="V11" i="13" s="1"/>
  <c r="AD11" i="13"/>
  <c r="AF11" i="13" s="1"/>
  <c r="AA11" i="13"/>
  <c r="AX10" i="13"/>
  <c r="BL10" i="13"/>
  <c r="AE10" i="13"/>
  <c r="AI10" i="13"/>
  <c r="BA10" i="13"/>
  <c r="BC10" i="13" s="1"/>
  <c r="BW10" i="13"/>
  <c r="AK8" i="13"/>
  <c r="BR8" i="13"/>
  <c r="BB8" i="13"/>
  <c r="AG8" i="13"/>
  <c r="Z8" i="13"/>
  <c r="AB8" i="13" s="1"/>
  <c r="BO8" i="13"/>
  <c r="U17" i="13"/>
  <c r="BH17" i="13"/>
  <c r="CB17" i="13"/>
  <c r="CD17" i="13" s="1"/>
  <c r="BE17" i="13"/>
  <c r="BJ17" i="13"/>
  <c r="CC17" i="13"/>
  <c r="AE16" i="13"/>
  <c r="BE16" i="13"/>
  <c r="BZ16" i="13"/>
  <c r="BV16" i="13"/>
  <c r="AX16" i="13"/>
  <c r="AI16" i="13"/>
  <c r="AQ16" i="13"/>
  <c r="D12" i="8"/>
  <c r="BY16" i="13"/>
  <c r="CA16" i="13" s="1"/>
  <c r="BG16" i="13"/>
  <c r="BT16" i="13"/>
  <c r="BJ16" i="13"/>
  <c r="AJ16" i="13"/>
  <c r="U16" i="13"/>
  <c r="V16" i="13" s="1"/>
  <c r="CB16" i="13"/>
  <c r="CD16" i="13" s="1"/>
  <c r="D15" i="8"/>
  <c r="D7" i="8"/>
  <c r="X16" i="13"/>
  <c r="AG16" i="13"/>
  <c r="AK16" i="13"/>
  <c r="BX16" i="13"/>
  <c r="CC16" i="13"/>
  <c r="AU16" i="13"/>
  <c r="AC16" i="13"/>
  <c r="BP16" i="13"/>
  <c r="BS16" i="13"/>
  <c r="Z16" i="13"/>
  <c r="AB16" i="13" s="1"/>
  <c r="BW16" i="13"/>
  <c r="AH16" i="13"/>
  <c r="AD16" i="13"/>
  <c r="AF16" i="13" s="1"/>
  <c r="AW16" i="13"/>
  <c r="AY16" i="13" s="1"/>
  <c r="BD16" i="13"/>
  <c r="BN16" i="13"/>
  <c r="AZ16" i="13"/>
  <c r="BA16" i="13"/>
  <c r="BC16" i="13" s="1"/>
  <c r="AS16" i="13"/>
  <c r="BQ16" i="13"/>
  <c r="CE16" i="13"/>
  <c r="BR16" i="13"/>
  <c r="AL16" i="13"/>
  <c r="AO16" i="13"/>
  <c r="AP16" i="13"/>
  <c r="AR16" i="13" s="1"/>
  <c r="AM16" i="13"/>
  <c r="AN16" i="13"/>
  <c r="BK16" i="13"/>
  <c r="BM16" i="13"/>
  <c r="BU16" i="13"/>
  <c r="BH16" i="13"/>
  <c r="D10" i="8"/>
  <c r="D62" i="10"/>
  <c r="E62" i="10" s="1"/>
  <c r="F62" i="10" s="1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B66" i="10"/>
  <c r="E58" i="10"/>
  <c r="C65" i="10"/>
  <c r="C66" i="10" s="1"/>
  <c r="B67" i="10"/>
  <c r="AD20" i="10"/>
  <c r="AD18" i="10"/>
  <c r="AD21" i="10"/>
  <c r="AD19" i="10"/>
  <c r="C31" i="10"/>
  <c r="U13" i="14"/>
  <c r="D24" i="10"/>
  <c r="D28" i="10" s="1"/>
  <c r="U11" i="14"/>
  <c r="T3" i="17"/>
  <c r="S4" i="17"/>
  <c r="V20" i="5"/>
  <c r="B31" i="10"/>
  <c r="B32" i="10" s="1"/>
  <c r="C32" i="10" s="1"/>
  <c r="D23" i="10"/>
  <c r="D27" i="10" s="1"/>
  <c r="D25" i="10"/>
  <c r="D29" i="10" s="1"/>
  <c r="D3" i="8"/>
  <c r="C15" i="2"/>
  <c r="D16" i="14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Q14" i="7"/>
  <c r="Q16" i="7"/>
  <c r="Q17" i="7" s="1"/>
  <c r="D17" i="14"/>
  <c r="C19" i="2"/>
  <c r="Q3" i="16"/>
  <c r="Q18" i="7"/>
  <c r="Q19" i="7" s="1"/>
  <c r="Q20" i="7" s="1"/>
  <c r="D6" i="14"/>
  <c r="F4" i="5"/>
  <c r="Z4" i="5" s="1"/>
  <c r="F19" i="5" s="1"/>
  <c r="Z19" i="5" s="1"/>
  <c r="AI21" i="5"/>
  <c r="AP21" i="5" s="1"/>
  <c r="V21" i="5"/>
  <c r="J6" i="8"/>
  <c r="D18" i="14"/>
  <c r="C17" i="2"/>
  <c r="B17" i="10"/>
  <c r="D13" i="14"/>
  <c r="C12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I13" i="8"/>
  <c r="P13" i="8" s="1"/>
  <c r="P2" i="8"/>
  <c r="D22" i="10"/>
  <c r="D26" i="10" s="1"/>
  <c r="C22" i="10"/>
  <c r="C17" i="10"/>
  <c r="AI24" i="5"/>
  <c r="AP24" i="5" s="1"/>
  <c r="V24" i="5"/>
  <c r="D12" i="14"/>
  <c r="C11" i="2"/>
  <c r="F14" i="5"/>
  <c r="Z14" i="5" s="1"/>
  <c r="F29" i="5" s="1"/>
  <c r="Z29" i="5" s="1"/>
  <c r="D11" i="14"/>
  <c r="C10" i="2"/>
  <c r="F9" i="5"/>
  <c r="Z9" i="5" s="1"/>
  <c r="F24" i="5" s="1"/>
  <c r="Z24" i="5" s="1"/>
  <c r="D15" i="14"/>
  <c r="F15" i="5"/>
  <c r="Z15" i="5" s="1"/>
  <c r="F30" i="5" s="1"/>
  <c r="Z30" i="5" s="1"/>
  <c r="C14" i="2"/>
  <c r="J3" i="7"/>
  <c r="J3" i="8"/>
  <c r="U14" i="14"/>
  <c r="F30" i="10"/>
  <c r="G30" i="10" s="1"/>
  <c r="E31" i="10"/>
  <c r="AI27" i="5"/>
  <c r="AP27" i="5" s="1"/>
  <c r="V27" i="5"/>
  <c r="D19" i="14"/>
  <c r="C20" i="2"/>
  <c r="AI30" i="5"/>
  <c r="AP30" i="5" s="1"/>
  <c r="V30" i="5"/>
  <c r="D10" i="14"/>
  <c r="F8" i="5"/>
  <c r="Z8" i="5" s="1"/>
  <c r="F23" i="5" s="1"/>
  <c r="Z23" i="5" s="1"/>
  <c r="C9" i="2"/>
  <c r="D14" i="14"/>
  <c r="F13" i="5"/>
  <c r="Z13" i="5" s="1"/>
  <c r="F28" i="5" s="1"/>
  <c r="Z28" i="5" s="1"/>
  <c r="C13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8" i="2"/>
  <c r="F7" i="5"/>
  <c r="Z7" i="5" s="1"/>
  <c r="F22" i="5" s="1"/>
  <c r="Z22" i="5" s="1"/>
  <c r="P4" i="16"/>
  <c r="D7" i="14"/>
  <c r="C6" i="2"/>
  <c r="F6" i="5"/>
  <c r="Z6" i="5" s="1"/>
  <c r="F21" i="5" s="1"/>
  <c r="Z21" i="5" s="1"/>
  <c r="P14" i="7"/>
  <c r="I16" i="8"/>
  <c r="P16" i="8" s="1"/>
  <c r="P5" i="8"/>
  <c r="F9" i="16"/>
  <c r="F10" i="16"/>
  <c r="F8" i="16"/>
  <c r="F6" i="16"/>
  <c r="F5" i="16"/>
  <c r="F7" i="16"/>
  <c r="F11" i="5"/>
  <c r="Z11" i="5" s="1"/>
  <c r="F26" i="5" s="1"/>
  <c r="Z26" i="5" s="1"/>
  <c r="P16" i="7"/>
  <c r="P17" i="7" s="1"/>
  <c r="P21" i="7" s="1"/>
  <c r="D8" i="14"/>
  <c r="F5" i="5"/>
  <c r="Z5" i="5" s="1"/>
  <c r="F20" i="5" s="1"/>
  <c r="Z20" i="5" s="1"/>
  <c r="C7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F18" i="8" l="1"/>
  <c r="F9" i="8"/>
  <c r="E8" i="8"/>
  <c r="L5" i="8" s="1"/>
  <c r="S5" i="8" s="1"/>
  <c r="E17" i="8"/>
  <c r="F13" i="8"/>
  <c r="E5" i="8"/>
  <c r="F6" i="8"/>
  <c r="M2" i="8" s="1"/>
  <c r="E4" i="8"/>
  <c r="E7" i="8"/>
  <c r="F7" i="8"/>
  <c r="E15" i="8"/>
  <c r="F15" i="8"/>
  <c r="E10" i="8"/>
  <c r="L4" i="8" s="1"/>
  <c r="F10" i="8"/>
  <c r="M4" i="8" s="1"/>
  <c r="F12" i="8"/>
  <c r="E12" i="8"/>
  <c r="F58" i="10"/>
  <c r="B68" i="10"/>
  <c r="D65" i="10"/>
  <c r="D66" i="10" s="1"/>
  <c r="C67" i="10"/>
  <c r="D31" i="10"/>
  <c r="D32" i="10" s="1"/>
  <c r="B33" i="10"/>
  <c r="D17" i="10"/>
  <c r="E23" i="10"/>
  <c r="E25" i="10"/>
  <c r="E24" i="10"/>
  <c r="M5" i="8"/>
  <c r="T5" i="8" s="1"/>
  <c r="F3" i="8"/>
  <c r="E3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Q21" i="7"/>
  <c r="Q7" i="16"/>
  <c r="P7" i="16"/>
  <c r="Q5" i="8"/>
  <c r="R5" i="8" s="1"/>
  <c r="J16" i="8"/>
  <c r="K5" i="8"/>
  <c r="J17" i="8"/>
  <c r="K17" i="8" s="1"/>
  <c r="K6" i="8"/>
  <c r="C33" i="10"/>
  <c r="Q5" i="16"/>
  <c r="P5" i="16"/>
  <c r="Q6" i="16"/>
  <c r="P6" i="16"/>
  <c r="Q3" i="8"/>
  <c r="R3" i="8" s="1"/>
  <c r="J14" i="8"/>
  <c r="K3" i="8"/>
  <c r="Q4" i="8"/>
  <c r="R4" i="8" s="1"/>
  <c r="J15" i="8"/>
  <c r="K4" i="8"/>
  <c r="G58" i="10" l="1"/>
  <c r="C68" i="10"/>
  <c r="E65" i="10"/>
  <c r="E66" i="10" s="1"/>
  <c r="D67" i="10"/>
  <c r="E17" i="10"/>
  <c r="E22" i="10"/>
  <c r="F25" i="10"/>
  <c r="F29" i="10" s="1"/>
  <c r="F23" i="10"/>
  <c r="F27" i="10" s="1"/>
  <c r="F24" i="10"/>
  <c r="F28" i="10" s="1"/>
  <c r="K15" i="8"/>
  <c r="Q15" i="8"/>
  <c r="R15" i="8" s="1"/>
  <c r="K13" i="8"/>
  <c r="Q13" i="8"/>
  <c r="R13" i="8" s="1"/>
  <c r="D33" i="10"/>
  <c r="E32" i="10"/>
  <c r="L6" i="8"/>
  <c r="S4" i="8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7" i="8"/>
  <c r="K7" i="8"/>
  <c r="H58" i="10" l="1"/>
  <c r="D68" i="10"/>
  <c r="F65" i="10"/>
  <c r="F66" i="10" s="1"/>
  <c r="E67" i="10"/>
  <c r="G25" i="10"/>
  <c r="G23" i="10"/>
  <c r="G24" i="10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L30" i="10"/>
  <c r="M30" i="10" s="1"/>
  <c r="K31" i="10"/>
  <c r="E33" i="10"/>
  <c r="I58" i="10" l="1"/>
  <c r="E68" i="10"/>
  <c r="G65" i="10"/>
  <c r="G66" i="10" s="1"/>
  <c r="F67" i="10"/>
  <c r="H24" i="10"/>
  <c r="H28" i="10" s="1"/>
  <c r="H25" i="10"/>
  <c r="H29" i="10" s="1"/>
  <c r="H23" i="10"/>
  <c r="H27" i="10" s="1"/>
  <c r="G17" i="10"/>
  <c r="G22" i="10"/>
  <c r="M17" i="8"/>
  <c r="M14" i="8"/>
  <c r="T14" i="8" s="1"/>
  <c r="M16" i="8"/>
  <c r="T16" i="8" s="1"/>
  <c r="M13" i="8"/>
  <c r="F33" i="10"/>
  <c r="G32" i="10"/>
  <c r="L13" i="8"/>
  <c r="L16" i="8"/>
  <c r="S16" i="8" s="1"/>
  <c r="M31" i="10"/>
  <c r="N30" i="10"/>
  <c r="O30" i="10" s="1"/>
  <c r="L15" i="8"/>
  <c r="S15" i="8" s="1"/>
  <c r="M15" i="8"/>
  <c r="T15" i="8" s="1"/>
  <c r="L14" i="8"/>
  <c r="S14" i="8" s="1"/>
  <c r="J58" i="10" l="1"/>
  <c r="F68" i="10"/>
  <c r="H65" i="10"/>
  <c r="H66" i="10" s="1"/>
  <c r="G67" i="10"/>
  <c r="H17" i="10"/>
  <c r="H22" i="10"/>
  <c r="H26" i="10" s="1"/>
  <c r="H31" i="10" s="1"/>
  <c r="H32" i="10" s="1"/>
  <c r="I25" i="10"/>
  <c r="I23" i="10"/>
  <c r="I24" i="10"/>
  <c r="O31" i="10"/>
  <c r="P30" i="10"/>
  <c r="Q30" i="10" s="1"/>
  <c r="S13" i="8"/>
  <c r="S18" i="8" s="1"/>
  <c r="L18" i="8"/>
  <c r="G33" i="10"/>
  <c r="T13" i="8"/>
  <c r="T18" i="8" s="1"/>
  <c r="M18" i="8"/>
  <c r="K58" i="10" l="1"/>
  <c r="G68" i="10"/>
  <c r="I65" i="10"/>
  <c r="I66" i="10" s="1"/>
  <c r="H67" i="10"/>
  <c r="J24" i="10"/>
  <c r="J28" i="10" s="1"/>
  <c r="J23" i="10"/>
  <c r="J27" i="10" s="1"/>
  <c r="J25" i="10"/>
  <c r="J29" i="10" s="1"/>
  <c r="I22" i="10"/>
  <c r="I17" i="10"/>
  <c r="I32" i="10"/>
  <c r="H33" i="10"/>
  <c r="Q31" i="10"/>
  <c r="R30" i="10"/>
  <c r="S30" i="10" s="1"/>
  <c r="L58" i="10" l="1"/>
  <c r="H68" i="10"/>
  <c r="J65" i="10"/>
  <c r="J66" i="10" s="1"/>
  <c r="I67" i="10"/>
  <c r="K24" i="10"/>
  <c r="K25" i="10"/>
  <c r="K23" i="10"/>
  <c r="J17" i="10"/>
  <c r="J22" i="10"/>
  <c r="J26" i="10" s="1"/>
  <c r="J31" i="10" s="1"/>
  <c r="J32" i="10" s="1"/>
  <c r="I33" i="10"/>
  <c r="T30" i="10"/>
  <c r="U30" i="10" s="1"/>
  <c r="S31" i="10"/>
  <c r="M58" i="10" l="1"/>
  <c r="I68" i="10"/>
  <c r="K65" i="10"/>
  <c r="K66" i="10" s="1"/>
  <c r="J67" i="10"/>
  <c r="K22" i="10"/>
  <c r="K17" i="10"/>
  <c r="L24" i="10"/>
  <c r="L28" i="10" s="1"/>
  <c r="L23" i="10"/>
  <c r="L27" i="10" s="1"/>
  <c r="L25" i="10"/>
  <c r="L29" i="10" s="1"/>
  <c r="U31" i="10"/>
  <c r="V30" i="10"/>
  <c r="W30" i="10" s="1"/>
  <c r="K32" i="10"/>
  <c r="J33" i="10"/>
  <c r="N58" i="10" l="1"/>
  <c r="J68" i="10"/>
  <c r="L65" i="10"/>
  <c r="L66" i="10" s="1"/>
  <c r="K67" i="10"/>
  <c r="L22" i="10"/>
  <c r="L26" i="10" s="1"/>
  <c r="L31" i="10" s="1"/>
  <c r="L32" i="10" s="1"/>
  <c r="L17" i="10"/>
  <c r="M24" i="10"/>
  <c r="M23" i="10"/>
  <c r="M25" i="10"/>
  <c r="K33" i="10"/>
  <c r="W31" i="10"/>
  <c r="X30" i="10"/>
  <c r="Y30" i="10" s="1"/>
  <c r="O58" i="10" l="1"/>
  <c r="K68" i="10"/>
  <c r="M65" i="10"/>
  <c r="M66" i="10" s="1"/>
  <c r="L67" i="10"/>
  <c r="N24" i="10"/>
  <c r="N28" i="10" s="1"/>
  <c r="N23" i="10"/>
  <c r="N27" i="10" s="1"/>
  <c r="N25" i="10"/>
  <c r="N29" i="10" s="1"/>
  <c r="M17" i="10"/>
  <c r="M22" i="10"/>
  <c r="Y31" i="10"/>
  <c r="Z30" i="10"/>
  <c r="AA30" i="10" s="1"/>
  <c r="L33" i="10"/>
  <c r="M32" i="10"/>
  <c r="P58" i="10" l="1"/>
  <c r="L68" i="10"/>
  <c r="N65" i="10"/>
  <c r="N66" i="10" s="1"/>
  <c r="M67" i="10"/>
  <c r="N22" i="10"/>
  <c r="N26" i="10" s="1"/>
  <c r="N31" i="10" s="1"/>
  <c r="N32" i="10" s="1"/>
  <c r="N17" i="10"/>
  <c r="O25" i="10"/>
  <c r="O24" i="10"/>
  <c r="O23" i="10"/>
  <c r="M33" i="10"/>
  <c r="AB30" i="10"/>
  <c r="AC30" i="10" s="1"/>
  <c r="AA31" i="10"/>
  <c r="M68" i="10" l="1"/>
  <c r="O65" i="10"/>
  <c r="O66" i="10" s="1"/>
  <c r="N67" i="10"/>
  <c r="P23" i="10"/>
  <c r="P27" i="10" s="1"/>
  <c r="P24" i="10"/>
  <c r="P28" i="10" s="1"/>
  <c r="P25" i="10"/>
  <c r="P29" i="10" s="1"/>
  <c r="O17" i="10"/>
  <c r="O22" i="10"/>
  <c r="AD30" i="10"/>
  <c r="AC31" i="10"/>
  <c r="N33" i="10"/>
  <c r="O32" i="10"/>
  <c r="N68" i="10" l="1"/>
  <c r="P65" i="10"/>
  <c r="P66" i="10" s="1"/>
  <c r="O67" i="10"/>
  <c r="P17" i="10"/>
  <c r="P22" i="10"/>
  <c r="P26" i="10" s="1"/>
  <c r="P31" i="10" s="1"/>
  <c r="P32" i="10" s="1"/>
  <c r="Q24" i="10"/>
  <c r="Q23" i="10"/>
  <c r="Q25" i="10"/>
  <c r="O33" i="10"/>
  <c r="O68" i="10" l="1"/>
  <c r="Q66" i="10"/>
  <c r="P67" i="10"/>
  <c r="Q22" i="10"/>
  <c r="Q17" i="10"/>
  <c r="R23" i="10"/>
  <c r="R27" i="10" s="1"/>
  <c r="R25" i="10"/>
  <c r="R29" i="10" s="1"/>
  <c r="R24" i="10"/>
  <c r="R28" i="10" s="1"/>
  <c r="Q32" i="10"/>
  <c r="P33" i="10"/>
  <c r="Q67" i="10" l="1"/>
  <c r="Q68" i="10" s="1"/>
  <c r="P68" i="10"/>
  <c r="S24" i="10"/>
  <c r="S25" i="10"/>
  <c r="S23" i="10"/>
  <c r="R22" i="10"/>
  <c r="R26" i="10" s="1"/>
  <c r="R31" i="10" s="1"/>
  <c r="R32" i="10" s="1"/>
  <c r="R17" i="10"/>
  <c r="Q33" i="10"/>
  <c r="T25" i="10" l="1"/>
  <c r="T29" i="10" s="1"/>
  <c r="T24" i="10"/>
  <c r="T28" i="10" s="1"/>
  <c r="T23" i="10"/>
  <c r="T27" i="10" s="1"/>
  <c r="S17" i="10"/>
  <c r="S22" i="10"/>
  <c r="S32" i="10"/>
  <c r="R33" i="10"/>
  <c r="T22" i="10" l="1"/>
  <c r="T26" i="10" s="1"/>
  <c r="T31" i="10" s="1"/>
  <c r="T32" i="10" s="1"/>
  <c r="T17" i="10"/>
  <c r="U23" i="10"/>
  <c r="U25" i="10"/>
  <c r="U24" i="10"/>
  <c r="S33" i="10"/>
  <c r="V23" i="10" l="1"/>
  <c r="V27" i="10" s="1"/>
  <c r="V24" i="10"/>
  <c r="V28" i="10" s="1"/>
  <c r="V25" i="10"/>
  <c r="V29" i="10" s="1"/>
  <c r="U17" i="10"/>
  <c r="U22" i="10"/>
  <c r="T33" i="10"/>
  <c r="U32" i="10"/>
  <c r="V17" i="10" l="1"/>
  <c r="V22" i="10"/>
  <c r="V26" i="10" s="1"/>
  <c r="V31" i="10" s="1"/>
  <c r="V32" i="10" s="1"/>
  <c r="W24" i="10"/>
  <c r="W25" i="10"/>
  <c r="W23" i="10"/>
  <c r="U33" i="10"/>
  <c r="X23" i="10" l="1"/>
  <c r="X27" i="10" s="1"/>
  <c r="X25" i="10"/>
  <c r="X29" i="10" s="1"/>
  <c r="X24" i="10"/>
  <c r="X28" i="10" s="1"/>
  <c r="W22" i="10"/>
  <c r="W17" i="10"/>
  <c r="V33" i="10"/>
  <c r="W32" i="10"/>
  <c r="Y25" i="10" l="1"/>
  <c r="Y23" i="10"/>
  <c r="Y24" i="10"/>
  <c r="X22" i="10"/>
  <c r="X26" i="10" s="1"/>
  <c r="X31" i="10" s="1"/>
  <c r="X32" i="10" s="1"/>
  <c r="X17" i="10"/>
  <c r="W33" i="10"/>
  <c r="Y22" i="10" l="1"/>
  <c r="Y17" i="10"/>
  <c r="Z25" i="10"/>
  <c r="Z29" i="10" s="1"/>
  <c r="Z24" i="10"/>
  <c r="Z28" i="10" s="1"/>
  <c r="Z23" i="10"/>
  <c r="Z27" i="10" s="1"/>
  <c r="Y32" i="10"/>
  <c r="X33" i="10"/>
  <c r="AA24" i="10" l="1"/>
  <c r="AA23" i="10"/>
  <c r="AA25" i="10"/>
  <c r="Z22" i="10"/>
  <c r="Z26" i="10" s="1"/>
  <c r="Z31" i="10" s="1"/>
  <c r="Z32" i="10" s="1"/>
  <c r="Z17" i="10"/>
  <c r="Y33" i="10"/>
  <c r="AA17" i="10" l="1"/>
  <c r="AA22" i="10"/>
  <c r="AB24" i="10"/>
  <c r="AB28" i="10" s="1"/>
  <c r="AB23" i="10"/>
  <c r="AB27" i="10" s="1"/>
  <c r="AB25" i="10"/>
  <c r="AB29" i="10" s="1"/>
  <c r="AA32" i="10"/>
  <c r="Z33" i="10"/>
  <c r="AB17" i="10" l="1"/>
  <c r="AB22" i="10"/>
  <c r="AB26" i="10" s="1"/>
  <c r="AB31" i="10" s="1"/>
  <c r="AB32" i="10" s="1"/>
  <c r="AC25" i="10"/>
  <c r="AC23" i="10"/>
  <c r="AC24" i="10"/>
  <c r="AA33" i="10"/>
  <c r="AD23" i="10" l="1"/>
  <c r="AD27" i="10" s="1"/>
  <c r="AD25" i="10"/>
  <c r="AD29" i="10" s="1"/>
  <c r="AD24" i="10"/>
  <c r="AD28" i="10" s="1"/>
  <c r="AC22" i="10"/>
  <c r="AC17" i="10"/>
  <c r="AB33" i="10"/>
  <c r="AC32" i="10"/>
  <c r="AE20" i="10" l="1"/>
  <c r="AE18" i="10"/>
  <c r="AE21" i="10"/>
  <c r="AE19" i="10"/>
  <c r="AD17" i="10"/>
  <c r="AD22" i="10"/>
  <c r="AD26" i="10" s="1"/>
  <c r="AD31" i="10" s="1"/>
  <c r="AD32" i="10" s="1"/>
  <c r="AD33" i="10" s="1"/>
  <c r="AC33" i="10"/>
  <c r="AF19" i="10" l="1"/>
  <c r="AF18" i="10"/>
  <c r="AF20" i="10"/>
  <c r="AF21" i="10"/>
  <c r="AG19" i="10" l="1"/>
  <c r="AG21" i="10"/>
  <c r="AG20" i="10"/>
  <c r="AG18" i="10"/>
  <c r="AH21" i="10" l="1"/>
  <c r="AH19" i="10"/>
  <c r="AH20" i="10"/>
  <c r="AH18" i="10"/>
  <c r="AI18" i="10" l="1"/>
  <c r="AI21" i="10"/>
  <c r="AI19" i="10"/>
  <c r="AI20" i="10"/>
  <c r="AJ18" i="10" l="1"/>
  <c r="AJ21" i="10"/>
  <c r="AJ19" i="10"/>
  <c r="AJ20" i="10"/>
  <c r="D6" i="20"/>
  <c r="D2" i="20"/>
  <c r="D5" i="20"/>
  <c r="D3" i="20"/>
  <c r="D4" i="20"/>
  <c r="G7" i="20" l="1"/>
  <c r="G2" i="20" s="1"/>
  <c r="H17" i="20" l="1"/>
  <c r="H18" i="20"/>
  <c r="H16" i="20"/>
  <c r="H2" i="20"/>
  <c r="H5" i="20"/>
  <c r="H21" i="20"/>
  <c r="H19" i="20"/>
  <c r="H8" i="20"/>
  <c r="H14" i="20"/>
  <c r="H20" i="20"/>
  <c r="H15" i="20"/>
  <c r="J2" i="20"/>
  <c r="H3" i="20"/>
  <c r="H10" i="20"/>
  <c r="H9" i="20"/>
  <c r="H4" i="20"/>
  <c r="H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<sst xmlns="http://schemas.openxmlformats.org/spreadsheetml/2006/main" count="2797" uniqueCount="1619">
  <si>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</si>
  <si>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</si>
  <si>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</si>
  <si>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</si>
  <si>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</si>
  <si>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</si>
  <si>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</si>
  <si>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</si>
  <si>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</si>
  <si>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</si>
  <si>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</si>
  <si>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</si>
  <si>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</si>
  <si>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</si>
  <si>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</si>
  <si>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</si>
  <si>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</si>
  <si>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</si>
  <si>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</si>
  <si>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</si>
  <si>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</si>
  <si>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</si>
  <si>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Rasheed Da'na</t>
  </si>
  <si>
    <t>12*</t>
  </si>
  <si>
    <t>Juan Garcia Peñuela</t>
  </si>
  <si>
    <t>Iván Real Figueroa</t>
  </si>
  <si>
    <t>FORA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</si>
  <si>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</si>
  <si>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</si>
  <si>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</si>
  <si>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</si>
  <si>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</si>
  <si>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</si>
  <si>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</si>
  <si>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</si>
  <si>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</si>
  <si>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</si>
  <si>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</si>
  <si>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</si>
  <si>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</si>
  <si>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</si>
  <si>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</si>
  <si>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</si>
  <si>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</si>
  <si>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</si>
  <si>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</si>
  <si>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</si>
  <si>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</si>
  <si>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</si>
  <si>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</si>
  <si>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</si>
  <si>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</si>
  <si>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</si>
  <si>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</si>
  <si>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</si>
  <si>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</si>
  <si>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</si>
  <si>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</si>
  <si>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</si>
  <si>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</si>
  <si>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</si>
  <si>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</si>
  <si>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</si>
  <si>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</si>
  <si>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</si>
  <si>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</si>
  <si>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</si>
  <si>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</si>
  <si>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</si>
  <si>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</si>
  <si>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</si>
  <si>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</si>
  <si>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</si>
  <si>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</si>
  <si>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</si>
  <si>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</si>
  <si>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</si>
  <si>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</si>
  <si>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</si>
  <si>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</si>
  <si>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</si>
  <si>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</si>
  <si>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</si>
  <si>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</si>
  <si>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</si>
  <si>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</si>
  <si>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</si>
  <si>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</si>
  <si>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</si>
  <si>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</si>
  <si>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</si>
  <si>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</si>
  <si>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</si>
  <si>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</si>
  <si>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</si>
  <si>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</si>
  <si>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</si>
  <si>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</si>
  <si>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</si>
  <si>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</si>
  <si>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</si>
  <si>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</si>
  <si>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</si>
  <si>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</si>
  <si>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</si>
  <si>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</si>
  <si>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</si>
  <si>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</si>
  <si>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</si>
  <si>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</si>
  <si>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</si>
  <si>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</si>
  <si>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</si>
  <si>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</si>
  <si>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</si>
  <si>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</si>
  <si>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</si>
  <si>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</si>
  <si>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</si>
  <si>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</si>
  <si>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</si>
  <si>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</si>
  <si>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</si>
  <si>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</si>
  <si>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</si>
  <si>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</si>
  <si>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</si>
  <si>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</si>
  <si>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</si>
  <si>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</si>
  <si>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</si>
  <si>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</si>
  <si>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</si>
  <si>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</si>
  <si>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</si>
  <si>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</si>
  <si>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</si>
  <si>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</si>
  <si>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</si>
  <si>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</si>
  <si>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</si>
  <si>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</si>
  <si>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</si>
  <si>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</si>
  <si>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</si>
  <si>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</si>
  <si>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</si>
  <si>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</si>
  <si>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</si>
  <si>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</si>
  <si>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</si>
  <si>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</si>
  <si>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</si>
  <si>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</si>
  <si>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</si>
  <si>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</si>
  <si>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</si>
  <si>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</si>
  <si>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</si>
  <si>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</si>
  <si>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</si>
  <si>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</si>
  <si>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</si>
  <si>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</si>
  <si>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</si>
  <si>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</si>
  <si>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</si>
  <si>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</si>
  <si>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</si>
  <si>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</si>
  <si>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</si>
  <si>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</si>
  <si>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</si>
  <si>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</si>
  <si>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</si>
  <si>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</si>
  <si>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Jugador</t>
  </si>
  <si>
    <t>Edad</t>
  </si>
  <si>
    <t>Esp</t>
  </si>
  <si>
    <t>Asc</t>
  </si>
  <si>
    <t>Promoción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</si>
  <si>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</si>
  <si>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</si>
  <si>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</si>
  <si>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</si>
  <si>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</si>
  <si>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</si>
  <si>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</si>
  <si>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</si>
  <si>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</si>
  <si>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</si>
  <si>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DL</t>
  </si>
  <si>
    <t>Atributs</t>
  </si>
  <si>
    <t>Fecha</t>
  </si>
  <si>
    <t>IMPORTANTES</t>
  </si>
  <si>
    <t>Info</t>
  </si>
  <si>
    <t>Habilidades</t>
  </si>
  <si>
    <t>Mejor Partido</t>
  </si>
  <si>
    <t>RELEVANTES</t>
  </si>
  <si>
    <t>TEC</t>
  </si>
  <si>
    <t>Actualización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</si>
  <si>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</si>
  <si>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</si>
  <si>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</si>
  <si>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</si>
  <si>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</si>
  <si>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</si>
  <si>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</si>
  <si>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</si>
  <si>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</si>
  <si>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</si>
  <si>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</si>
  <si>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</si>
  <si>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</si>
  <si>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</si>
  <si>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</si>
  <si>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</si>
  <si>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</si>
  <si>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</si>
  <si>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</si>
  <si>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</si>
  <si>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</si>
  <si>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</si>
  <si>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</si>
  <si>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</si>
  <si>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</si>
  <si>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</si>
  <si>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</si>
  <si>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</si>
  <si>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</si>
  <si>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</si>
  <si>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</si>
  <si>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</si>
  <si>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</si>
  <si>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</si>
  <si>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</si>
  <si>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</si>
  <si>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</si>
  <si>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</si>
  <si>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</si>
  <si>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</si>
  <si>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</si>
  <si>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</si>
  <si>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</si>
  <si>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</si>
  <si>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</si>
  <si>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</si>
  <si>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</si>
  <si>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</si>
  <si>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</si>
  <si>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</si>
  <si>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</si>
  <si>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</si>
  <si>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</si>
  <si>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</si>
  <si>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</si>
  <si>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</si>
  <si>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</si>
  <si>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</si>
  <si>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</si>
  <si>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</si>
  <si>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</si>
  <si>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</si>
  <si>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</si>
  <si>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</si>
  <si>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</si>
  <si>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</si>
  <si>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</si>
  <si>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</si>
  <si>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</si>
  <si>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</si>
  <si>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</si>
  <si>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</si>
  <si>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</si>
  <si>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</si>
  <si>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</si>
  <si>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</si>
  <si>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</si>
  <si>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</si>
  <si>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</si>
  <si>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</si>
  <si>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</si>
  <si>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</si>
  <si>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</si>
  <si>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</si>
  <si>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</si>
  <si>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</si>
  <si>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</si>
  <si>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</si>
  <si>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</si>
  <si>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</si>
  <si>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</si>
  <si>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</si>
  <si>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</si>
  <si>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</si>
  <si>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</si>
  <si>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</si>
  <si>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</si>
  <si>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</si>
  <si>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</si>
  <si>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</si>
  <si>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</si>
  <si>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</si>
  <si>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</si>
  <si>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</si>
  <si>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</si>
  <si>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</si>
  <si>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</si>
  <si>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</si>
  <si>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</si>
  <si>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</si>
  <si>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</si>
  <si>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</si>
  <si>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</si>
  <si>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</si>
  <si>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</si>
  <si>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</si>
  <si>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</si>
  <si>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</si>
  <si>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</si>
  <si>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</si>
  <si>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</si>
  <si>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</si>
  <si>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</si>
  <si>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</si>
  <si>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</si>
  <si>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</si>
  <si>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</si>
  <si>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</si>
  <si>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</si>
  <si>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</si>
  <si>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</si>
  <si>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</si>
  <si>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</si>
  <si>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</si>
  <si>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</si>
  <si>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</si>
  <si>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</si>
  <si>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</si>
  <si>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</si>
  <si>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</si>
  <si>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</si>
  <si>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</si>
  <si>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</si>
  <si>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</si>
  <si>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</si>
  <si>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</si>
  <si>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</si>
  <si>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</si>
  <si>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</si>
  <si>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</si>
  <si>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</si>
  <si>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</si>
  <si>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</si>
  <si>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</si>
  <si>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</si>
  <si>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Jugadores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</si>
  <si>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</si>
  <si>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</si>
  <si>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</si>
  <si>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</si>
  <si>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</si>
  <si>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</si>
  <si>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</si>
  <si>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</si>
  <si>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</si>
  <si>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</si>
  <si>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</si>
  <si>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</si>
  <si>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</si>
  <si>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</si>
  <si>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</si>
  <si>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</si>
  <si>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</si>
  <si>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</si>
  <si>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</si>
  <si>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</si>
  <si>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</si>
  <si>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</si>
  <si>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</si>
  <si>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</si>
  <si>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</si>
  <si>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</si>
  <si>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</si>
  <si>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</si>
  <si>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</si>
  <si>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</si>
  <si>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</si>
  <si>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</si>
  <si>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</si>
  <si>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</si>
  <si>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</si>
  <si>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</si>
  <si>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</si>
  <si>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</si>
  <si>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</si>
  <si>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</si>
  <si>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</si>
  <si>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</si>
  <si>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</si>
  <si>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</si>
  <si>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</si>
  <si>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</si>
  <si>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</si>
  <si>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</si>
  <si>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</si>
  <si>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</si>
  <si>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</si>
  <si>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</si>
  <si>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</si>
  <si>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</si>
  <si>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</si>
  <si>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</si>
  <si>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</si>
  <si>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</si>
  <si>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</si>
  <si>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</si>
  <si>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</si>
  <si>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</si>
  <si>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</si>
  <si>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</si>
  <si>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</si>
  <si>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</si>
  <si>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</si>
  <si>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</si>
  <si>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</si>
  <si>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</si>
  <si>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</si>
  <si>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</si>
  <si>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</si>
  <si>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</si>
  <si>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</si>
  <si>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</si>
  <si>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</si>
  <si>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</si>
  <si>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</si>
  <si>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</si>
  <si>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</si>
  <si>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</si>
  <si>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</si>
  <si>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</si>
  <si>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</si>
  <si>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</si>
  <si>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</si>
  <si>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</si>
  <si>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</si>
  <si>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</si>
  <si>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</si>
  <si>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</si>
  <si>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</si>
  <si>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</si>
  <si>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</si>
  <si>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</si>
  <si>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</si>
  <si>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</si>
  <si>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</si>
  <si>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</si>
  <si>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</si>
  <si>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</si>
  <si>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</si>
  <si>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</si>
  <si>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</si>
  <si>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</si>
  <si>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</si>
  <si>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</si>
  <si>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</si>
  <si>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</si>
  <si>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</si>
  <si>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</si>
  <si>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</si>
  <si>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</si>
  <si>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</si>
  <si>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</si>
  <si>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</si>
  <si>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</si>
  <si>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</si>
  <si>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</si>
  <si>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</si>
  <si>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</si>
  <si>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</si>
  <si>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</si>
  <si>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</si>
  <si>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</si>
  <si>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</si>
  <si>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</si>
  <si>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</si>
  <si>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</si>
  <si>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</si>
  <si>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</si>
  <si>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</si>
  <si>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</si>
  <si>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</si>
  <si>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</si>
  <si>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</si>
  <si>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</si>
  <si>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</si>
  <si>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</si>
  <si>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</si>
  <si>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</si>
  <si>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</si>
  <si>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</si>
  <si>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</si>
  <si>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</si>
  <si>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</si>
  <si>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</si>
  <si>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</si>
  <si>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</si>
  <si>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</si>
  <si>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</si>
  <si>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</si>
  <si>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</si>
  <si>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</si>
  <si>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</si>
  <si>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</si>
  <si>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</si>
  <si>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</si>
  <si>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</si>
  <si>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</si>
  <si>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</si>
  <si>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</si>
  <si>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</si>
  <si>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</si>
  <si>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</si>
  <si>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</si>
  <si>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</si>
  <si>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</si>
  <si>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</si>
  <si>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</si>
  <si>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</si>
  <si>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</si>
  <si>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</si>
  <si>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</si>
  <si>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</si>
  <si>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</si>
  <si>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</si>
  <si>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</si>
  <si>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</si>
  <si>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</si>
  <si>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</si>
  <si>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</si>
  <si>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</si>
  <si>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</si>
  <si>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</si>
  <si>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</si>
  <si>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</si>
  <si>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</si>
  <si>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</si>
  <si>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</si>
  <si>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</si>
  <si>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</si>
  <si>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</si>
  <si>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</si>
  <si>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</si>
  <si>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</si>
  <si>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</si>
  <si>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</si>
  <si>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</si>
  <si>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</si>
  <si>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</si>
  <si>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</si>
  <si>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</si>
  <si>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</si>
  <si>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</si>
  <si>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</si>
  <si>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</si>
  <si>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</si>
  <si>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</si>
  <si>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</si>
  <si>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</si>
  <si>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</si>
  <si>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</si>
  <si>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</si>
  <si>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</si>
  <si>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</si>
  <si>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</si>
  <si>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</si>
  <si>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</si>
  <si>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</si>
  <si>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</si>
  <si>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</si>
  <si>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</si>
  <si>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</si>
  <si>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</si>
  <si>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</si>
  <si>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</si>
  <si>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</si>
  <si>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</si>
  <si>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</si>
  <si>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</si>
  <si>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</si>
  <si>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</si>
  <si>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</si>
  <si>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</si>
  <si>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</si>
  <si>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</si>
  <si>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</si>
  <si>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</si>
  <si>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</si>
  <si>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</si>
  <si>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</si>
  <si>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</si>
  <si>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</si>
  <si>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</si>
  <si>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</si>
  <si>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</si>
  <si>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</si>
  <si>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</si>
  <si>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</si>
  <si>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</si>
  <si>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</si>
  <si>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</si>
  <si>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</si>
  <si>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</si>
  <si>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</si>
  <si>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</si>
  <si>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</si>
  <si>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</si>
  <si>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</si>
  <si>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</si>
  <si>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</si>
  <si>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</si>
  <si>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</si>
  <si>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</si>
  <si>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</si>
  <si>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</si>
  <si>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</si>
  <si>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</si>
  <si>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</si>
  <si>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</si>
  <si>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</si>
  <si>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</si>
  <si>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</si>
  <si>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</si>
  <si>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</si>
  <si>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</si>
  <si>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</si>
  <si>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</si>
  <si>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</si>
  <si>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</si>
  <si>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</si>
  <si>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</si>
  <si>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</si>
  <si>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</si>
  <si>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</si>
  <si>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</si>
  <si>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</si>
  <si>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</si>
  <si>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</si>
  <si>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</si>
  <si>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</si>
  <si>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</si>
  <si>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</si>
  <si>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</si>
  <si>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</si>
  <si>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</si>
  <si>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</si>
  <si>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Coste_36</t>
  </si>
  <si>
    <t>Coste_34</t>
  </si>
  <si>
    <t>C_T36</t>
  </si>
  <si>
    <t>C_T34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</si>
  <si>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</si>
  <si>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</si>
  <si>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</si>
  <si>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</si>
  <si>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</si>
  <si>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</si>
  <si>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</si>
  <si>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</si>
  <si>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</si>
  <si>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</si>
  <si>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</si>
  <si>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</si>
  <si>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</si>
  <si>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</si>
  <si>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</si>
  <si>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</si>
  <si>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</si>
  <si>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</si>
  <si>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</si>
  <si>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</si>
  <si>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</si>
  <si>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</si>
  <si>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</si>
  <si>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</si>
  <si>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</si>
  <si>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</si>
  <si>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</si>
  <si>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</si>
  <si>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</si>
  <si>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</si>
  <si>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</si>
  <si>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</si>
  <si>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</si>
  <si>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</si>
  <si>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</si>
  <si>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</si>
  <si>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</si>
  <si>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</si>
  <si>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</si>
  <si>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</si>
  <si>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</si>
  <si>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</si>
  <si>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</si>
  <si>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</si>
  <si>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</si>
  <si>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</si>
  <si>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</si>
  <si>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</si>
  <si>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</si>
  <si>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</si>
  <si>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</si>
  <si>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</si>
  <si>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</si>
  <si>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</si>
  <si>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</si>
  <si>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</si>
  <si>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</si>
  <si>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</si>
  <si>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</si>
  <si>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</si>
  <si>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</si>
  <si>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</si>
  <si>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</si>
  <si>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</si>
  <si>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</si>
  <si>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</si>
  <si>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</si>
  <si>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</si>
  <si>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</si>
  <si>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</si>
  <si>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Meraj Siddiqui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</si>
  <si>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</si>
  <si>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</si>
  <si>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</si>
  <si>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</si>
  <si>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</si>
  <si>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</si>
  <si>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</si>
  <si>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</si>
  <si>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</si>
  <si>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</si>
  <si>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</si>
  <si>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</si>
  <si>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</si>
  <si>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</si>
  <si>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</si>
  <si>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</si>
  <si>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</si>
  <si>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</si>
  <si>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</si>
  <si>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</si>
  <si>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</si>
  <si>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</si>
  <si>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</si>
  <si>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</si>
  <si>
    <t>Reservas</t>
  </si>
  <si>
    <t>Tipo</t>
  </si>
  <si>
    <t>Entrenable</t>
  </si>
  <si>
    <t>Roxelio Reborado</t>
  </si>
  <si>
    <t>Nicolás Galaz</t>
  </si>
  <si>
    <t>Leandro Faias</t>
  </si>
  <si>
    <t>Miguel Fernandez</t>
  </si>
  <si>
    <t>Julian Grabitz</t>
  </si>
  <si>
    <t>RESERVA Inicial</t>
  </si>
  <si>
    <t>RESERVA Final</t>
  </si>
  <si>
    <t>Inversión</t>
  </si>
  <si>
    <t>Amortización</t>
  </si>
  <si>
    <t>Fonteboa</t>
  </si>
  <si>
    <t>PrecioContable</t>
  </si>
  <si>
    <t>Pedrajas</t>
  </si>
  <si>
    <t>Duffill</t>
  </si>
  <si>
    <t>Abandero</t>
  </si>
  <si>
    <t>Gomis</t>
  </si>
  <si>
    <t>Oset</t>
  </si>
  <si>
    <t>Cubas</t>
  </si>
  <si>
    <t>Añigas</t>
  </si>
  <si>
    <t>El Halcon</t>
  </si>
  <si>
    <t>Peñuela</t>
  </si>
  <si>
    <t>Galaz</t>
  </si>
  <si>
    <t>Figueroa</t>
  </si>
  <si>
    <t>Faias</t>
  </si>
  <si>
    <t>Hornet</t>
  </si>
  <si>
    <t>PrecioComp</t>
  </si>
  <si>
    <t>Amortizacion</t>
  </si>
  <si>
    <t>Reservas de la Junta</t>
  </si>
  <si>
    <t>Inicial</t>
  </si>
  <si>
    <t>Final</t>
  </si>
  <si>
    <t>Valor de Compra</t>
  </si>
  <si>
    <t>Venta Jugadores</t>
  </si>
  <si>
    <t>Compra Jugadores</t>
  </si>
  <si>
    <t>Ingreso a Reservas</t>
  </si>
  <si>
    <t>Pago a Reservas</t>
  </si>
  <si>
    <t>ByP Acumulado</t>
  </si>
  <si>
    <t>Mantenimieto</t>
  </si>
  <si>
    <t>Ultima Actu</t>
  </si>
  <si>
    <t>III.12</t>
  </si>
  <si>
    <t>A.D.C. Valadouro</t>
  </si>
  <si>
    <t>Primera (2)</t>
  </si>
  <si>
    <t>31(71)</t>
  </si>
  <si>
    <t>Notable - Neu - Acep</t>
  </si>
  <si>
    <t>253 - 352</t>
  </si>
  <si>
    <t>Estela Reynolds Fan Club</t>
  </si>
  <si>
    <t>Barbecho</t>
  </si>
  <si>
    <t>Kalañita Team</t>
  </si>
  <si>
    <t>Euskadi</t>
  </si>
  <si>
    <t>III (3)</t>
  </si>
  <si>
    <t>27(61)</t>
  </si>
  <si>
    <t>KIMESBE</t>
  </si>
  <si>
    <t>II (2)</t>
  </si>
  <si>
    <t>32(16)</t>
  </si>
  <si>
    <t>Notable - Neu - Deb</t>
  </si>
  <si>
    <t>Club Atlético Gaditano</t>
  </si>
  <si>
    <t>IV (3)</t>
  </si>
  <si>
    <t>Notable - Def - Acep</t>
  </si>
  <si>
    <t>TL</t>
  </si>
  <si>
    <t>Son Rapinya</t>
  </si>
  <si>
    <t>Baleares</t>
  </si>
  <si>
    <t>III (10)</t>
  </si>
  <si>
    <t>27(50)</t>
  </si>
  <si>
    <t>Notable - Neu - Insuf</t>
  </si>
  <si>
    <t>F.C. COMANCHEROS</t>
  </si>
  <si>
    <t>Barcelona</t>
  </si>
  <si>
    <t>III (2)</t>
  </si>
  <si>
    <t>33 (9)</t>
  </si>
  <si>
    <t>28(53)</t>
  </si>
  <si>
    <t>Excelent - Neutro - Insuf</t>
  </si>
  <si>
    <t>27(58)</t>
  </si>
  <si>
    <t>Yoann Defaye</t>
  </si>
  <si>
    <t>Erik-Jan Oude Middendorp</t>
  </si>
  <si>
    <t>Kahidu Gerel</t>
  </si>
  <si>
    <t>Roberto Diprizio</t>
  </si>
  <si>
    <t>Nivel</t>
  </si>
  <si>
    <t>-</t>
  </si>
  <si>
    <t>Chulio Cabrio</t>
  </si>
  <si>
    <t>4</t>
  </si>
  <si>
    <t>Guillermo Checa Rubio</t>
  </si>
  <si>
    <t>5</t>
  </si>
  <si>
    <t>ByP</t>
  </si>
  <si>
    <t>Fernando Navarrete</t>
  </si>
  <si>
    <t>Caja Inicial</t>
  </si>
  <si>
    <t>Caja</t>
  </si>
  <si>
    <t>Caja Final</t>
  </si>
  <si>
    <t>Venta Canteranos</t>
  </si>
  <si>
    <t>ByP Canteranos</t>
  </si>
  <si>
    <t>ByP Compra-Venta</t>
  </si>
  <si>
    <t>Victor Diaz</t>
  </si>
  <si>
    <t>ByP Temporada 78</t>
  </si>
  <si>
    <t>Actico Corriente</t>
  </si>
  <si>
    <t>Pasivo Corriente</t>
  </si>
  <si>
    <t>Raimundo Platas</t>
  </si>
  <si>
    <t xml:space="preserve">1. Rodolfo Rinaldo Paso </t>
  </si>
  <si>
    <t>x</t>
  </si>
  <si>
    <t xml:space="preserve">2. Nicolás Galaz </t>
  </si>
  <si>
    <t xml:space="preserve">3. Julian Gräbitz </t>
  </si>
  <si>
    <t xml:space="preserve">4. Berto Abandero </t>
  </si>
  <si>
    <t xml:space="preserve">5. Enrique Cubas </t>
  </si>
  <si>
    <t xml:space="preserve">6. Valeri Gomis </t>
  </si>
  <si>
    <t xml:space="preserve">7. Wil Duffill </t>
  </si>
  <si>
    <t xml:space="preserve">8. Juan García Peñuela </t>
  </si>
  <si>
    <t xml:space="preserve">9. Meraj Siddiqui </t>
  </si>
  <si>
    <t xml:space="preserve">10. Leandro Faias </t>
  </si>
  <si>
    <t xml:space="preserve">11. Francesc Añigas </t>
  </si>
  <si>
    <t xml:space="preserve">12. Cosme Fonteboa </t>
  </si>
  <si>
    <t xml:space="preserve">2. Renato Galeano </t>
  </si>
  <si>
    <t xml:space="preserve">3. Enrique Cubas </t>
  </si>
  <si>
    <t xml:space="preserve">4. Julian Gräbitz </t>
  </si>
  <si>
    <t xml:space="preserve">5. Nicolás Galaz </t>
  </si>
  <si>
    <t xml:space="preserve">6. Wil Duffill </t>
  </si>
  <si>
    <t xml:space="preserve">7. Francesc Añigas </t>
  </si>
  <si>
    <t xml:space="preserve">8. Meraj Siddiqui </t>
  </si>
  <si>
    <t xml:space="preserve">9. Juan García Peñuela </t>
  </si>
  <si>
    <t xml:space="preserve">10. Venanci Oset </t>
  </si>
  <si>
    <t xml:space="preserve">11. Leandro Faias </t>
  </si>
  <si>
    <t xml:space="preserve">12. Berto Abandero </t>
  </si>
  <si>
    <t xml:space="preserve">13. Guillermo Pedrajas </t>
  </si>
  <si>
    <t xml:space="preserve">14. Valeri Gomis </t>
  </si>
  <si>
    <t xml:space="preserve">15. Iván Real Figueroa </t>
  </si>
  <si>
    <t xml:space="preserve">16. Cosme Fonteboa </t>
  </si>
  <si>
    <t xml:space="preserve">1. Enrique Cubas </t>
  </si>
  <si>
    <t xml:space="preserve">2. Wil Duffill </t>
  </si>
  <si>
    <t xml:space="preserve">3. Meraj Siddiqui </t>
  </si>
  <si>
    <t xml:space="preserve">4. Rodolfo Rinaldo Paso </t>
  </si>
  <si>
    <t xml:space="preserve">5. Julian Gräbitz </t>
  </si>
  <si>
    <t xml:space="preserve">6. Juan García Peñuela </t>
  </si>
  <si>
    <t xml:space="preserve">7. Guillermo Pedrajas </t>
  </si>
  <si>
    <t xml:space="preserve">8. Venanci Oset </t>
  </si>
  <si>
    <t xml:space="preserve">9. Renato Galeano </t>
  </si>
  <si>
    <t xml:space="preserve">10. Valeri Gomis </t>
  </si>
  <si>
    <t xml:space="preserve">11. Iván Real Figueroa </t>
  </si>
  <si>
    <t xml:space="preserve">12. Francesc Añigas </t>
  </si>
  <si>
    <t xml:space="preserve">13. Leandro Faias </t>
  </si>
  <si>
    <t xml:space="preserve">14. Berto Abandero </t>
  </si>
  <si>
    <t xml:space="preserve">15. Miguel Fernández </t>
  </si>
  <si>
    <t xml:space="preserve">2. Tommaso Niscola </t>
  </si>
  <si>
    <t xml:space="preserve">3. Wil Duffill </t>
  </si>
  <si>
    <t xml:space="preserve">4. Renato Galeano </t>
  </si>
  <si>
    <t xml:space="preserve">6. Enrique Cubas </t>
  </si>
  <si>
    <t xml:space="preserve">9. Miguel Fernández </t>
  </si>
  <si>
    <t xml:space="preserve">10. Iván Real Figueroa </t>
  </si>
  <si>
    <t xml:space="preserve">11. Venanci Oset </t>
  </si>
  <si>
    <t xml:space="preserve">12. Valeri Gomis </t>
  </si>
  <si>
    <t xml:space="preserve">13. Ryan Clarke </t>
  </si>
  <si>
    <t xml:space="preserve">15. Guillermo Pedrajas </t>
  </si>
  <si>
    <t xml:space="preserve">4. Juan García Peñuela </t>
  </si>
  <si>
    <t xml:space="preserve">5. Guillermo Pedrajas </t>
  </si>
  <si>
    <t xml:space="preserve">7. Stanislaw Zdankiewicz </t>
  </si>
  <si>
    <t xml:space="preserve">8. Tommaso Niscola </t>
  </si>
  <si>
    <t xml:space="preserve">9. Julian Gräbitz </t>
  </si>
  <si>
    <t xml:space="preserve">10. Francesc Añigas </t>
  </si>
  <si>
    <t xml:space="preserve">11. Berto Abandero </t>
  </si>
  <si>
    <t xml:space="preserve">12. David Garcia-Spiess </t>
  </si>
  <si>
    <t xml:space="preserve">13. Iván Real Figueroa </t>
  </si>
  <si>
    <t xml:space="preserve">14. Venanci Oset </t>
  </si>
  <si>
    <t xml:space="preserve">2. Leo Hilpinen </t>
  </si>
  <si>
    <t xml:space="preserve">3. Tommaso Niscola </t>
  </si>
  <si>
    <t xml:space="preserve">4. Wil Duffill </t>
  </si>
  <si>
    <t xml:space="preserve">5. Francesc Añigas </t>
  </si>
  <si>
    <t xml:space="preserve">6. Stanislaw Zdankiewicz </t>
  </si>
  <si>
    <t xml:space="preserve">7. Julian Gräbitz </t>
  </si>
  <si>
    <t xml:space="preserve">9. Berto Abandero </t>
  </si>
  <si>
    <t xml:space="preserve">11. Miguel Fernández </t>
  </si>
  <si>
    <t xml:space="preserve">14. Iván Real Figueroa </t>
  </si>
  <si>
    <t xml:space="preserve">1. Leo Hilpinen </t>
  </si>
  <si>
    <t xml:space="preserve">2. David Garcia-Spiess </t>
  </si>
  <si>
    <t xml:space="preserve">5. Valeri Gomis </t>
  </si>
  <si>
    <t xml:space="preserve">8. Stanislaw Zdankiewicz </t>
  </si>
  <si>
    <t xml:space="preserve">9. Emilio Rojas </t>
  </si>
  <si>
    <t xml:space="preserve">10. Berto Abandero </t>
  </si>
  <si>
    <t xml:space="preserve">11. Fabien Fabre </t>
  </si>
  <si>
    <t xml:space="preserve">12. Venanci Oset </t>
  </si>
  <si>
    <t xml:space="preserve">14. Miklós Gábriel </t>
  </si>
  <si>
    <t xml:space="preserve">15. Fernando Gazón </t>
  </si>
  <si>
    <t xml:space="preserve">16. Guillermo Pedrajas </t>
  </si>
  <si>
    <t xml:space="preserve">17. Cosme Fonteboa </t>
  </si>
  <si>
    <t xml:space="preserve">1. David Garcia-Spiess </t>
  </si>
  <si>
    <t xml:space="preserve">2. Francesc Añigas </t>
  </si>
  <si>
    <t xml:space="preserve">3. Miklós Gábriel </t>
  </si>
  <si>
    <t xml:space="preserve">5. Juan García Peñuela </t>
  </si>
  <si>
    <t xml:space="preserve">6. Guillermo Pedrajas </t>
  </si>
  <si>
    <t xml:space="preserve">7. Enrique Cubas </t>
  </si>
  <si>
    <t xml:space="preserve">8. Emilio Rojas </t>
  </si>
  <si>
    <t xml:space="preserve">9. Cornel Caraba </t>
  </si>
  <si>
    <t xml:space="preserve">12. Iván Real Figueroa </t>
  </si>
  <si>
    <t xml:space="preserve">13. Miguel Fernández </t>
  </si>
  <si>
    <t xml:space="preserve">1. Emilio Rojas </t>
  </si>
  <si>
    <t xml:space="preserve">2. Enrique Cubas </t>
  </si>
  <si>
    <t xml:space="preserve">6. Berto Abandero </t>
  </si>
  <si>
    <t xml:space="preserve">7. Fabien Fabre </t>
  </si>
  <si>
    <t xml:space="preserve">8. Valeri Gomis </t>
  </si>
  <si>
    <t xml:space="preserve">9. Wil Duffill </t>
  </si>
  <si>
    <t xml:space="preserve">10. Jurgen Muësen </t>
  </si>
  <si>
    <t xml:space="preserve">13. Cornel Caraba </t>
  </si>
  <si>
    <t xml:space="preserve">3. Roberto Abenoza </t>
  </si>
  <si>
    <t xml:space="preserve">5. Mauro Vaz </t>
  </si>
  <si>
    <t xml:space="preserve">6. Fernando Gazón </t>
  </si>
  <si>
    <t xml:space="preserve">7. Eckardt Hägerling </t>
  </si>
  <si>
    <t xml:space="preserve">8. Berto Abandero </t>
  </si>
  <si>
    <t xml:space="preserve">9. Raúl Riquelme </t>
  </si>
  <si>
    <t xml:space="preserve">10. Roberto Montero </t>
  </si>
  <si>
    <t xml:space="preserve">11. Seran Aranguren </t>
  </si>
  <si>
    <t xml:space="preserve">12. Wil Duffill </t>
  </si>
  <si>
    <t xml:space="preserve">13. Xofre Taín </t>
  </si>
  <si>
    <t xml:space="preserve">1. Wil Duffill </t>
  </si>
  <si>
    <t xml:space="preserve">2. Juan García Peñuela </t>
  </si>
  <si>
    <t xml:space="preserve">4. Roberto Abenoza </t>
  </si>
  <si>
    <t xml:space="preserve">5. Raúl Riquelme </t>
  </si>
  <si>
    <t xml:space="preserve">7. Manuel Parejo </t>
  </si>
  <si>
    <t xml:space="preserve">8. Xofre Taín </t>
  </si>
  <si>
    <t xml:space="preserve">9. Mauro Vaz </t>
  </si>
  <si>
    <t xml:space="preserve">10. Eckardt Hägerling </t>
  </si>
  <si>
    <t xml:space="preserve">11. Roberto Montero </t>
  </si>
  <si>
    <t xml:space="preserve">2. Roberto Abenoza </t>
  </si>
  <si>
    <t xml:space="preserve">3. Raúl Riquelme </t>
  </si>
  <si>
    <t xml:space="preserve">4. Valeri Gomis </t>
  </si>
  <si>
    <t xml:space="preserve">5. Casildo Abraldes </t>
  </si>
  <si>
    <t xml:space="preserve">6. Juan Gabriel de Minaya </t>
  </si>
  <si>
    <t xml:space="preserve">7. Juan García Peñuela </t>
  </si>
  <si>
    <t xml:space="preserve">8. Manuel Parejo </t>
  </si>
  <si>
    <t xml:space="preserve">9. Mateusz Brzostowski </t>
  </si>
  <si>
    <t xml:space="preserve">10. Morgan Thomas </t>
  </si>
  <si>
    <t xml:space="preserve">11. Rasheed Da'na </t>
  </si>
  <si>
    <t xml:space="preserve">12. Eckardt Hägerling </t>
  </si>
  <si>
    <t xml:space="preserve">13. Fernando Gazón </t>
  </si>
  <si>
    <t xml:space="preserve">14. Francesc Añigas </t>
  </si>
  <si>
    <t xml:space="preserve">15. Roberto Montero </t>
  </si>
  <si>
    <t xml:space="preserve">1. Saúl Piña </t>
  </si>
  <si>
    <t xml:space="preserve">2. Gianfranco Rezza </t>
  </si>
  <si>
    <t xml:space="preserve">3. Rasheed Da'na </t>
  </si>
  <si>
    <t xml:space="preserve">4. Iyad Chaabo </t>
  </si>
  <si>
    <t xml:space="preserve">5. Ibiur Altxakoa </t>
  </si>
  <si>
    <t xml:space="preserve">6. Jorge Walter Whitaker </t>
  </si>
  <si>
    <t xml:space="preserve">7. Adam Moss </t>
  </si>
  <si>
    <t xml:space="preserve">8. Csaba Mezo </t>
  </si>
  <si>
    <t xml:space="preserve">9. Morgan Thomas </t>
  </si>
  <si>
    <t xml:space="preserve">10. Cezary Pauch </t>
  </si>
  <si>
    <t xml:space="preserve">11. Emilio Mochelato </t>
  </si>
  <si>
    <t xml:space="preserve">12. Andrea Califano </t>
  </si>
  <si>
    <t xml:space="preserve">13. Mario Omarini </t>
  </si>
  <si>
    <t xml:space="preserve">14. Mateusz Brzostowski </t>
  </si>
  <si>
    <t xml:space="preserve">2. Adam Moss </t>
  </si>
  <si>
    <t xml:space="preserve">3. Mario Omarini </t>
  </si>
  <si>
    <t xml:space="preserve">4. Gianfranco Rezza </t>
  </si>
  <si>
    <t xml:space="preserve">5. Rasheed Da'na </t>
  </si>
  <si>
    <t xml:space="preserve">6. Ibiur Altxakoa </t>
  </si>
  <si>
    <t xml:space="preserve">7. Andrea Califano </t>
  </si>
  <si>
    <t xml:space="preserve">8. Morgan Thomas </t>
  </si>
  <si>
    <t xml:space="preserve">9. Pepijn Zwaan </t>
  </si>
  <si>
    <t xml:space="preserve">10. Jorge Walter Whitaker </t>
  </si>
  <si>
    <t xml:space="preserve">11. Boleslaw Starzomski </t>
  </si>
  <si>
    <t xml:space="preserve">12. Csaba Mezo </t>
  </si>
  <si>
    <t xml:space="preserve">13. Emilio Mochelato </t>
  </si>
  <si>
    <t xml:space="preserve">1. Adam Moss </t>
  </si>
  <si>
    <t xml:space="preserve">2. Saúl Piña </t>
  </si>
  <si>
    <t xml:space="preserve">4. Pepijn Zwaan </t>
  </si>
  <si>
    <t xml:space="preserve">5. Gianfranco Rezza </t>
  </si>
  <si>
    <t xml:space="preserve">6. Boleslaw Starzomski </t>
  </si>
  <si>
    <t xml:space="preserve">7. Patrick Werner </t>
  </si>
  <si>
    <t xml:space="preserve">8. Ibiur Altxakoa </t>
  </si>
  <si>
    <t xml:space="preserve">9. Leonardo Baltico </t>
  </si>
  <si>
    <t xml:space="preserve">10. Gregor Freischläger </t>
  </si>
  <si>
    <t xml:space="preserve">11. Morgan Thomas </t>
  </si>
  <si>
    <t xml:space="preserve">12. Emilio Mochelato </t>
  </si>
  <si>
    <t xml:space="preserve">13. Raffaele Sitter </t>
  </si>
  <si>
    <t xml:space="preserve">14. Sansão Trindade Oliveira </t>
  </si>
  <si>
    <t xml:space="preserve">15. Csaba Mezo </t>
  </si>
  <si>
    <t xml:space="preserve">2. Rasheed Da'na </t>
  </si>
  <si>
    <t xml:space="preserve">3. Gianfranco Rezza </t>
  </si>
  <si>
    <t xml:space="preserve">4. Leonardo Baltico </t>
  </si>
  <si>
    <t xml:space="preserve">5. Adam Moss </t>
  </si>
  <si>
    <t xml:space="preserve">6. Pepijn Zwaan </t>
  </si>
  <si>
    <t xml:space="preserve">7. Andrin Bärtsch </t>
  </si>
  <si>
    <t xml:space="preserve">8. Gregor Freischläger </t>
  </si>
  <si>
    <t xml:space="preserve">9. Raffaele Sitter </t>
  </si>
  <si>
    <t xml:space="preserve">10. Antoine Dupré </t>
  </si>
  <si>
    <t xml:space="preserve">11. Patrick Werner </t>
  </si>
  <si>
    <t xml:space="preserve">12. Arnold Kalckstein </t>
  </si>
  <si>
    <t xml:space="preserve">13. Christophe Reinhart </t>
  </si>
  <si>
    <t xml:space="preserve">1. Leonardo Baltico </t>
  </si>
  <si>
    <t xml:space="preserve">2. Kendor Nagiturri </t>
  </si>
  <si>
    <t xml:space="preserve">3. Adam Moss </t>
  </si>
  <si>
    <t xml:space="preserve">6. Saúl Piña </t>
  </si>
  <si>
    <t xml:space="preserve">8. Arnold Kalckstein </t>
  </si>
  <si>
    <t xml:space="preserve">9. Feliciano Becerril </t>
  </si>
  <si>
    <t xml:space="preserve">11. Aleksi Alarotu </t>
  </si>
  <si>
    <t xml:space="preserve">12. Christophe Reinhart </t>
  </si>
  <si>
    <t xml:space="preserve">13. Horacy Dzienis </t>
  </si>
  <si>
    <t xml:space="preserve">14. Raffaele Sitter </t>
  </si>
  <si>
    <t xml:space="preserve">3. Andrin Bärtsch </t>
  </si>
  <si>
    <t xml:space="preserve">4. Rasheed Da'na </t>
  </si>
  <si>
    <t xml:space="preserve">6. Kendor Nagiturri </t>
  </si>
  <si>
    <t xml:space="preserve">7. Arjo Olthuis </t>
  </si>
  <si>
    <t xml:space="preserve">8. Fernando Juárez Sierra </t>
  </si>
  <si>
    <t xml:space="preserve">9. Arnold Kalckstein </t>
  </si>
  <si>
    <t xml:space="preserve">10. Károly Serfel </t>
  </si>
  <si>
    <t xml:space="preserve">11. Adolfo Vitulli </t>
  </si>
  <si>
    <t xml:space="preserve">12. Raffaele Sitter </t>
  </si>
  <si>
    <t xml:space="preserve">14. Gianfranco Rezza </t>
  </si>
  <si>
    <t xml:space="preserve">15. Hjalte Egede </t>
  </si>
  <si>
    <t xml:space="preserve">16. Horacy Dzienis </t>
  </si>
  <si>
    <t xml:space="preserve">4. Gongotzon Ialdebere </t>
  </si>
  <si>
    <t xml:space="preserve">5. Horacy Dzienis </t>
  </si>
  <si>
    <t xml:space="preserve">6. Torsten Kortenhof </t>
  </si>
  <si>
    <t xml:space="preserve">7. Wicher Ossedrijver </t>
  </si>
  <si>
    <t xml:space="preserve">8. Martin Herber </t>
  </si>
  <si>
    <t xml:space="preserve">9. Adam Moss </t>
  </si>
  <si>
    <t xml:space="preserve">10. Saúl Piña </t>
  </si>
  <si>
    <t xml:space="preserve">12. Károly Serfel </t>
  </si>
  <si>
    <t xml:space="preserve">13. Arjo Olthuis </t>
  </si>
  <si>
    <t xml:space="preserve">14. Lech Sipinski </t>
  </si>
  <si>
    <t xml:space="preserve">15. Tristan Voet </t>
  </si>
  <si>
    <t xml:space="preserve">16. Martijn Collinet </t>
  </si>
  <si>
    <t xml:space="preserve">17. Fernando Juárez Sierra </t>
  </si>
  <si>
    <t xml:space="preserve">1. Ilari Santasalmi </t>
  </si>
  <si>
    <t xml:space="preserve">2. Joãozinho do Mato </t>
  </si>
  <si>
    <t xml:space="preserve">3. Leonardo Baltico </t>
  </si>
  <si>
    <t xml:space="preserve">4. Pere Beltran </t>
  </si>
  <si>
    <t xml:space="preserve">5. Zbyšek Hamrozi </t>
  </si>
  <si>
    <t xml:space="preserve">6. Nikolas Lakkotripi </t>
  </si>
  <si>
    <t xml:space="preserve">7. Alexander Pahl </t>
  </si>
  <si>
    <t xml:space="preserve">8. Andrin Bärtsch </t>
  </si>
  <si>
    <t xml:space="preserve">9. Jos Pittoors </t>
  </si>
  <si>
    <t xml:space="preserve">10. Lars Pouilliers </t>
  </si>
  <si>
    <t xml:space="preserve">1. Nikolas Lakkotripi </t>
  </si>
  <si>
    <t xml:space="preserve">2. Andrin Bärtsch </t>
  </si>
  <si>
    <t xml:space="preserve">3. Cornel Boicea </t>
  </si>
  <si>
    <t xml:space="preserve">4. Aimar Lasalde </t>
  </si>
  <si>
    <t xml:space="preserve">5. Joãozinho do Mato </t>
  </si>
  <si>
    <t xml:space="preserve">6. Pasqual Vilar </t>
  </si>
  <si>
    <t xml:space="preserve">7. Lars Pouilliers </t>
  </si>
  <si>
    <t xml:space="preserve">8. Ricardo Esquerdo </t>
  </si>
  <si>
    <t xml:space="preserve">9. Ilari Santasalmi </t>
  </si>
  <si>
    <t xml:space="preserve">10. ? (Ho) ?? (Minwei) </t>
  </si>
  <si>
    <t xml:space="preserve">11. Leonardo Baltico </t>
  </si>
  <si>
    <t xml:space="preserve">12. Ludwik Mojescik </t>
  </si>
  <si>
    <t xml:space="preserve">13. Pere Beltran </t>
  </si>
  <si>
    <t xml:space="preserve">14. Stefano Spanu </t>
  </si>
  <si>
    <t xml:space="preserve">15. Jos Pittoors </t>
  </si>
  <si>
    <t xml:space="preserve">16. Adamantios Fikias </t>
  </si>
  <si>
    <t xml:space="preserve">17. Dimitris Prokos </t>
  </si>
  <si>
    <t xml:space="preserve">18. Dolf Fohringer </t>
  </si>
  <si>
    <t xml:space="preserve">1. Joãozinho do Mato </t>
  </si>
  <si>
    <t xml:space="preserve">2. Cornel Boicea </t>
  </si>
  <si>
    <t xml:space="preserve">3. Jos Pittoors </t>
  </si>
  <si>
    <t xml:space="preserve">4. Nikolas Lakkotripi </t>
  </si>
  <si>
    <t xml:space="preserve">5. Aimar Lasalde </t>
  </si>
  <si>
    <t xml:space="preserve">6. Roelant Bierman </t>
  </si>
  <si>
    <t xml:space="preserve">7. Giulio Procaccianti </t>
  </si>
  <si>
    <t xml:space="preserve">9. Pere Beltran </t>
  </si>
  <si>
    <t xml:space="preserve">10. Andrin Bärtsch </t>
  </si>
  <si>
    <t xml:space="preserve">11. Lars Pouilliers </t>
  </si>
  <si>
    <t xml:space="preserve">12. Dolf Fohringer </t>
  </si>
  <si>
    <t xml:space="preserve">13. Gino van Hoesel </t>
  </si>
  <si>
    <t xml:space="preserve">14. Ragip Övgü </t>
  </si>
  <si>
    <t xml:space="preserve">15. Pasqual Vilar </t>
  </si>
  <si>
    <t xml:space="preserve">16. Ludwik Mojescik </t>
  </si>
  <si>
    <t xml:space="preserve">17. Nicolai Stentoft </t>
  </si>
  <si>
    <t xml:space="preserve">18. Stefano Spanu </t>
  </si>
  <si>
    <t xml:space="preserve">1. Roelant Bierman </t>
  </si>
  <si>
    <t xml:space="preserve">2. Nicolau Caraduxe </t>
  </si>
  <si>
    <t xml:space="preserve">3. Brunon Chuda </t>
  </si>
  <si>
    <t xml:space="preserve">4. Ludwik Mojescik </t>
  </si>
  <si>
    <t xml:space="preserve">5. Gino van Hoesel </t>
  </si>
  <si>
    <t xml:space="preserve">6. Aimar Lasalde </t>
  </si>
  <si>
    <t xml:space="preserve">7. Pasqual Vilar </t>
  </si>
  <si>
    <t xml:space="preserve">8. Ragip Övgü </t>
  </si>
  <si>
    <t xml:space="preserve">9. Giulio Procaccianti </t>
  </si>
  <si>
    <t xml:space="preserve">10. Nicolai Stentoft </t>
  </si>
  <si>
    <t xml:space="preserve">11. Adamantios Fikias </t>
  </si>
  <si>
    <t xml:space="preserve">12. Jos Pittoors </t>
  </si>
  <si>
    <t xml:space="preserve">13. Nikolay Gerasimenko </t>
  </si>
  <si>
    <t xml:space="preserve">14. Ricardo Esquerdo </t>
  </si>
  <si>
    <t xml:space="preserve">15. Pere Beltran </t>
  </si>
  <si>
    <t xml:space="preserve">16. Joãozinho do Mato </t>
  </si>
  <si>
    <t xml:space="preserve">17. Catalin Corobea </t>
  </si>
  <si>
    <t xml:space="preserve">1. Brunon Chuda </t>
  </si>
  <si>
    <t xml:space="preserve">2. Adamantios Fikias </t>
  </si>
  <si>
    <t xml:space="preserve">3. John Chung </t>
  </si>
  <si>
    <t xml:space="preserve">4. Nikolay Gerasimenko </t>
  </si>
  <si>
    <t xml:space="preserve">5. Pere Beltran </t>
  </si>
  <si>
    <t xml:space="preserve">6. Ludwik Mojescik </t>
  </si>
  <si>
    <t xml:space="preserve">7. Tomasz Artymiuk </t>
  </si>
  <si>
    <t xml:space="preserve">8. Roelant Bierman </t>
  </si>
  <si>
    <t xml:space="preserve">9. Aimar Lasalde </t>
  </si>
  <si>
    <t xml:space="preserve">10. Erik Lemming </t>
  </si>
  <si>
    <t xml:space="preserve">11. Honesto Cousa </t>
  </si>
  <si>
    <t xml:space="preserve">12. Gino van Hoesel </t>
  </si>
  <si>
    <t xml:space="preserve">13. Jos Pittoors </t>
  </si>
  <si>
    <t xml:space="preserve">16. José Luis Valdés Saavedra </t>
  </si>
  <si>
    <t xml:space="preserve">17. Morgan Gomes </t>
  </si>
  <si>
    <t xml:space="preserve">18. Nicolau Caraduxe </t>
  </si>
  <si>
    <t xml:space="preserve">19. Fere Pulido </t>
  </si>
  <si>
    <t xml:space="preserve">20. David Knuff </t>
  </si>
  <si>
    <t xml:space="preserve">21. Enis Kalan </t>
  </si>
  <si>
    <t xml:space="preserve">1. Erik Lemming </t>
  </si>
  <si>
    <t xml:space="preserve">2. John Chung </t>
  </si>
  <si>
    <t xml:space="preserve">3. Nikolay Gerasimenko </t>
  </si>
  <si>
    <t xml:space="preserve">4. Ragip Övgü </t>
  </si>
  <si>
    <t xml:space="preserve">5. Fere Pulido </t>
  </si>
  <si>
    <t xml:space="preserve">6. Brunon Chuda </t>
  </si>
  <si>
    <t xml:space="preserve">7. Honesto Cousa </t>
  </si>
  <si>
    <t xml:space="preserve">8. Felipe Andrés Massarelli </t>
  </si>
  <si>
    <t xml:space="preserve">9. Enis Kalan </t>
  </si>
  <si>
    <t xml:space="preserve">10. Adamantios Fikias </t>
  </si>
  <si>
    <t xml:space="preserve">11. Pere Beltran </t>
  </si>
  <si>
    <t xml:space="preserve">13. Pasqual Vilar </t>
  </si>
  <si>
    <t xml:space="preserve">14. Vincent Gautsch </t>
  </si>
  <si>
    <t xml:space="preserve">15. Andrea Chiu </t>
  </si>
  <si>
    <t xml:space="preserve">16. Andrija Miškovic </t>
  </si>
  <si>
    <t xml:space="preserve">1. Malte Neulinger </t>
  </si>
  <si>
    <t xml:space="preserve">2. Brunon Chuda </t>
  </si>
  <si>
    <t xml:space="preserve">4. Relf Härteis </t>
  </si>
  <si>
    <t xml:space="preserve">5. David Erbiti </t>
  </si>
  <si>
    <t xml:space="preserve">6. David Knuff </t>
  </si>
  <si>
    <t xml:space="preserve">7. Vincent Gautsch </t>
  </si>
  <si>
    <t xml:space="preserve">8. Carlos Ipinza </t>
  </si>
  <si>
    <t xml:space="preserve">9. Adamantios Fikias </t>
  </si>
  <si>
    <t xml:space="preserve">10. Andrija Miškovic </t>
  </si>
  <si>
    <t xml:space="preserve">11. Barnabás Borsányi </t>
  </si>
  <si>
    <t xml:space="preserve">12. Tomasz Artymiuk </t>
  </si>
  <si>
    <t xml:space="preserve">13. Fere Pulido </t>
  </si>
  <si>
    <t xml:space="preserve">2. Pere Beltran </t>
  </si>
  <si>
    <t xml:space="preserve">5. Nikolay Gerasimenko </t>
  </si>
  <si>
    <t xml:space="preserve">6. Gastone Cianelli </t>
  </si>
  <si>
    <t xml:space="preserve">7. Iacob Sarpe </t>
  </si>
  <si>
    <t xml:space="preserve">8. Co Wolbers </t>
  </si>
  <si>
    <t xml:space="preserve">9. David Erbiti </t>
  </si>
  <si>
    <t xml:space="preserve">10. Fabien Goncalves </t>
  </si>
  <si>
    <t xml:space="preserve">11. Romain Grière </t>
  </si>
  <si>
    <t xml:space="preserve">12. Steve Mckinnon </t>
  </si>
  <si>
    <t xml:space="preserve">13. Pau Redondo </t>
  </si>
  <si>
    <t xml:space="preserve">14. Ellák Deák </t>
  </si>
  <si>
    <t xml:space="preserve">15. Carlos Ipinza </t>
  </si>
  <si>
    <t xml:space="preserve">17. Andres Kalvet </t>
  </si>
  <si>
    <t xml:space="preserve">2. Co Wolbers </t>
  </si>
  <si>
    <t xml:space="preserve">3. Adamantios Fikias </t>
  </si>
  <si>
    <t xml:space="preserve">4. Ellák Deák </t>
  </si>
  <si>
    <t xml:space="preserve">5. Ernst Lammers </t>
  </si>
  <si>
    <t xml:space="preserve">6. Romain Grière </t>
  </si>
  <si>
    <t xml:space="preserve">7. Michele Giampieri </t>
  </si>
  <si>
    <t xml:space="preserve">8. Pau Redondo </t>
  </si>
  <si>
    <t xml:space="preserve">9. Ulf Schenkel </t>
  </si>
  <si>
    <t xml:space="preserve">10. Jacobo Ferrueros </t>
  </si>
  <si>
    <t xml:space="preserve">11. Uday Adeeb </t>
  </si>
  <si>
    <t xml:space="preserve">12. David Knuff </t>
  </si>
  <si>
    <t xml:space="preserve">13. Aamos Vara </t>
  </si>
  <si>
    <t xml:space="preserve">14. Pere Beltran </t>
  </si>
  <si>
    <t xml:space="preserve">15. Francesc Giró </t>
  </si>
  <si>
    <t xml:space="preserve">16. Gastone Cianelli </t>
  </si>
  <si>
    <t xml:space="preserve">17. Iacob Sarpe </t>
  </si>
  <si>
    <t xml:space="preserve">18. Carlos Ipinza </t>
  </si>
  <si>
    <t xml:space="preserve">19. Christophe Méjean </t>
  </si>
  <si>
    <t xml:space="preserve">20. David Erbiti </t>
  </si>
  <si>
    <t xml:space="preserve">1. Pere Beltran </t>
  </si>
  <si>
    <t xml:space="preserve">2. Alex Txantre </t>
  </si>
  <si>
    <t xml:space="preserve">3. Co Wolbers </t>
  </si>
  <si>
    <t xml:space="preserve">5. Michele Giampieri </t>
  </si>
  <si>
    <t xml:space="preserve">6. Malte Neulinger </t>
  </si>
  <si>
    <t xml:space="preserve">7. Markus Currie </t>
  </si>
  <si>
    <t xml:space="preserve">8. Iuliu Pana </t>
  </si>
  <si>
    <t xml:space="preserve">9. Dan Veneau </t>
  </si>
  <si>
    <t xml:space="preserve">10. Clifford Smallwood </t>
  </si>
  <si>
    <t xml:space="preserve">11. Aureliusz Staszczuk </t>
  </si>
  <si>
    <t xml:space="preserve">12. Igli Volpicelli </t>
  </si>
  <si>
    <t xml:space="preserve">13. Matteo Omacini </t>
  </si>
  <si>
    <t xml:space="preserve">14. Sascha Gilch </t>
  </si>
  <si>
    <t xml:space="preserve">15. Uday Adeeb </t>
  </si>
  <si>
    <t xml:space="preserve">16. Ulf Schenkel </t>
  </si>
  <si>
    <t xml:space="preserve">17. Zsolt Novák </t>
  </si>
  <si>
    <t xml:space="preserve">18. Pau Redondo </t>
  </si>
  <si>
    <t xml:space="preserve">19. Jacobo Ferrueros </t>
  </si>
  <si>
    <t xml:space="preserve">20. Jan Jessen </t>
  </si>
  <si>
    <t xml:space="preserve">21. José Manuel Carneiro </t>
  </si>
  <si>
    <t xml:space="preserve">22. Ludvig Andreasson </t>
  </si>
  <si>
    <t xml:space="preserve">23. Luigi Tripodo </t>
  </si>
  <si>
    <t xml:space="preserve">24. Christophe Méjean </t>
  </si>
  <si>
    <t xml:space="preserve">25. Aamos Vara </t>
  </si>
  <si>
    <t xml:space="preserve">1. Augustin Demaison </t>
  </si>
  <si>
    <t xml:space="preserve">3. Sejo Sáenz Marín </t>
  </si>
  <si>
    <t xml:space="preserve">4. Zeno Baets </t>
  </si>
  <si>
    <t xml:space="preserve">5. Iuliu Pana </t>
  </si>
  <si>
    <t xml:space="preserve">6. Krzysztof Buras </t>
  </si>
  <si>
    <t xml:space="preserve">7. Aureliusz Staszczuk </t>
  </si>
  <si>
    <t xml:space="preserve">8. Christophe Méjean </t>
  </si>
  <si>
    <t xml:space="preserve">9. Manolo Negrín </t>
  </si>
  <si>
    <t xml:space="preserve">10. Markus Currie </t>
  </si>
  <si>
    <t xml:space="preserve">11. Percy Alfredsson </t>
  </si>
  <si>
    <t xml:space="preserve">12. Massimiliano Jula </t>
  </si>
  <si>
    <t xml:space="preserve">14. Melcior Calmet </t>
  </si>
  <si>
    <t xml:space="preserve">15. Zsolt Novák </t>
  </si>
  <si>
    <t xml:space="preserve">16. Dan Veneau </t>
  </si>
  <si>
    <t xml:space="preserve">17. Ellák Deák </t>
  </si>
  <si>
    <t xml:space="preserve">18. Finlay MacGrory </t>
  </si>
  <si>
    <t xml:space="preserve">19. Gawel Nanowski </t>
  </si>
  <si>
    <t xml:space="preserve">20. Harald Georg Berchthold </t>
  </si>
  <si>
    <t xml:space="preserve">1. Melcior Calmet </t>
  </si>
  <si>
    <t xml:space="preserve">2. Manolo Negrín </t>
  </si>
  <si>
    <t xml:space="preserve">3. Harald Georg Berchthold </t>
  </si>
  <si>
    <t xml:space="preserve">4. Jörg Londorf </t>
  </si>
  <si>
    <t xml:space="preserve">5. Richey Cowper </t>
  </si>
  <si>
    <t xml:space="preserve">6. David Berkenbosch </t>
  </si>
  <si>
    <t xml:space="preserve">7. ? (Pan) ?? (Yuandong) </t>
  </si>
  <si>
    <t xml:space="preserve">8. Tijl van Hamburg </t>
  </si>
  <si>
    <t xml:space="preserve">9. Udo Mier </t>
  </si>
  <si>
    <t xml:space="preserve">10. Ofek Azuri </t>
  </si>
  <si>
    <t xml:space="preserve">11. Karl Edwin </t>
  </si>
  <si>
    <t xml:space="preserve">12. Lauri Piminäinen </t>
  </si>
  <si>
    <t xml:space="preserve">13. Jacobo Ferrueros </t>
  </si>
  <si>
    <t xml:space="preserve">14. Arkadiusz Dembek </t>
  </si>
  <si>
    <t xml:space="preserve">15. Dan Lindgren </t>
  </si>
  <si>
    <t xml:space="preserve">16. Ludovic Gygax </t>
  </si>
  <si>
    <t xml:space="preserve">17. Krzysztof Buras </t>
  </si>
  <si>
    <t xml:space="preserve">18. Marcin Lulewicz </t>
  </si>
  <si>
    <t xml:space="preserve">1. Manolo Negrín </t>
  </si>
  <si>
    <t xml:space="preserve">2. Melcior Calmet </t>
  </si>
  <si>
    <t xml:space="preserve">3. Damiano Clementi </t>
  </si>
  <si>
    <t xml:space="preserve">4. Petru Pena </t>
  </si>
  <si>
    <t xml:space="preserve">5. Pablo Gil Fano </t>
  </si>
  <si>
    <t xml:space="preserve">6. Christophe Bodin </t>
  </si>
  <si>
    <t xml:space="preserve">7. Alfonso Londoño </t>
  </si>
  <si>
    <t xml:space="preserve">8. Gregorio Manrique </t>
  </si>
  <si>
    <t xml:space="preserve">9. Gustaw Bugajski </t>
  </si>
  <si>
    <t xml:space="preserve">10. Olli Rambow </t>
  </si>
  <si>
    <t xml:space="preserve">11. Martin Kilev </t>
  </si>
  <si>
    <t xml:space="preserve">12. Pieter Pelleboer </t>
  </si>
  <si>
    <t xml:space="preserve">13. ? (Pan) ?? (Yuandong) </t>
  </si>
  <si>
    <t xml:space="preserve">1. Martin Kilev </t>
  </si>
  <si>
    <t xml:space="preserve">2. Mattia Sambri </t>
  </si>
  <si>
    <t xml:space="preserve">3. Pablo Gil Fano </t>
  </si>
  <si>
    <t xml:space="preserve">4. Hansjürg Devier </t>
  </si>
  <si>
    <t xml:space="preserve">5. Aiurdi Azpileta </t>
  </si>
  <si>
    <t xml:space="preserve">6. Domenic Janjic </t>
  </si>
  <si>
    <t xml:space="preserve">7. Jaime Ocón </t>
  </si>
  <si>
    <t xml:space="preserve">8. José Rubianes </t>
  </si>
  <si>
    <t xml:space="preserve">9. Karst van Gils </t>
  </si>
  <si>
    <t xml:space="preserve">10. Manolo Negrín </t>
  </si>
  <si>
    <t xml:space="preserve">11. Serapio Castrelos </t>
  </si>
  <si>
    <t>Actual</t>
  </si>
  <si>
    <t>Goles</t>
  </si>
  <si>
    <t>Temp</t>
  </si>
  <si>
    <t>Jugador_mal</t>
  </si>
  <si>
    <t>(en blanco)</t>
  </si>
  <si>
    <t>Suma de Goles</t>
  </si>
  <si>
    <t xml:space="preserve">Enrique Cubas </t>
  </si>
  <si>
    <t xml:space="preserve">Saúl Piña </t>
  </si>
  <si>
    <t xml:space="preserve">Wil Duffill </t>
  </si>
  <si>
    <t xml:space="preserve">Rasheed Da'na </t>
  </si>
  <si>
    <t xml:space="preserve">Adam Moss </t>
  </si>
  <si>
    <t xml:space="preserve">Leonardo Baltico </t>
  </si>
  <si>
    <t xml:space="preserve">Rodolfo Rinaldo Paso </t>
  </si>
  <si>
    <t xml:space="preserve">Andrin Bärtsch </t>
  </si>
  <si>
    <t xml:space="preserve">Juan García Peñuela </t>
  </si>
  <si>
    <t xml:space="preserve">Gianfranco Rezza </t>
  </si>
  <si>
    <t xml:space="preserve">Francesc Añigas </t>
  </si>
  <si>
    <t xml:space="preserve">Pere Beltran </t>
  </si>
  <si>
    <t xml:space="preserve">Brunon Chuda </t>
  </si>
  <si>
    <t xml:space="preserve">Valeri Gomis </t>
  </si>
  <si>
    <t xml:space="preserve">Kendor Nagiturri </t>
  </si>
  <si>
    <t xml:space="preserve">Malte Neulinger </t>
  </si>
  <si>
    <t xml:space="preserve">Julian Gräbitz </t>
  </si>
  <si>
    <t xml:space="preserve">Joãozinho do Mato </t>
  </si>
  <si>
    <t xml:space="preserve">Nikolay Gerasimenko </t>
  </si>
  <si>
    <t xml:space="preserve">Aimar Lasalde </t>
  </si>
  <si>
    <t xml:space="preserve">Leo Hilpinen </t>
  </si>
  <si>
    <t xml:space="preserve">David Garcia-Spiess </t>
  </si>
  <si>
    <t xml:space="preserve">Guillermo Pedrajas </t>
  </si>
  <si>
    <t xml:space="preserve">Nikolas Lakkotripi </t>
  </si>
  <si>
    <t xml:space="preserve">Tommaso Niscola </t>
  </si>
  <si>
    <t xml:space="preserve">Roelant Bierman </t>
  </si>
  <si>
    <t xml:space="preserve">Adamantios Fikias </t>
  </si>
  <si>
    <t xml:space="preserve">Ludwik Mojescik </t>
  </si>
  <si>
    <t xml:space="preserve">Renato Galeano </t>
  </si>
  <si>
    <t xml:space="preserve">Cornel Boicea </t>
  </si>
  <si>
    <t xml:space="preserve">Meraj Siddiqui </t>
  </si>
  <si>
    <t xml:space="preserve">Pepijn Zwaan </t>
  </si>
  <si>
    <t xml:space="preserve">Berto Abandero </t>
  </si>
  <si>
    <t xml:space="preserve">Pasqual Vilar </t>
  </si>
  <si>
    <t xml:space="preserve">Jos Pittoors </t>
  </si>
  <si>
    <t xml:space="preserve">Emilio Rojas </t>
  </si>
  <si>
    <t xml:space="preserve">Manolo Negrín </t>
  </si>
  <si>
    <t xml:space="preserve">Melcior Calmet </t>
  </si>
  <si>
    <t xml:space="preserve">Ragip Övgü </t>
  </si>
  <si>
    <t xml:space="preserve">Co Wolbers </t>
  </si>
  <si>
    <t xml:space="preserve">John Chung </t>
  </si>
  <si>
    <t xml:space="preserve">Arnold Kalckstein </t>
  </si>
  <si>
    <t xml:space="preserve">Iván Real Figueroa </t>
  </si>
  <si>
    <t xml:space="preserve">Venanci Oset </t>
  </si>
  <si>
    <t xml:space="preserve">Ibiur Altxakoa </t>
  </si>
  <si>
    <t xml:space="preserve">Ellák Deák </t>
  </si>
  <si>
    <t xml:space="preserve">Gregor Freischläger </t>
  </si>
  <si>
    <t xml:space="preserve">Roberto Abenoza </t>
  </si>
  <si>
    <t xml:space="preserve">Stanislaw Zdankiewicz </t>
  </si>
  <si>
    <t xml:space="preserve">Miklós Gábriel </t>
  </si>
  <si>
    <t xml:space="preserve">Raffaele Sitter </t>
  </si>
  <si>
    <t xml:space="preserve">Gino van Hoesel </t>
  </si>
  <si>
    <t xml:space="preserve">Ricardo Esquerdo </t>
  </si>
  <si>
    <t xml:space="preserve">Horacy Dzienis </t>
  </si>
  <si>
    <t xml:space="preserve">Erik Lemming </t>
  </si>
  <si>
    <t xml:space="preserve">Nicolau Caraduxe </t>
  </si>
  <si>
    <t xml:space="preserve">Lars Pouilliers </t>
  </si>
  <si>
    <t xml:space="preserve">Antoine Dupré </t>
  </si>
  <si>
    <t xml:space="preserve">Nicolás Galaz </t>
  </si>
  <si>
    <t xml:space="preserve">Morgan Thomas </t>
  </si>
  <si>
    <t xml:space="preserve">Michele Giampieri </t>
  </si>
  <si>
    <t xml:space="preserve">Arjo Olthuis </t>
  </si>
  <si>
    <t xml:space="preserve">Giulio Procaccianti </t>
  </si>
  <si>
    <t xml:space="preserve">Patrick Werner </t>
  </si>
  <si>
    <t xml:space="preserve">Augustin Demaison </t>
  </si>
  <si>
    <t xml:space="preserve">Miguel Fernández </t>
  </si>
  <si>
    <t xml:space="preserve">Mario Omarini </t>
  </si>
  <si>
    <t xml:space="preserve">Feliciano Becerril </t>
  </si>
  <si>
    <t xml:space="preserve">Relf Härteis </t>
  </si>
  <si>
    <t xml:space="preserve">Fere Pulido </t>
  </si>
  <si>
    <t xml:space="preserve">Gongotzon Ialdebere </t>
  </si>
  <si>
    <t xml:space="preserve">Markus Currie </t>
  </si>
  <si>
    <t xml:space="preserve">Leandro Faias </t>
  </si>
  <si>
    <t xml:space="preserve">Iuliu Pana </t>
  </si>
  <si>
    <t xml:space="preserve">Károly Serfel </t>
  </si>
  <si>
    <t xml:space="preserve">Martin Kilev </t>
  </si>
  <si>
    <t xml:space="preserve">Alex Txantre </t>
  </si>
  <si>
    <t xml:space="preserve">Iyad Chaabo </t>
  </si>
  <si>
    <t xml:space="preserve">Fernando Gazón </t>
  </si>
  <si>
    <t xml:space="preserve">Jorge Walter Whitaker </t>
  </si>
  <si>
    <t xml:space="preserve">Torsten Kortenhof </t>
  </si>
  <si>
    <t xml:space="preserve">Boleslaw Starzomski </t>
  </si>
  <si>
    <t xml:space="preserve">Raúl Riquelme </t>
  </si>
  <si>
    <t xml:space="preserve">David Knuff </t>
  </si>
  <si>
    <t xml:space="preserve">Nicolai Stentoft </t>
  </si>
  <si>
    <t xml:space="preserve">Fabien Fabre </t>
  </si>
  <si>
    <t xml:space="preserve">Christophe Reinhart </t>
  </si>
  <si>
    <t xml:space="preserve">Honesto Cousa </t>
  </si>
  <si>
    <t xml:space="preserve">Wicher Ossedrijver </t>
  </si>
  <si>
    <t xml:space="preserve">David Erbiti </t>
  </si>
  <si>
    <t xml:space="preserve">Romain Grière </t>
  </si>
  <si>
    <t xml:space="preserve">Pablo Gil Fano </t>
  </si>
  <si>
    <t xml:space="preserve">Tomasz Artymiuk </t>
  </si>
  <si>
    <t xml:space="preserve">Ilari Santasalmi </t>
  </si>
  <si>
    <t xml:space="preserve">Martin Herber </t>
  </si>
  <si>
    <t xml:space="preserve">Aureliusz Staszczuk </t>
  </si>
  <si>
    <t xml:space="preserve">Csaba Mezo </t>
  </si>
  <si>
    <t xml:space="preserve">Jacobo Ferrueros </t>
  </si>
  <si>
    <t xml:space="preserve">Cornel Caraba </t>
  </si>
  <si>
    <t xml:space="preserve">Harald Georg Berchthold </t>
  </si>
  <si>
    <t xml:space="preserve">Aleksi Alarotu </t>
  </si>
  <si>
    <t xml:space="preserve">Ulf Schenkel </t>
  </si>
  <si>
    <t xml:space="preserve">Andrea Califano </t>
  </si>
  <si>
    <t xml:space="preserve">Fernando Juárez Sierra </t>
  </si>
  <si>
    <t xml:space="preserve">Pau Redondo </t>
  </si>
  <si>
    <t xml:space="preserve">Christophe Méjean </t>
  </si>
  <si>
    <t xml:space="preserve">Sejo Sáenz Marín </t>
  </si>
  <si>
    <t xml:space="preserve">Dolf Fohringer </t>
  </si>
  <si>
    <t xml:space="preserve">Mattia Sambri </t>
  </si>
  <si>
    <t xml:space="preserve">Uday Adeeb </t>
  </si>
  <si>
    <t xml:space="preserve">Jörg Londorf </t>
  </si>
  <si>
    <t xml:space="preserve">Eckardt Hägerling </t>
  </si>
  <si>
    <t xml:space="preserve">? (Pan) ?? (Yuandong) </t>
  </si>
  <si>
    <t xml:space="preserve">Dan Veneau </t>
  </si>
  <si>
    <t xml:space="preserve">Krzysztof Buras </t>
  </si>
  <si>
    <t xml:space="preserve">Gastone Cianelli </t>
  </si>
  <si>
    <t xml:space="preserve">Ernst Lammers </t>
  </si>
  <si>
    <t xml:space="preserve">Hansjürg Devier </t>
  </si>
  <si>
    <t xml:space="preserve">Emilio Mochelato </t>
  </si>
  <si>
    <t xml:space="preserve">Carlos Ipinza </t>
  </si>
  <si>
    <t xml:space="preserve">Richey Cowper </t>
  </si>
  <si>
    <t xml:space="preserve">Aiurdi Azpileta </t>
  </si>
  <si>
    <t xml:space="preserve">Tristan Voet </t>
  </si>
  <si>
    <t xml:space="preserve">Roberto Montero </t>
  </si>
  <si>
    <t xml:space="preserve">Mauro Vaz </t>
  </si>
  <si>
    <t xml:space="preserve">Iacob Sarpe </t>
  </si>
  <si>
    <t xml:space="preserve">? (Ho) ?? (Minwei) </t>
  </si>
  <si>
    <t xml:space="preserve">Cosme Fonteboa </t>
  </si>
  <si>
    <t xml:space="preserve">Zeno Baets </t>
  </si>
  <si>
    <t xml:space="preserve">Clifford Smallwood </t>
  </si>
  <si>
    <t xml:space="preserve">Stefano Spanu </t>
  </si>
  <si>
    <t xml:space="preserve">Matteo Omacini </t>
  </si>
  <si>
    <t xml:space="preserve">Vincent Gautsch </t>
  </si>
  <si>
    <t xml:space="preserve">Enis Kalan </t>
  </si>
  <si>
    <t xml:space="preserve">David Berkenbosch </t>
  </si>
  <si>
    <t xml:space="preserve">Damiano Clementi </t>
  </si>
  <si>
    <t xml:space="preserve">Manuel Parejo </t>
  </si>
  <si>
    <t xml:space="preserve">Xofre Taín </t>
  </si>
  <si>
    <t xml:space="preserve">Lech Sipinski </t>
  </si>
  <si>
    <t xml:space="preserve">Petru Pena </t>
  </si>
  <si>
    <t xml:space="preserve">Domenic Janjic </t>
  </si>
  <si>
    <t xml:space="preserve">Martijn Collinet </t>
  </si>
  <si>
    <t xml:space="preserve">Karl Edwin </t>
  </si>
  <si>
    <t xml:space="preserve">Igli Volpicelli </t>
  </si>
  <si>
    <t xml:space="preserve">Christophe Bodin </t>
  </si>
  <si>
    <t xml:space="preserve">Udo Mier </t>
  </si>
  <si>
    <t xml:space="preserve">Ofek Azuri </t>
  </si>
  <si>
    <t xml:space="preserve">Lauri Piminäinen </t>
  </si>
  <si>
    <t xml:space="preserve">José Rubianes </t>
  </si>
  <si>
    <t xml:space="preserve">Percy Alfredsson </t>
  </si>
  <si>
    <t xml:space="preserve">Mateusz Brzostowski </t>
  </si>
  <si>
    <t xml:space="preserve">Andrija Miškovic </t>
  </si>
  <si>
    <t xml:space="preserve">Zsolt Novák </t>
  </si>
  <si>
    <t xml:space="preserve">Casildo Abraldes </t>
  </si>
  <si>
    <t xml:space="preserve">Juan Gabriel de Minaya </t>
  </si>
  <si>
    <t xml:space="preserve">Sansão Trindade Oliveira </t>
  </si>
  <si>
    <t xml:space="preserve">Jaime Ocón </t>
  </si>
  <si>
    <t xml:space="preserve">Sascha Gilch </t>
  </si>
  <si>
    <t xml:space="preserve">Felipe Andrés Massarelli </t>
  </si>
  <si>
    <t xml:space="preserve">Jurgen Muësen </t>
  </si>
  <si>
    <t xml:space="preserve">Tijl van Hamburg </t>
  </si>
  <si>
    <t xml:space="preserve">Aamos Vara </t>
  </si>
  <si>
    <t xml:space="preserve">Karst van Gils </t>
  </si>
  <si>
    <t xml:space="preserve">Fabien Goncalves </t>
  </si>
  <si>
    <t xml:space="preserve">Cezary Pauch </t>
  </si>
  <si>
    <t xml:space="preserve">Arkadiusz Dembek </t>
  </si>
  <si>
    <t xml:space="preserve">Marcin Lulewicz </t>
  </si>
  <si>
    <t xml:space="preserve">Gregorio Manrique </t>
  </si>
  <si>
    <t xml:space="preserve">Massimiliano Jula </t>
  </si>
  <si>
    <t xml:space="preserve">Barnabás Borsányi </t>
  </si>
  <si>
    <t xml:space="preserve">Serapio Castrelos </t>
  </si>
  <si>
    <t xml:space="preserve">Dimitris Prokos </t>
  </si>
  <si>
    <t xml:space="preserve">Alfonso Londoño </t>
  </si>
  <si>
    <t xml:space="preserve">José Luis Valdés Saavedra </t>
  </si>
  <si>
    <t xml:space="preserve">Francesc Giró </t>
  </si>
  <si>
    <t xml:space="preserve">Ludovic Gygax </t>
  </si>
  <si>
    <t xml:space="preserve">Hjalte Egede </t>
  </si>
  <si>
    <t xml:space="preserve">Steve Mckinnon </t>
  </si>
  <si>
    <t xml:space="preserve">Olli Rambow </t>
  </si>
  <si>
    <t xml:space="preserve">Jan Jessen </t>
  </si>
  <si>
    <t xml:space="preserve">Alexander Pahl </t>
  </si>
  <si>
    <t xml:space="preserve">Morgan Gomes </t>
  </si>
  <si>
    <t xml:space="preserve">Dan Lindgren </t>
  </si>
  <si>
    <t xml:space="preserve">José Manuel Carneiro </t>
  </si>
  <si>
    <t xml:space="preserve">Adolfo Vitulli </t>
  </si>
  <si>
    <t xml:space="preserve">Zbyšek Hamrozi </t>
  </si>
  <si>
    <t xml:space="preserve">Gawel Nanowski </t>
  </si>
  <si>
    <t xml:space="preserve">Ludvig Andreasson </t>
  </si>
  <si>
    <t xml:space="preserve">Pieter Pelleboer </t>
  </si>
  <si>
    <t xml:space="preserve">Luigi Tripodo </t>
  </si>
  <si>
    <t xml:space="preserve">Seran Aranguren </t>
  </si>
  <si>
    <t xml:space="preserve">Finlay MacGrory </t>
  </si>
  <si>
    <t xml:space="preserve">Gustaw Bugajski </t>
  </si>
  <si>
    <t xml:space="preserve">Ryan Clarke </t>
  </si>
  <si>
    <t xml:space="preserve">Andres Kalvet </t>
  </si>
  <si>
    <t xml:space="preserve">Catalin Corobea </t>
  </si>
  <si>
    <t xml:space="preserve">Andrea Chiu </t>
  </si>
  <si>
    <t>J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</si>
  <si>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</si>
  <si>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</si>
  <si>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</si>
  <si>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</si>
  <si>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</si>
  <si>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</si>
  <si>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</si>
  <si>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</si>
  <si>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</si>
  <si>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</si>
  <si>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</si>
  <si>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</si>
  <si>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</si>
  <si>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</si>
  <si>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</si>
  <si>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</si>
  <si>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3-5-2</t>
  </si>
  <si>
    <t>5-3-2</t>
  </si>
  <si>
    <t>Elmar Kolberg</t>
  </si>
  <si>
    <t>Ramon Adern</t>
  </si>
  <si>
    <t>César Riaño</t>
  </si>
  <si>
    <t>Ignacio Farina</t>
  </si>
  <si>
    <t>Manolo Parralo</t>
  </si>
  <si>
    <t>3</t>
  </si>
  <si>
    <t>Cristobal Celayaran</t>
  </si>
  <si>
    <t>HOY</t>
  </si>
  <si>
    <t>Carlos Queralt</t>
  </si>
  <si>
    <t>Alejandro Valle Perez</t>
  </si>
  <si>
    <t>Adan Dimo</t>
  </si>
  <si>
    <t>Francisco Santa Maria</t>
  </si>
  <si>
    <t>Pol Gallard</t>
  </si>
  <si>
    <t>Zdislav Rericha</t>
  </si>
  <si>
    <t>Ultima Modificacion</t>
  </si>
  <si>
    <t>Preferentes</t>
  </si>
  <si>
    <t>Tribunas</t>
  </si>
  <si>
    <t>Palcos</t>
  </si>
  <si>
    <t>Tiempo</t>
  </si>
  <si>
    <t>Rival</t>
  </si>
  <si>
    <t>Nuevos</t>
  </si>
  <si>
    <t>Semana</t>
  </si>
  <si>
    <t>Mantenimiento Grada general</t>
  </si>
  <si>
    <t>Mantenimiento Preferentes</t>
  </si>
  <si>
    <t>Mantenimiento Tribunas</t>
  </si>
  <si>
    <t>Mantenimiento Palcos</t>
  </si>
  <si>
    <t>TOTAL COSTE</t>
  </si>
  <si>
    <t>TOTAL INGRESO</t>
  </si>
  <si>
    <t>Entradas Grada general</t>
  </si>
  <si>
    <t>Entradas Preferentes</t>
  </si>
  <si>
    <t>Entradas Tribunas</t>
  </si>
  <si>
    <t>Entradas Palcos</t>
  </si>
  <si>
    <t>Balance</t>
  </si>
  <si>
    <t>CUM INGRESO</t>
  </si>
  <si>
    <t>CUM COSTE</t>
  </si>
  <si>
    <t>Antiguo</t>
  </si>
  <si>
    <t>Lluvia</t>
  </si>
  <si>
    <t>Sol</t>
  </si>
  <si>
    <t>Estela</t>
  </si>
  <si>
    <t>Soleado</t>
  </si>
  <si>
    <t>Kalañita</t>
  </si>
  <si>
    <t>Valadouro</t>
  </si>
  <si>
    <t>Nublado</t>
  </si>
  <si>
    <t>Comancheros</t>
  </si>
  <si>
    <t>Andorians</t>
  </si>
  <si>
    <t>Construccion Grada general</t>
  </si>
  <si>
    <t>Construccion Preferentes</t>
  </si>
  <si>
    <t>Construccion Tribunas</t>
  </si>
  <si>
    <t>Construccion Palcos</t>
  </si>
  <si>
    <t>Carlos Palafox Castro</t>
  </si>
  <si>
    <t>Abdelwajid Waredati</t>
  </si>
  <si>
    <t>Eugeni Comallonga</t>
  </si>
  <si>
    <t>Rodrigo Ipiña</t>
  </si>
  <si>
    <t>Armando Miquilena</t>
  </si>
  <si>
    <t>Alexandre Janvier</t>
  </si>
  <si>
    <t>Faroog Gheilan</t>
  </si>
  <si>
    <t>Ziauddin El-Wahesh</t>
  </si>
  <si>
    <t>Maurits Rakkola</t>
  </si>
  <si>
    <t>Thierry Kras</t>
  </si>
  <si>
    <t>Aleksander Pytlarczyk</t>
  </si>
  <si>
    <t>姚 (Yao) 超雄 (Chaoxiong)</t>
  </si>
  <si>
    <t>Antonio Muñoz</t>
  </si>
  <si>
    <t>Pamboli</t>
  </si>
  <si>
    <t>Per Askenfeldt</t>
  </si>
  <si>
    <t xml:space="preserve"> John Moss</t>
  </si>
  <si>
    <t>Bogdan Pivovarov</t>
  </si>
  <si>
    <t>Trsitan Goglichadze</t>
  </si>
  <si>
    <t>Sergio Manuel Real</t>
  </si>
  <si>
    <t>Daniel Haslauer</t>
  </si>
  <si>
    <t>Sabir Bekrija</t>
  </si>
  <si>
    <t>Rune Hagelbratt</t>
  </si>
  <si>
    <t>Vladimir Ivascu</t>
  </si>
  <si>
    <t>Marcos Vera</t>
  </si>
  <si>
    <t>Mathieu Atlan</t>
  </si>
  <si>
    <t>Mirko Sarkic</t>
  </si>
  <si>
    <t>Rik Jozetic</t>
  </si>
  <si>
    <t>Vader - Granada Boys</t>
  </si>
  <si>
    <t>498 HTS</t>
  </si>
  <si>
    <t>CF HAHAN - Vader</t>
  </si>
  <si>
    <t>491 HTS</t>
  </si>
  <si>
    <t>Sakir Belrija</t>
  </si>
  <si>
    <t>Kolberg</t>
  </si>
  <si>
    <t>Pivovarov</t>
  </si>
  <si>
    <t>Bekrija</t>
  </si>
  <si>
    <t>Storm</t>
  </si>
  <si>
    <t>Valor Contable</t>
  </si>
  <si>
    <t>Bigfoot</t>
  </si>
  <si>
    <t>Obtén 63 500 € por cada partido de liga jugado.</t>
  </si>
  <si>
    <t>Universal</t>
  </si>
  <si>
    <t>Obtén 1 160 000 € por ascender de división.</t>
  </si>
  <si>
    <t>RNA</t>
  </si>
  <si>
    <t>Obtén 37 000 € por cada partido de liga ganado.</t>
  </si>
  <si>
    <t>Obtén 95 500 € por cada vez que mantengas tu portería a cero en partido de liga como visitante.</t>
  </si>
  <si>
    <t>InnerPeace</t>
  </si>
  <si>
    <t>Obtén 83 000 € por cada partido de liga ganado en casa.</t>
  </si>
  <si>
    <t>Obtén 63 500 € por cada partido de liga ganado como visitante.</t>
  </si>
  <si>
    <t>ZeroSum</t>
  </si>
  <si>
    <t>Obtén 16 500 € por cada gol marcado en casa en partido de liga, con un máximo de 82 500 € por semana.</t>
  </si>
  <si>
    <t>Obtén 8 500 € por cada gol marcado en un partido de liga, con un máximo de 42 500 € por semana.</t>
  </si>
  <si>
    <t>Fulvio Kämmeter</t>
  </si>
  <si>
    <t>Christian Touré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</si>
</sst>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&quot; €&quot;_-;\-* #,##0&quot; €&quot;_-;_-* \-??&quot; €&quot;_-;_-@_-"/>
    <numFmt numFmtId="176" formatCode="m/d/yyyy"/>
    <numFmt numFmtId="177" formatCode="[$-C0A]d\-mmm\-yy;@"/>
    <numFmt numFmtId="178" formatCode="[$-C0A]dd\-mmm\-yy;@"/>
  </numFmts>
  <fonts count="62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12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sz val="16"/>
      <color rgb="FF000000"/>
      <name val="Calibri"/>
      <family val="2"/>
    </font>
    <font>
      <sz val="8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b/>
      <i/>
      <sz val="12"/>
      <color rgb="FF00B050"/>
      <name val="Calibri"/>
      <family val="2"/>
    </font>
    <font>
      <b/>
      <i/>
      <sz val="12"/>
      <color rgb="FFFF0000"/>
      <name val="Calibri"/>
      <family val="2"/>
    </font>
    <font>
      <sz val="11"/>
      <color rgb="FF00B050"/>
      <name val="Calibri"/>
      <family val="2"/>
    </font>
    <font>
      <sz val="10"/>
      <name val="Arial"/>
      <family val="2"/>
    </font>
    <font>
      <sz val="8"/>
      <color rgb="FFFF0000"/>
      <name val="Verdana"/>
      <family val="2"/>
    </font>
  </fonts>
  <fills count="9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164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44" fontId="43" fillId="0" borderId="0" applyFont="0" applyFill="0" applyBorder="0" applyAlignment="0" applyProtection="0"/>
  </cellStyleXfs>
  <cellXfs count="522">
    <xf numFmtId="0" fontId="0" fillId="0" borderId="0" xfId="0"/>
    <xf numFmtId="164" fontId="0" fillId="0" borderId="0" xfId="1" applyFont="1"/>
    <xf numFmtId="9" fontId="0" fillId="0" borderId="0" xfId="2" applyFont="1"/>
    <xf numFmtId="0" fontId="43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6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6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43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22" fillId="32" borderId="32" xfId="3" applyFont="1" applyFill="1" applyBorder="1"/>
    <xf numFmtId="0" fontId="22" fillId="32" borderId="32" xfId="3" applyFont="1" applyFill="1" applyBorder="1" applyAlignment="1">
      <alignment horizontal="center"/>
    </xf>
    <xf numFmtId="0" fontId="23" fillId="32" borderId="32" xfId="3" applyFont="1" applyFill="1" applyBorder="1" applyAlignment="1">
      <alignment horizontal="center"/>
    </xf>
    <xf numFmtId="0" fontId="23" fillId="32" borderId="32" xfId="3" applyFont="1" applyFill="1" applyBorder="1"/>
    <xf numFmtId="0" fontId="24" fillId="32" borderId="32" xfId="3" applyFont="1" applyFill="1" applyBorder="1" applyAlignment="1">
      <alignment horizontal="left"/>
    </xf>
    <xf numFmtId="0" fontId="24" fillId="32" borderId="32" xfId="3" applyFont="1" applyFill="1" applyBorder="1" applyAlignment="1">
      <alignment horizontal="center"/>
    </xf>
    <xf numFmtId="0" fontId="25" fillId="32" borderId="32" xfId="3" applyFont="1" applyFill="1" applyBorder="1" applyAlignment="1">
      <alignment horizontal="center"/>
    </xf>
    <xf numFmtId="0" fontId="24" fillId="33" borderId="33" xfId="3" applyFont="1" applyFill="1" applyBorder="1" applyAlignment="1">
      <alignment horizontal="center"/>
    </xf>
    <xf numFmtId="0" fontId="25" fillId="32" borderId="32" xfId="3" applyFont="1" applyFill="1" applyBorder="1" applyAlignment="1">
      <alignment horizontal="left"/>
    </xf>
    <xf numFmtId="0" fontId="26" fillId="0" borderId="0" xfId="3" applyFont="1"/>
    <xf numFmtId="1" fontId="26" fillId="0" borderId="0" xfId="3" applyNumberFormat="1" applyFont="1" applyAlignment="1">
      <alignment horizontal="right"/>
    </xf>
    <xf numFmtId="0" fontId="27" fillId="0" borderId="0" xfId="3" applyFont="1" applyAlignment="1">
      <alignment horizontal="center"/>
    </xf>
    <xf numFmtId="1" fontId="28" fillId="0" borderId="0" xfId="3" applyNumberFormat="1" applyFont="1" applyAlignment="1">
      <alignment horizontal="right"/>
    </xf>
    <xf numFmtId="176" fontId="26" fillId="0" borderId="0" xfId="3" applyNumberFormat="1" applyFont="1" applyAlignment="1">
      <alignment horizontal="center"/>
    </xf>
    <xf numFmtId="0" fontId="26" fillId="0" borderId="0" xfId="3" applyFont="1" applyAlignment="1">
      <alignment horizontal="center"/>
    </xf>
    <xf numFmtId="1" fontId="26" fillId="0" borderId="0" xfId="3" applyNumberFormat="1" applyFont="1" applyAlignment="1">
      <alignment horizontal="center"/>
    </xf>
    <xf numFmtId="0" fontId="29" fillId="30" borderId="30" xfId="3" applyFont="1" applyFill="1" applyBorder="1" applyAlignment="1">
      <alignment horizontal="center"/>
    </xf>
    <xf numFmtId="0" fontId="22" fillId="13" borderId="13" xfId="3" applyFont="1" applyFill="1" applyBorder="1"/>
    <xf numFmtId="0" fontId="22" fillId="13" borderId="13" xfId="3" applyFont="1" applyFill="1" applyBorder="1" applyAlignment="1">
      <alignment horizontal="center"/>
    </xf>
    <xf numFmtId="0" fontId="23" fillId="13" borderId="13" xfId="3" applyFont="1" applyFill="1" applyBorder="1" applyAlignment="1">
      <alignment horizontal="center"/>
    </xf>
    <xf numFmtId="0" fontId="23" fillId="13" borderId="13" xfId="3" applyFont="1" applyFill="1" applyBorder="1"/>
    <xf numFmtId="0" fontId="24" fillId="35" borderId="37" xfId="3" applyFont="1" applyFill="1" applyBorder="1"/>
    <xf numFmtId="0" fontId="24" fillId="35" borderId="37" xfId="3" applyFont="1" applyFill="1" applyBorder="1" applyAlignment="1">
      <alignment horizontal="center"/>
    </xf>
    <xf numFmtId="0" fontId="24" fillId="36" borderId="38" xfId="3" applyFont="1" applyFill="1" applyBorder="1" applyAlignment="1">
      <alignment horizontal="center"/>
    </xf>
    <xf numFmtId="0" fontId="25" fillId="36" borderId="38" xfId="3" applyFont="1" applyFill="1" applyBorder="1" applyAlignment="1">
      <alignment horizontal="center"/>
    </xf>
    <xf numFmtId="0" fontId="24" fillId="36" borderId="38" xfId="3" applyFont="1" applyFill="1" applyBorder="1"/>
    <xf numFmtId="0" fontId="25" fillId="37" borderId="39" xfId="3" applyFont="1" applyFill="1" applyBorder="1"/>
    <xf numFmtId="0" fontId="25" fillId="37" borderId="39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left"/>
    </xf>
    <xf numFmtId="0" fontId="24" fillId="13" borderId="13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center"/>
    </xf>
    <xf numFmtId="0" fontId="24" fillId="38" borderId="40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1" fontId="26" fillId="0" borderId="0" xfId="3" applyNumberFormat="1" applyFont="1"/>
    <xf numFmtId="0" fontId="29" fillId="34" borderId="34" xfId="3" applyFont="1" applyFill="1" applyBorder="1" applyAlignment="1">
      <alignment horizontal="right"/>
    </xf>
    <xf numFmtId="0" fontId="29" fillId="0" borderId="0" xfId="3" applyFont="1" applyAlignment="1">
      <alignment horizontal="center"/>
    </xf>
    <xf numFmtId="0" fontId="22" fillId="39" borderId="42" xfId="3" applyFont="1" applyFill="1" applyBorder="1"/>
    <xf numFmtId="0" fontId="22" fillId="39" borderId="42" xfId="3" applyFont="1" applyFill="1" applyBorder="1" applyAlignment="1">
      <alignment horizontal="center"/>
    </xf>
    <xf numFmtId="0" fontId="23" fillId="39" borderId="42" xfId="3" applyFont="1" applyFill="1" applyBorder="1" applyAlignment="1">
      <alignment horizontal="center"/>
    </xf>
    <xf numFmtId="0" fontId="23" fillId="39" borderId="42" xfId="3" applyFont="1" applyFill="1" applyBorder="1"/>
    <xf numFmtId="0" fontId="24" fillId="40" borderId="43" xfId="3" applyFont="1" applyFill="1" applyBorder="1"/>
    <xf numFmtId="0" fontId="24" fillId="40" borderId="43" xfId="3" applyFont="1" applyFill="1" applyBorder="1" applyAlignment="1">
      <alignment horizontal="center"/>
    </xf>
    <xf numFmtId="0" fontId="24" fillId="41" borderId="44" xfId="3" applyFont="1" applyFill="1" applyBorder="1" applyAlignment="1">
      <alignment horizontal="center"/>
    </xf>
    <xf numFmtId="0" fontId="25" fillId="41" borderId="44" xfId="3" applyFont="1" applyFill="1" applyBorder="1" applyAlignment="1">
      <alignment horizontal="center"/>
    </xf>
    <xf numFmtId="0" fontId="24" fillId="41" borderId="44" xfId="3" applyFont="1" applyFill="1" applyBorder="1"/>
    <xf numFmtId="0" fontId="25" fillId="42" borderId="45" xfId="3" applyFont="1" applyFill="1" applyBorder="1"/>
    <xf numFmtId="0" fontId="25" fillId="42" borderId="45" xfId="3" applyFont="1" applyFill="1" applyBorder="1" applyAlignment="1">
      <alignment horizontal="center"/>
    </xf>
    <xf numFmtId="0" fontId="24" fillId="39" borderId="42" xfId="3" applyFont="1" applyFill="1" applyBorder="1" applyAlignment="1">
      <alignment horizontal="left"/>
    </xf>
    <xf numFmtId="0" fontId="24" fillId="39" borderId="42" xfId="3" applyFont="1" applyFill="1" applyBorder="1" applyAlignment="1">
      <alignment horizontal="center"/>
    </xf>
    <xf numFmtId="0" fontId="25" fillId="39" borderId="42" xfId="3" applyFont="1" applyFill="1" applyBorder="1" applyAlignment="1">
      <alignment horizontal="center"/>
    </xf>
    <xf numFmtId="0" fontId="24" fillId="43" borderId="46" xfId="3" applyFont="1" applyFill="1" applyBorder="1" applyAlignment="1">
      <alignment horizontal="center"/>
    </xf>
    <xf numFmtId="0" fontId="25" fillId="39" borderId="42" xfId="3" applyFont="1" applyFill="1" applyBorder="1" applyAlignment="1">
      <alignment horizontal="left"/>
    </xf>
    <xf numFmtId="0" fontId="24" fillId="44" borderId="47" xfId="3" applyFont="1" applyFill="1" applyBorder="1"/>
    <xf numFmtId="0" fontId="24" fillId="44" borderId="47" xfId="3" applyFont="1" applyFill="1" applyBorder="1" applyAlignment="1">
      <alignment horizontal="center"/>
    </xf>
    <xf numFmtId="0" fontId="24" fillId="45" borderId="48" xfId="3" applyFont="1" applyFill="1" applyBorder="1" applyAlignment="1">
      <alignment horizontal="center"/>
    </xf>
    <xf numFmtId="0" fontId="25" fillId="45" borderId="48" xfId="3" applyFont="1" applyFill="1" applyBorder="1" applyAlignment="1">
      <alignment horizontal="center"/>
    </xf>
    <xf numFmtId="0" fontId="24" fillId="45" borderId="48" xfId="3" applyFont="1" applyFill="1" applyBorder="1"/>
    <xf numFmtId="0" fontId="25" fillId="46" borderId="49" xfId="3" applyFont="1" applyFill="1" applyBorder="1"/>
    <xf numFmtId="0" fontId="25" fillId="46" borderId="49" xfId="3" applyFont="1" applyFill="1" applyBorder="1" applyAlignment="1">
      <alignment horizontal="center"/>
    </xf>
    <xf numFmtId="0" fontId="24" fillId="47" borderId="50" xfId="3" applyFont="1" applyFill="1" applyBorder="1" applyAlignment="1">
      <alignment horizontal="left"/>
    </xf>
    <xf numFmtId="0" fontId="24" fillId="47" borderId="50" xfId="3" applyFont="1" applyFill="1" applyBorder="1" applyAlignment="1">
      <alignment horizontal="center"/>
    </xf>
    <xf numFmtId="0" fontId="25" fillId="47" borderId="50" xfId="3" applyFont="1" applyFill="1" applyBorder="1" applyAlignment="1">
      <alignment horizontal="center"/>
    </xf>
    <xf numFmtId="0" fontId="24" fillId="48" borderId="52" xfId="3" applyFont="1" applyFill="1" applyBorder="1" applyAlignment="1">
      <alignment horizontal="center"/>
    </xf>
    <xf numFmtId="0" fontId="25" fillId="47" borderId="50" xfId="3" applyFont="1" applyFill="1" applyBorder="1" applyAlignment="1">
      <alignment horizontal="left"/>
    </xf>
    <xf numFmtId="0" fontId="29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7" fillId="0" borderId="3" xfId="3" applyFont="1" applyBorder="1"/>
    <xf numFmtId="176" fontId="27" fillId="0" borderId="3" xfId="3" applyNumberFormat="1" applyFont="1" applyBorder="1"/>
    <xf numFmtId="0" fontId="31" fillId="0" borderId="0" xfId="3" applyFont="1" applyAlignment="1">
      <alignment horizontal="center" wrapText="1"/>
    </xf>
    <xf numFmtId="0" fontId="29" fillId="0" borderId="0" xfId="3" applyFont="1" applyAlignment="1">
      <alignment horizontal="center" wrapText="1"/>
    </xf>
    <xf numFmtId="172" fontId="29" fillId="0" borderId="0" xfId="3" applyNumberFormat="1" applyFont="1"/>
    <xf numFmtId="0" fontId="32" fillId="0" borderId="0" xfId="3" applyFont="1"/>
    <xf numFmtId="0" fontId="0" fillId="0" borderId="55" xfId="0" applyBorder="1"/>
    <xf numFmtId="0" fontId="0" fillId="0" borderId="56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7" fillId="58" borderId="59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37" fillId="59" borderId="60" xfId="0" applyFont="1" applyFill="1" applyBorder="1" applyAlignment="1">
      <alignment horizontal="center" wrapText="1"/>
    </xf>
    <xf numFmtId="0" fontId="0" fillId="60" borderId="61" xfId="0" applyFill="1" applyBorder="1"/>
    <xf numFmtId="0" fontId="38" fillId="61" borderId="62" xfId="0" applyFont="1" applyFill="1" applyBorder="1" applyAlignment="1">
      <alignment horizontal="center" wrapText="1"/>
    </xf>
    <xf numFmtId="0" fontId="39" fillId="0" borderId="0" xfId="0" applyFont="1" applyAlignment="1">
      <alignment horizontal="center" wrapText="1"/>
    </xf>
    <xf numFmtId="2" fontId="39" fillId="0" borderId="0" xfId="0" applyNumberFormat="1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3" xfId="0" applyBorder="1" applyAlignment="1">
      <alignment wrapText="1"/>
    </xf>
    <xf numFmtId="1" fontId="0" fillId="0" borderId="57" xfId="0" applyNumberFormat="1" applyBorder="1"/>
    <xf numFmtId="0" fontId="0" fillId="0" borderId="53" xfId="0" applyBorder="1"/>
    <xf numFmtId="0" fontId="39" fillId="62" borderId="63" xfId="0" applyFont="1" applyFill="1" applyBorder="1" applyAlignment="1">
      <alignment horizontal="center" wrapText="1"/>
    </xf>
    <xf numFmtId="0" fontId="38" fillId="62" borderId="63" xfId="0" applyFont="1" applyFill="1" applyBorder="1" applyAlignment="1">
      <alignment horizontal="center" wrapText="1"/>
    </xf>
    <xf numFmtId="1" fontId="0" fillId="63" borderId="64" xfId="0" applyNumberFormat="1" applyFill="1" applyBorder="1"/>
    <xf numFmtId="0" fontId="39" fillId="0" borderId="54" xfId="0" applyFont="1" applyBorder="1" applyAlignment="1">
      <alignment horizontal="center" wrapText="1"/>
    </xf>
    <xf numFmtId="175" fontId="0" fillId="0" borderId="3" xfId="4" applyNumberFormat="1" applyFont="1" applyBorder="1"/>
    <xf numFmtId="0" fontId="39" fillId="0" borderId="3" xfId="0" applyFont="1" applyBorder="1" applyAlignment="1">
      <alignment horizontal="center" wrapText="1"/>
    </xf>
    <xf numFmtId="175" fontId="0" fillId="0" borderId="53" xfId="4" applyNumberFormat="1" applyFont="1" applyBorder="1"/>
    <xf numFmtId="1" fontId="0" fillId="64" borderId="65" xfId="0" applyNumberFormat="1" applyFill="1" applyBorder="1"/>
    <xf numFmtId="0" fontId="39" fillId="65" borderId="66" xfId="0" applyFont="1" applyFill="1" applyBorder="1" applyAlignment="1">
      <alignment horizontal="center" wrapText="1"/>
    </xf>
    <xf numFmtId="0" fontId="39" fillId="66" borderId="67" xfId="0" applyFont="1" applyFill="1" applyBorder="1" applyAlignment="1">
      <alignment horizontal="center" wrapText="1"/>
    </xf>
    <xf numFmtId="1" fontId="0" fillId="67" borderId="68" xfId="0" applyNumberFormat="1" applyFill="1" applyBorder="1"/>
    <xf numFmtId="170" fontId="0" fillId="68" borderId="69" xfId="2" applyNumberFormat="1" applyFont="1" applyFill="1" applyBorder="1"/>
    <xf numFmtId="170" fontId="0" fillId="69" borderId="70" xfId="2" applyNumberFormat="1" applyFont="1" applyFill="1" applyBorder="1"/>
    <xf numFmtId="170" fontId="0" fillId="70" borderId="71" xfId="2" applyNumberFormat="1" applyFont="1" applyFill="1" applyBorder="1"/>
    <xf numFmtId="173" fontId="0" fillId="70" borderId="71" xfId="0" applyNumberFormat="1" applyFill="1" applyBorder="1" applyAlignment="1">
      <alignment wrapText="1"/>
    </xf>
    <xf numFmtId="173" fontId="0" fillId="70" borderId="71" xfId="0" applyNumberFormat="1" applyFill="1" applyBorder="1"/>
    <xf numFmtId="0" fontId="40" fillId="71" borderId="72" xfId="0" applyFont="1" applyFill="1" applyBorder="1" applyAlignment="1">
      <alignment horizontal="right"/>
    </xf>
    <xf numFmtId="173" fontId="7" fillId="72" borderId="73" xfId="0" applyNumberFormat="1" applyFont="1" applyFill="1" applyBorder="1"/>
    <xf numFmtId="0" fontId="7" fillId="73" borderId="74" xfId="0" applyFont="1" applyFill="1" applyBorder="1" applyAlignment="1">
      <alignment horizontal="center"/>
    </xf>
    <xf numFmtId="0" fontId="0" fillId="74" borderId="75" xfId="0" applyFill="1" applyBorder="1"/>
    <xf numFmtId="1" fontId="0" fillId="74" borderId="75" xfId="0" applyNumberFormat="1" applyFill="1" applyBorder="1"/>
    <xf numFmtId="0" fontId="0" fillId="71" borderId="72" xfId="0" applyFill="1" applyBorder="1" applyAlignment="1">
      <alignment horizontal="right"/>
    </xf>
    <xf numFmtId="1" fontId="0" fillId="71" borderId="72" xfId="0" applyNumberFormat="1" applyFill="1" applyBorder="1"/>
    <xf numFmtId="0" fontId="0" fillId="75" borderId="76" xfId="0" applyFill="1" applyBorder="1" applyAlignment="1">
      <alignment horizontal="right" wrapText="1"/>
    </xf>
    <xf numFmtId="174" fontId="0" fillId="75" borderId="76" xfId="0" applyNumberFormat="1" applyFill="1" applyBorder="1"/>
    <xf numFmtId="0" fontId="0" fillId="76" borderId="77" xfId="0" applyFill="1" applyBorder="1" applyAlignment="1">
      <alignment horizontal="right" wrapText="1"/>
    </xf>
    <xf numFmtId="174" fontId="0" fillId="76" borderId="77" xfId="0" applyNumberFormat="1" applyFill="1" applyBorder="1"/>
    <xf numFmtId="0" fontId="6" fillId="74" borderId="75" xfId="0" applyFont="1" applyFill="1" applyBorder="1" applyAlignment="1">
      <alignment horizontal="right" wrapText="1"/>
    </xf>
    <xf numFmtId="174" fontId="12" fillId="74" borderId="75" xfId="0" applyNumberFormat="1" applyFont="1" applyFill="1" applyBorder="1"/>
    <xf numFmtId="0" fontId="12" fillId="74" borderId="75" xfId="0" applyFont="1" applyFill="1" applyBorder="1" applyAlignment="1">
      <alignment horizontal="right" wrapText="1"/>
    </xf>
    <xf numFmtId="0" fontId="7" fillId="74" borderId="75" xfId="0" applyFont="1" applyFill="1" applyBorder="1"/>
    <xf numFmtId="1" fontId="7" fillId="74" borderId="75" xfId="0" applyNumberFormat="1" applyFont="1" applyFill="1" applyBorder="1"/>
    <xf numFmtId="0" fontId="7" fillId="57" borderId="58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2" fillId="5" borderId="5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3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79" borderId="81" xfId="0" applyFill="1" applyBorder="1"/>
    <xf numFmtId="164" fontId="0" fillId="0" borderId="55" xfId="1" applyFont="1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56" xfId="0" applyNumberFormat="1" applyBorder="1"/>
    <xf numFmtId="0" fontId="9" fillId="80" borderId="82" xfId="0" applyFont="1" applyFill="1" applyBorder="1"/>
    <xf numFmtId="0" fontId="9" fillId="81" borderId="83" xfId="0" applyFont="1" applyFill="1" applyBorder="1"/>
    <xf numFmtId="0" fontId="9" fillId="81" borderId="83" xfId="0" applyFont="1" applyFill="1" applyBorder="1" applyAlignment="1">
      <alignment horizontal="center"/>
    </xf>
    <xf numFmtId="0" fontId="9" fillId="82" borderId="84" xfId="0" applyFont="1" applyFill="1" applyBorder="1" applyAlignment="1">
      <alignment horizontal="center"/>
    </xf>
    <xf numFmtId="0" fontId="9" fillId="83" borderId="85" xfId="0" applyFont="1" applyFill="1" applyBorder="1" applyAlignment="1">
      <alignment horizontal="center"/>
    </xf>
    <xf numFmtId="0" fontId="9" fillId="84" borderId="86" xfId="0" applyFont="1" applyFill="1" applyBorder="1" applyAlignment="1">
      <alignment horizontal="center"/>
    </xf>
    <xf numFmtId="0" fontId="9" fillId="85" borderId="87" xfId="0" applyFont="1" applyFill="1" applyBorder="1" applyAlignment="1">
      <alignment horizontal="center"/>
    </xf>
    <xf numFmtId="0" fontId="9" fillId="86" borderId="88" xfId="0" applyFont="1" applyFill="1" applyBorder="1" applyAlignment="1">
      <alignment horizontal="center"/>
    </xf>
    <xf numFmtId="0" fontId="9" fillId="87" borderId="89" xfId="0" applyFont="1" applyFill="1" applyBorder="1"/>
    <xf numFmtId="0" fontId="9" fillId="88" borderId="90" xfId="0" applyFont="1" applyFill="1" applyBorder="1"/>
    <xf numFmtId="0" fontId="9" fillId="89" borderId="91" xfId="0" applyFont="1" applyFill="1" applyBorder="1"/>
    <xf numFmtId="0" fontId="9" fillId="90" borderId="92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58" borderId="77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81" xfId="0" applyBorder="1"/>
    <xf numFmtId="0" fontId="0" fillId="0" borderId="78" xfId="0" applyBorder="1" applyAlignment="1">
      <alignment horizontal="center"/>
    </xf>
    <xf numFmtId="164" fontId="0" fillId="0" borderId="81" xfId="1" applyFont="1" applyBorder="1" applyAlignment="1">
      <alignment horizontal="center"/>
    </xf>
    <xf numFmtId="165" fontId="0" fillId="0" borderId="78" xfId="0" applyNumberFormat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2" fontId="0" fillId="0" borderId="78" xfId="0" applyNumberFormat="1" applyBorder="1"/>
    <xf numFmtId="0" fontId="0" fillId="0" borderId="78" xfId="0" applyBorder="1"/>
    <xf numFmtId="0" fontId="0" fillId="0" borderId="0" xfId="0" applyFill="1"/>
    <xf numFmtId="0" fontId="7" fillId="92" borderId="81" xfId="0" applyFont="1" applyFill="1" applyBorder="1"/>
    <xf numFmtId="177" fontId="0" fillId="0" borderId="0" xfId="0" applyNumberFormat="1"/>
    <xf numFmtId="0" fontId="0" fillId="0" borderId="77" xfId="0" applyBorder="1"/>
    <xf numFmtId="0" fontId="7" fillId="0" borderId="77" xfId="0" applyFont="1" applyBorder="1"/>
    <xf numFmtId="0" fontId="0" fillId="0" borderId="97" xfId="0" applyBorder="1"/>
    <xf numFmtId="0" fontId="0" fillId="0" borderId="98" xfId="0" applyBorder="1"/>
    <xf numFmtId="0" fontId="3" fillId="8" borderId="81" xfId="0" applyFont="1" applyFill="1" applyBorder="1" applyAlignment="1">
      <alignment horizontal="center" vertical="center"/>
    </xf>
    <xf numFmtId="0" fontId="3" fillId="8" borderId="93" xfId="0" applyFont="1" applyFill="1" applyBorder="1" applyAlignment="1">
      <alignment horizontal="center" vertical="center"/>
    </xf>
    <xf numFmtId="169" fontId="2" fillId="3" borderId="93" xfId="4" applyNumberFormat="1" applyFont="1" applyFill="1" applyBorder="1" applyAlignment="1">
      <alignment horizontal="center" vertical="center"/>
    </xf>
    <xf numFmtId="0" fontId="0" fillId="0" borderId="93" xfId="0" applyBorder="1"/>
    <xf numFmtId="169" fontId="0" fillId="0" borderId="93" xfId="4" applyNumberFormat="1" applyFont="1" applyBorder="1"/>
    <xf numFmtId="0" fontId="7" fillId="0" borderId="77" xfId="0" applyFont="1" applyBorder="1" applyAlignment="1">
      <alignment horizontal="center"/>
    </xf>
    <xf numFmtId="0" fontId="7" fillId="0" borderId="77" xfId="0" applyFont="1" applyBorder="1" applyAlignment="1">
      <alignment horizontal="right"/>
    </xf>
    <xf numFmtId="0" fontId="12" fillId="0" borderId="77" xfId="0" applyFont="1" applyBorder="1" applyAlignment="1">
      <alignment wrapText="1"/>
    </xf>
    <xf numFmtId="169" fontId="0" fillId="0" borderId="0" xfId="0" applyNumberFormat="1"/>
    <xf numFmtId="1" fontId="0" fillId="0" borderId="77" xfId="0" applyNumberFormat="1" applyBorder="1"/>
    <xf numFmtId="0" fontId="9" fillId="89" borderId="77" xfId="0" applyFont="1" applyFill="1" applyBorder="1"/>
    <xf numFmtId="2" fontId="0" fillId="0" borderId="77" xfId="0" applyNumberFormat="1" applyBorder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0" fontId="9" fillId="89" borderId="95" xfId="0" applyFont="1" applyFill="1" applyBorder="1"/>
    <xf numFmtId="0" fontId="9" fillId="89" borderId="96" xfId="0" applyFont="1" applyFill="1" applyBorder="1"/>
    <xf numFmtId="0" fontId="7" fillId="0" borderId="98" xfId="0" applyFont="1" applyBorder="1"/>
    <xf numFmtId="0" fontId="7" fillId="0" borderId="100" xfId="0" applyFont="1" applyBorder="1"/>
    <xf numFmtId="0" fontId="7" fillId="0" borderId="101" xfId="0" applyFont="1" applyBorder="1"/>
    <xf numFmtId="1" fontId="0" fillId="0" borderId="98" xfId="0" applyNumberFormat="1" applyBorder="1"/>
    <xf numFmtId="1" fontId="0" fillId="0" borderId="100" xfId="0" applyNumberFormat="1" applyBorder="1"/>
    <xf numFmtId="1" fontId="0" fillId="0" borderId="101" xfId="0" applyNumberFormat="1" applyBorder="1"/>
    <xf numFmtId="0" fontId="9" fillId="89" borderId="94" xfId="0" applyFont="1" applyFill="1" applyBorder="1"/>
    <xf numFmtId="0" fontId="9" fillId="90" borderId="96" xfId="0" applyFont="1" applyFill="1" applyBorder="1"/>
    <xf numFmtId="0" fontId="0" fillId="0" borderId="97" xfId="0" applyFill="1" applyBorder="1"/>
    <xf numFmtId="0" fontId="0" fillId="0" borderId="99" xfId="0" applyBorder="1"/>
    <xf numFmtId="0" fontId="0" fillId="0" borderId="101" xfId="0" applyBorder="1"/>
    <xf numFmtId="0" fontId="43" fillId="91" borderId="4" xfId="3" applyFill="1" applyBorder="1" applyAlignment="1">
      <alignment horizontal="right"/>
    </xf>
    <xf numFmtId="0" fontId="12" fillId="0" borderId="77" xfId="0" applyFont="1" applyBorder="1"/>
    <xf numFmtId="14" fontId="12" fillId="0" borderId="77" xfId="0" applyNumberFormat="1" applyFont="1" applyBorder="1" applyAlignment="1">
      <alignment horizontal="center"/>
    </xf>
    <xf numFmtId="14" fontId="12" fillId="0" borderId="77" xfId="0" applyNumberFormat="1" applyFont="1" applyBorder="1" applyAlignment="1">
      <alignment wrapText="1"/>
    </xf>
    <xf numFmtId="0" fontId="12" fillId="0" borderId="77" xfId="0" applyFont="1" applyBorder="1" applyAlignment="1">
      <alignment horizontal="center"/>
    </xf>
    <xf numFmtId="0" fontId="12" fillId="0" borderId="77" xfId="0" applyFont="1" applyBorder="1" applyAlignment="1">
      <alignment horizontal="center" wrapText="1"/>
    </xf>
    <xf numFmtId="0" fontId="0" fillId="0" borderId="77" xfId="0" applyBorder="1" applyAlignment="1">
      <alignment horizontal="center"/>
    </xf>
    <xf numFmtId="0" fontId="49" fillId="0" borderId="77" xfId="0" applyFont="1" applyBorder="1"/>
    <xf numFmtId="0" fontId="49" fillId="0" borderId="0" xfId="0" applyFont="1"/>
    <xf numFmtId="169" fontId="0" fillId="0" borderId="77" xfId="4" applyNumberFormat="1" applyFont="1" applyBorder="1"/>
    <xf numFmtId="169" fontId="0" fillId="0" borderId="77" xfId="4" applyNumberFormat="1" applyFont="1" applyBorder="1" applyAlignment="1">
      <alignment horizontal="center"/>
    </xf>
    <xf numFmtId="0" fontId="36" fillId="0" borderId="77" xfId="0" applyFont="1" applyBorder="1"/>
    <xf numFmtId="169" fontId="36" fillId="0" borderId="77" xfId="0" applyNumberFormat="1" applyFont="1" applyBorder="1"/>
    <xf numFmtId="0" fontId="36" fillId="0" borderId="0" xfId="0" applyFont="1"/>
    <xf numFmtId="0" fontId="49" fillId="0" borderId="0" xfId="0" applyFont="1" applyAlignment="1">
      <alignment horizontal="right"/>
    </xf>
    <xf numFmtId="0" fontId="7" fillId="95" borderId="77" xfId="0" applyFont="1" applyFill="1" applyBorder="1" applyAlignment="1">
      <alignment horizontal="center"/>
    </xf>
    <xf numFmtId="0" fontId="10" fillId="0" borderId="97" xfId="0" applyFont="1" applyBorder="1"/>
    <xf numFmtId="169" fontId="10" fillId="0" borderId="77" xfId="0" applyNumberFormat="1" applyFont="1" applyBorder="1"/>
    <xf numFmtId="170" fontId="33" fillId="0" borderId="98" xfId="2" applyNumberFormat="1" applyFont="1" applyBorder="1"/>
    <xf numFmtId="0" fontId="49" fillId="0" borderId="97" xfId="0" applyFont="1" applyBorder="1" applyAlignment="1">
      <alignment horizontal="right"/>
    </xf>
    <xf numFmtId="169" fontId="49" fillId="0" borderId="77" xfId="4" applyNumberFormat="1" applyFont="1" applyBorder="1"/>
    <xf numFmtId="170" fontId="49" fillId="0" borderId="98" xfId="2" applyNumberFormat="1" applyFont="1" applyBorder="1"/>
    <xf numFmtId="173" fontId="0" fillId="0" borderId="77" xfId="0" applyNumberFormat="1" applyBorder="1"/>
    <xf numFmtId="0" fontId="10" fillId="0" borderId="97" xfId="0" applyFont="1" applyBorder="1" applyAlignment="1">
      <alignment horizontal="left"/>
    </xf>
    <xf numFmtId="169" fontId="0" fillId="0" borderId="77" xfId="0" applyNumberFormat="1" applyBorder="1"/>
    <xf numFmtId="173" fontId="49" fillId="0" borderId="77" xfId="0" applyNumberFormat="1" applyFont="1" applyBorder="1"/>
    <xf numFmtId="0" fontId="49" fillId="0" borderId="98" xfId="0" applyFont="1" applyBorder="1"/>
    <xf numFmtId="0" fontId="49" fillId="0" borderId="99" xfId="0" applyFont="1" applyBorder="1" applyAlignment="1">
      <alignment horizontal="right"/>
    </xf>
    <xf numFmtId="173" fontId="0" fillId="0" borderId="100" xfId="0" applyNumberFormat="1" applyBorder="1"/>
    <xf numFmtId="170" fontId="49" fillId="0" borderId="101" xfId="2" applyNumberFormat="1" applyFont="1" applyBorder="1"/>
    <xf numFmtId="0" fontId="10" fillId="0" borderId="77" xfId="0" applyFont="1" applyBorder="1"/>
    <xf numFmtId="0" fontId="49" fillId="0" borderId="77" xfId="0" applyFont="1" applyBorder="1" applyAlignment="1">
      <alignment horizontal="right"/>
    </xf>
    <xf numFmtId="0" fontId="10" fillId="0" borderId="77" xfId="0" applyFont="1" applyBorder="1" applyAlignment="1">
      <alignment horizontal="left"/>
    </xf>
    <xf numFmtId="0" fontId="33" fillId="92" borderId="102" xfId="0" applyFont="1" applyFill="1" applyBorder="1" applyAlignment="1">
      <alignment horizontal="left" wrapText="1"/>
    </xf>
    <xf numFmtId="169" fontId="33" fillId="94" borderId="103" xfId="0" applyNumberFormat="1" applyFont="1" applyFill="1" applyBorder="1"/>
    <xf numFmtId="170" fontId="33" fillId="94" borderId="104" xfId="2" applyNumberFormat="1" applyFont="1" applyFill="1" applyBorder="1"/>
    <xf numFmtId="0" fontId="52" fillId="0" borderId="104" xfId="0" applyFont="1" applyBorder="1"/>
    <xf numFmtId="0" fontId="33" fillId="93" borderId="103" xfId="0" applyFont="1" applyFill="1" applyBorder="1" applyAlignment="1">
      <alignment horizontal="left" wrapText="1"/>
    </xf>
    <xf numFmtId="169" fontId="33" fillId="95" borderId="103" xfId="0" applyNumberFormat="1" applyFont="1" applyFill="1" applyBorder="1"/>
    <xf numFmtId="170" fontId="33" fillId="95" borderId="104" xfId="2" applyNumberFormat="1" applyFont="1" applyFill="1" applyBorder="1"/>
    <xf numFmtId="0" fontId="7" fillId="91" borderId="77" xfId="0" applyFont="1" applyFill="1" applyBorder="1" applyAlignment="1">
      <alignment horizontal="left" wrapText="1"/>
    </xf>
    <xf numFmtId="0" fontId="18" fillId="26" borderId="77" xfId="0" applyFont="1" applyFill="1" applyBorder="1" applyAlignment="1">
      <alignment horizontal="center" vertical="top" wrapText="1"/>
    </xf>
    <xf numFmtId="0" fontId="53" fillId="3" borderId="2" xfId="0" applyFont="1" applyFill="1" applyBorder="1" applyAlignment="1">
      <alignment horizontal="right" vertical="center"/>
    </xf>
    <xf numFmtId="0" fontId="7" fillId="69" borderId="58" xfId="0" applyFont="1" applyFill="1" applyBorder="1" applyAlignment="1">
      <alignment horizontal="center"/>
    </xf>
    <xf numFmtId="0" fontId="26" fillId="0" borderId="0" xfId="3" applyFont="1" applyFill="1"/>
    <xf numFmtId="0" fontId="54" fillId="96" borderId="32" xfId="3" applyFont="1" applyFill="1" applyBorder="1" applyAlignment="1">
      <alignment horizontal="left"/>
    </xf>
    <xf numFmtId="0" fontId="54" fillId="96" borderId="33" xfId="3" applyFont="1" applyFill="1" applyBorder="1" applyAlignment="1">
      <alignment horizontal="left"/>
    </xf>
    <xf numFmtId="0" fontId="54" fillId="96" borderId="13" xfId="3" applyFont="1" applyFill="1" applyBorder="1" applyAlignment="1">
      <alignment horizontal="left"/>
    </xf>
    <xf numFmtId="0" fontId="54" fillId="96" borderId="40" xfId="3" applyFont="1" applyFill="1" applyBorder="1" applyAlignment="1">
      <alignment horizontal="left"/>
    </xf>
    <xf numFmtId="0" fontId="54" fillId="96" borderId="42" xfId="3" applyFont="1" applyFill="1" applyBorder="1" applyAlignment="1">
      <alignment horizontal="left"/>
    </xf>
    <xf numFmtId="0" fontId="54" fillId="96" borderId="46" xfId="3" applyFont="1" applyFill="1" applyBorder="1" applyAlignment="1">
      <alignment horizontal="left"/>
    </xf>
    <xf numFmtId="0" fontId="54" fillId="96" borderId="50" xfId="3" applyFont="1" applyFill="1" applyBorder="1" applyAlignment="1">
      <alignment horizontal="left"/>
    </xf>
    <xf numFmtId="0" fontId="54" fillId="96" borderId="51" xfId="3" applyFont="1" applyFill="1" applyBorder="1" applyAlignment="1">
      <alignment horizontal="left"/>
    </xf>
    <xf numFmtId="14" fontId="26" fillId="0" borderId="0" xfId="3" applyNumberFormat="1" applyFont="1" applyAlignment="1">
      <alignment horizontal="center"/>
    </xf>
    <xf numFmtId="2" fontId="55" fillId="0" borderId="36" xfId="3" applyNumberFormat="1" applyFont="1" applyFill="1" applyBorder="1" applyAlignment="1">
      <alignment horizontal="right"/>
    </xf>
    <xf numFmtId="2" fontId="55" fillId="0" borderId="35" xfId="3" applyNumberFormat="1" applyFont="1" applyFill="1" applyBorder="1" applyAlignment="1">
      <alignment horizontal="right"/>
    </xf>
    <xf numFmtId="2" fontId="55" fillId="0" borderId="41" xfId="3" applyNumberFormat="1" applyFont="1" applyFill="1" applyBorder="1" applyAlignment="1">
      <alignment horizontal="right"/>
    </xf>
    <xf numFmtId="0" fontId="56" fillId="39" borderId="42" xfId="3" applyFont="1" applyFill="1" applyBorder="1"/>
    <xf numFmtId="49" fontId="30" fillId="0" borderId="0" xfId="3" applyNumberFormat="1" applyFont="1" applyAlignment="1">
      <alignment horizontal="center"/>
    </xf>
    <xf numFmtId="2" fontId="55" fillId="0" borderId="0" xfId="3" applyNumberFormat="1" applyFont="1" applyFill="1"/>
    <xf numFmtId="2" fontId="55" fillId="0" borderId="35" xfId="3" applyNumberFormat="1" applyFont="1" applyFill="1" applyBorder="1" applyAlignment="1">
      <alignment horizontal="center"/>
    </xf>
    <xf numFmtId="2" fontId="55" fillId="0" borderId="0" xfId="3" applyNumberFormat="1" applyFont="1"/>
    <xf numFmtId="2" fontId="55" fillId="0" borderId="0" xfId="3" applyNumberFormat="1" applyFont="1" applyFill="1" applyAlignment="1">
      <alignment horizontal="center"/>
    </xf>
    <xf numFmtId="2" fontId="55" fillId="0" borderId="36" xfId="3" applyNumberFormat="1" applyFont="1" applyFill="1" applyBorder="1" applyAlignment="1">
      <alignment horizontal="center"/>
    </xf>
    <xf numFmtId="49" fontId="27" fillId="0" borderId="0" xfId="3" applyNumberFormat="1" applyFont="1" applyAlignment="1">
      <alignment horizontal="center"/>
    </xf>
    <xf numFmtId="49" fontId="7" fillId="0" borderId="0" xfId="3" applyNumberFormat="1" applyFont="1" applyAlignment="1">
      <alignment horizontal="center"/>
    </xf>
    <xf numFmtId="0" fontId="29" fillId="34" borderId="77" xfId="3" applyFont="1" applyFill="1" applyBorder="1" applyAlignment="1">
      <alignment horizontal="right"/>
    </xf>
    <xf numFmtId="2" fontId="55" fillId="0" borderId="77" xfId="3" applyNumberFormat="1" applyFont="1" applyFill="1" applyBorder="1" applyAlignment="1">
      <alignment horizontal="center"/>
    </xf>
    <xf numFmtId="2" fontId="55" fillId="0" borderId="77" xfId="3" applyNumberFormat="1" applyFont="1" applyFill="1" applyBorder="1" applyAlignment="1">
      <alignment horizontal="right"/>
    </xf>
    <xf numFmtId="0" fontId="29" fillId="30" borderId="77" xfId="3" applyFont="1" applyFill="1" applyBorder="1" applyAlignment="1">
      <alignment horizontal="center"/>
    </xf>
    <xf numFmtId="49" fontId="30" fillId="97" borderId="0" xfId="3" applyNumberFormat="1" applyFont="1" applyFill="1" applyAlignment="1">
      <alignment horizontal="center"/>
    </xf>
    <xf numFmtId="173" fontId="21" fillId="55" borderId="77" xfId="0" applyNumberFormat="1" applyFont="1" applyFill="1" applyBorder="1"/>
    <xf numFmtId="173" fontId="21" fillId="55" borderId="77" xfId="0" applyNumberFormat="1" applyFont="1" applyFill="1" applyBorder="1" applyAlignment="1">
      <alignment horizontal="center"/>
    </xf>
    <xf numFmtId="173" fontId="21" fillId="56" borderId="77" xfId="0" applyNumberFormat="1" applyFont="1" applyFill="1" applyBorder="1"/>
    <xf numFmtId="173" fontId="0" fillId="55" borderId="77" xfId="0" applyNumberFormat="1" applyFont="1" applyFill="1" applyBorder="1"/>
    <xf numFmtId="173" fontId="0" fillId="55" borderId="77" xfId="0" applyNumberFormat="1" applyFont="1" applyFill="1" applyBorder="1" applyAlignment="1">
      <alignment horizontal="center"/>
    </xf>
    <xf numFmtId="173" fontId="0" fillId="56" borderId="77" xfId="0" applyNumberFormat="1" applyFont="1" applyFill="1" applyBorder="1"/>
    <xf numFmtId="0" fontId="49" fillId="0" borderId="100" xfId="0" applyFont="1" applyBorder="1" applyAlignment="1">
      <alignment horizontal="right"/>
    </xf>
    <xf numFmtId="169" fontId="7" fillId="0" borderId="77" xfId="0" applyNumberFormat="1" applyFont="1" applyBorder="1" applyAlignment="1">
      <alignment horizontal="center"/>
    </xf>
    <xf numFmtId="173" fontId="0" fillId="0" borderId="0" xfId="0" applyNumberFormat="1"/>
    <xf numFmtId="0" fontId="7" fillId="23" borderId="23" xfId="0" applyFont="1" applyFill="1" applyBorder="1" applyAlignment="1">
      <alignment horizontal="center"/>
    </xf>
    <xf numFmtId="0" fontId="0" fillId="0" borderId="105" xfId="0" pivotButton="1" applyBorder="1"/>
    <xf numFmtId="0" fontId="0" fillId="0" borderId="107" xfId="0" applyBorder="1"/>
    <xf numFmtId="0" fontId="0" fillId="0" borderId="105" xfId="0" applyBorder="1" applyAlignment="1">
      <alignment horizontal="left"/>
    </xf>
    <xf numFmtId="0" fontId="0" fillId="0" borderId="107" xfId="0" applyNumberFormat="1" applyBorder="1"/>
    <xf numFmtId="0" fontId="0" fillId="0" borderId="106" xfId="0" applyBorder="1" applyAlignment="1">
      <alignment horizontal="left"/>
    </xf>
    <xf numFmtId="0" fontId="0" fillId="0" borderId="108" xfId="0" applyNumberFormat="1" applyBorder="1"/>
    <xf numFmtId="0" fontId="0" fillId="0" borderId="110" xfId="0" applyBorder="1" applyAlignment="1">
      <alignment horizontal="left"/>
    </xf>
    <xf numFmtId="0" fontId="0" fillId="0" borderId="109" xfId="0" applyNumberFormat="1" applyBorder="1"/>
    <xf numFmtId="0" fontId="0" fillId="0" borderId="59" xfId="0" applyFont="1" applyFill="1" applyBorder="1" applyAlignment="1">
      <alignment horizontal="center"/>
    </xf>
    <xf numFmtId="0" fontId="7" fillId="23" borderId="23" xfId="0" applyFont="1" applyFill="1" applyBorder="1" applyAlignment="1"/>
    <xf numFmtId="0" fontId="7" fillId="23" borderId="23" xfId="0" applyFont="1" applyFill="1" applyBorder="1" applyAlignment="1">
      <alignment horizontal="right"/>
    </xf>
    <xf numFmtId="0" fontId="0" fillId="97" borderId="59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59" fillId="0" borderId="0" xfId="0" quotePrefix="1" applyFont="1" applyAlignment="1">
      <alignment horizontal="center"/>
    </xf>
    <xf numFmtId="0" fontId="41" fillId="0" borderId="80" xfId="0" applyFont="1" applyBorder="1" applyAlignment="1">
      <alignment horizontal="center"/>
    </xf>
    <xf numFmtId="0" fontId="0" fillId="0" borderId="80" xfId="0" applyBorder="1" applyAlignment="1">
      <alignment horizontal="center"/>
    </xf>
    <xf numFmtId="165" fontId="5" fillId="0" borderId="80" xfId="0" applyNumberFormat="1" applyFont="1" applyBorder="1"/>
    <xf numFmtId="0" fontId="2" fillId="2" borderId="80" xfId="0" applyFont="1" applyFill="1" applyBorder="1" applyAlignment="1">
      <alignment horizontal="left" vertical="center"/>
    </xf>
    <xf numFmtId="1" fontId="2" fillId="2" borderId="80" xfId="0" applyNumberFormat="1" applyFont="1" applyFill="1" applyBorder="1" applyAlignment="1">
      <alignment horizontal="left" vertical="center"/>
    </xf>
    <xf numFmtId="0" fontId="2" fillId="3" borderId="80" xfId="0" applyFont="1" applyFill="1" applyBorder="1" applyAlignment="1">
      <alignment horizontal="center" vertical="center"/>
    </xf>
    <xf numFmtId="0" fontId="2" fillId="0" borderId="80" xfId="0" applyFont="1" applyBorder="1" applyAlignment="1">
      <alignment horizontal="left" vertical="center"/>
    </xf>
    <xf numFmtId="165" fontId="2" fillId="3" borderId="80" xfId="0" applyNumberFormat="1" applyFont="1" applyFill="1" applyBorder="1" applyAlignment="1">
      <alignment horizontal="left" vertical="center"/>
    </xf>
    <xf numFmtId="2" fontId="2" fillId="3" borderId="80" xfId="0" applyNumberFormat="1" applyFont="1" applyFill="1" applyBorder="1" applyAlignment="1">
      <alignment horizontal="left" vertical="center"/>
    </xf>
    <xf numFmtId="1" fontId="2" fillId="4" borderId="80" xfId="0" applyNumberFormat="1" applyFont="1" applyFill="1" applyBorder="1" applyAlignment="1">
      <alignment horizontal="left" vertical="center"/>
    </xf>
    <xf numFmtId="176" fontId="2" fillId="3" borderId="80" xfId="0" applyNumberFormat="1" applyFont="1" applyFill="1" applyBorder="1" applyAlignment="1">
      <alignment horizontal="center" vertical="center"/>
    </xf>
    <xf numFmtId="2" fontId="2" fillId="3" borderId="80" xfId="0" applyNumberFormat="1" applyFont="1" applyFill="1" applyBorder="1" applyAlignment="1">
      <alignment horizontal="center" vertical="center"/>
    </xf>
    <xf numFmtId="165" fontId="2" fillId="3" borderId="80" xfId="0" applyNumberFormat="1" applyFont="1" applyFill="1" applyBorder="1" applyAlignment="1">
      <alignment horizontal="center" vertical="center"/>
    </xf>
    <xf numFmtId="1" fontId="2" fillId="3" borderId="80" xfId="0" applyNumberFormat="1" applyFont="1" applyFill="1" applyBorder="1" applyAlignment="1">
      <alignment horizontal="center" vertical="center"/>
    </xf>
    <xf numFmtId="9" fontId="2" fillId="3" borderId="80" xfId="2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right" vertical="center"/>
    </xf>
    <xf numFmtId="167" fontId="2" fillId="3" borderId="80" xfId="1" applyNumberFormat="1" applyFont="1" applyFill="1" applyBorder="1" applyAlignment="1">
      <alignment horizontal="right" vertical="center"/>
    </xf>
    <xf numFmtId="2" fontId="2" fillId="2" borderId="80" xfId="0" applyNumberFormat="1" applyFont="1" applyFill="1" applyBorder="1" applyAlignment="1">
      <alignment horizontal="left" vertical="center"/>
    </xf>
    <xf numFmtId="166" fontId="2" fillId="3" borderId="80" xfId="1" applyNumberFormat="1" applyFont="1" applyFill="1" applyBorder="1" applyAlignment="1">
      <alignment horizontal="right" vertical="center"/>
    </xf>
    <xf numFmtId="0" fontId="60" fillId="92" borderId="34" xfId="3" applyFont="1" applyFill="1" applyBorder="1" applyAlignment="1">
      <alignment horizontal="right"/>
    </xf>
    <xf numFmtId="0" fontId="29" fillId="92" borderId="34" xfId="3" applyFont="1" applyFill="1" applyBorder="1" applyAlignment="1">
      <alignment horizontal="right"/>
    </xf>
    <xf numFmtId="2" fontId="54" fillId="0" borderId="0" xfId="3" applyNumberFormat="1" applyFont="1" applyFill="1"/>
    <xf numFmtId="2" fontId="54" fillId="0" borderId="36" xfId="3" applyNumberFormat="1" applyFont="1" applyFill="1" applyBorder="1" applyAlignment="1">
      <alignment horizontal="right"/>
    </xf>
    <xf numFmtId="2" fontId="54" fillId="0" borderId="35" xfId="3" applyNumberFormat="1" applyFont="1" applyFill="1" applyBorder="1" applyAlignment="1">
      <alignment horizontal="center"/>
    </xf>
    <xf numFmtId="2" fontId="54" fillId="0" borderId="35" xfId="3" applyNumberFormat="1" applyFont="1" applyFill="1" applyBorder="1" applyAlignment="1">
      <alignment horizontal="right"/>
    </xf>
    <xf numFmtId="2" fontId="54" fillId="0" borderId="41" xfId="3" applyNumberFormat="1" applyFont="1" applyFill="1" applyBorder="1" applyAlignment="1">
      <alignment horizontal="right"/>
    </xf>
    <xf numFmtId="2" fontId="54" fillId="0" borderId="36" xfId="3" applyNumberFormat="1" applyFont="1" applyFill="1" applyBorder="1" applyAlignment="1">
      <alignment horizontal="center"/>
    </xf>
    <xf numFmtId="2" fontId="54" fillId="0" borderId="0" xfId="3" applyNumberFormat="1" applyFont="1" applyFill="1" applyAlignment="1">
      <alignment horizontal="center"/>
    </xf>
    <xf numFmtId="2" fontId="54" fillId="0" borderId="77" xfId="3" applyNumberFormat="1" applyFont="1" applyFill="1" applyBorder="1" applyAlignment="1">
      <alignment horizontal="right"/>
    </xf>
    <xf numFmtId="2" fontId="54" fillId="0" borderId="77" xfId="3" applyNumberFormat="1" applyFont="1" applyFill="1" applyBorder="1" applyAlignment="1">
      <alignment horizontal="center"/>
    </xf>
    <xf numFmtId="0" fontId="29" fillId="92" borderId="77" xfId="3" applyFont="1" applyFill="1" applyBorder="1" applyAlignment="1">
      <alignment horizontal="right"/>
    </xf>
    <xf numFmtId="49" fontId="30" fillId="0" borderId="0" xfId="3" applyNumberFormat="1" applyFont="1" applyFill="1" applyAlignment="1">
      <alignment horizontal="center"/>
    </xf>
    <xf numFmtId="0" fontId="0" fillId="92" borderId="81" xfId="0" applyFill="1" applyBorder="1"/>
    <xf numFmtId="0" fontId="0" fillId="95" borderId="0" xfId="0" applyFill="1"/>
    <xf numFmtId="176" fontId="0" fillId="95" borderId="0" xfId="0" applyNumberFormat="1" applyFill="1"/>
    <xf numFmtId="1" fontId="0" fillId="95" borderId="0" xfId="0" applyNumberFormat="1" applyFill="1" applyAlignment="1">
      <alignment horizontal="center"/>
    </xf>
    <xf numFmtId="9" fontId="0" fillId="95" borderId="0" xfId="2" applyFont="1" applyFill="1" applyAlignment="1">
      <alignment horizontal="center"/>
    </xf>
    <xf numFmtId="164" fontId="0" fillId="95" borderId="0" xfId="1" applyFont="1" applyFill="1" applyAlignment="1">
      <alignment horizontal="center"/>
    </xf>
    <xf numFmtId="0" fontId="0" fillId="97" borderId="0" xfId="0" applyFill="1"/>
    <xf numFmtId="1" fontId="0" fillId="97" borderId="0" xfId="0" applyNumberFormat="1" applyFill="1"/>
    <xf numFmtId="0" fontId="0" fillId="97" borderId="0" xfId="0" applyFill="1" applyAlignment="1">
      <alignment horizontal="center"/>
    </xf>
    <xf numFmtId="176" fontId="0" fillId="97" borderId="0" xfId="0" applyNumberFormat="1" applyFill="1"/>
    <xf numFmtId="1" fontId="0" fillId="97" borderId="0" xfId="0" applyNumberFormat="1" applyFill="1" applyAlignment="1">
      <alignment horizontal="center"/>
    </xf>
    <xf numFmtId="9" fontId="0" fillId="97" borderId="0" xfId="2" applyFont="1" applyFill="1" applyAlignment="1">
      <alignment horizontal="center"/>
    </xf>
    <xf numFmtId="164" fontId="0" fillId="97" borderId="0" xfId="1" applyFont="1" applyFill="1" applyAlignment="1">
      <alignment horizontal="center"/>
    </xf>
    <xf numFmtId="0" fontId="0" fillId="0" borderId="77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4" fontId="0" fillId="0" borderId="77" xfId="0" applyNumberFormat="1" applyBorder="1"/>
    <xf numFmtId="0" fontId="0" fillId="0" borderId="77" xfId="0" applyBorder="1" applyAlignment="1">
      <alignment wrapText="1"/>
    </xf>
    <xf numFmtId="0" fontId="0" fillId="95" borderId="77" xfId="0" applyFill="1" applyBorder="1" applyAlignment="1">
      <alignment horizontal="right" wrapText="1"/>
    </xf>
    <xf numFmtId="0" fontId="0" fillId="94" borderId="77" xfId="0" applyFill="1" applyBorder="1" applyAlignment="1">
      <alignment horizontal="right" wrapText="1"/>
    </xf>
    <xf numFmtId="0" fontId="0" fillId="97" borderId="77" xfId="0" applyFill="1" applyBorder="1" applyAlignment="1">
      <alignment horizontal="right" wrapText="1"/>
    </xf>
    <xf numFmtId="0" fontId="36" fillId="97" borderId="77" xfId="0" applyFont="1" applyFill="1" applyBorder="1" applyAlignment="1">
      <alignment horizontal="right" wrapText="1"/>
    </xf>
    <xf numFmtId="14" fontId="0" fillId="95" borderId="0" xfId="0" applyNumberFormat="1" applyFill="1" applyAlignment="1">
      <alignment horizontal="right"/>
    </xf>
    <xf numFmtId="0" fontId="0" fillId="95" borderId="0" xfId="0" applyFill="1" applyAlignment="1">
      <alignment horizontal="right"/>
    </xf>
    <xf numFmtId="0" fontId="0" fillId="94" borderId="0" xfId="0" applyFill="1" applyAlignment="1">
      <alignment horizontal="right"/>
    </xf>
    <xf numFmtId="169" fontId="0" fillId="97" borderId="0" xfId="4" applyNumberFormat="1" applyFont="1" applyFill="1" applyAlignment="1">
      <alignment horizontal="right"/>
    </xf>
    <xf numFmtId="0" fontId="0" fillId="97" borderId="0" xfId="0" applyFill="1" applyAlignment="1">
      <alignment horizontal="right"/>
    </xf>
    <xf numFmtId="169" fontId="36" fillId="97" borderId="0" xfId="0" applyNumberFormat="1" applyFont="1" applyFill="1" applyAlignment="1">
      <alignment horizontal="right"/>
    </xf>
    <xf numFmtId="0" fontId="36" fillId="97" borderId="0" xfId="0" applyFont="1" applyFill="1" applyAlignment="1">
      <alignment horizontal="right"/>
    </xf>
    <xf numFmtId="0" fontId="7" fillId="94" borderId="0" xfId="0" applyFont="1" applyFill="1" applyAlignment="1">
      <alignment horizontal="right"/>
    </xf>
    <xf numFmtId="0" fontId="0" fillId="98" borderId="77" xfId="0" applyFill="1" applyBorder="1" applyAlignment="1">
      <alignment horizontal="right" wrapText="1"/>
    </xf>
    <xf numFmtId="169" fontId="0" fillId="98" borderId="0" xfId="4" applyNumberFormat="1" applyFont="1" applyFill="1" applyAlignment="1">
      <alignment horizontal="right"/>
    </xf>
    <xf numFmtId="169" fontId="0" fillId="98" borderId="0" xfId="0" applyNumberFormat="1" applyFill="1" applyAlignment="1">
      <alignment horizontal="right"/>
    </xf>
    <xf numFmtId="0" fontId="0" fillId="98" borderId="0" xfId="0" applyFill="1" applyAlignment="1">
      <alignment horizontal="right"/>
    </xf>
    <xf numFmtId="0" fontId="36" fillId="98" borderId="77" xfId="0" applyFont="1" applyFill="1" applyBorder="1" applyAlignment="1">
      <alignment horizontal="right" wrapText="1"/>
    </xf>
    <xf numFmtId="169" fontId="36" fillId="98" borderId="0" xfId="0" applyNumberFormat="1" applyFont="1" applyFill="1" applyAlignment="1">
      <alignment horizontal="right"/>
    </xf>
    <xf numFmtId="0" fontId="36" fillId="98" borderId="0" xfId="0" applyFont="1" applyFill="1" applyAlignment="1">
      <alignment horizontal="right"/>
    </xf>
    <xf numFmtId="169" fontId="7" fillId="98" borderId="0" xfId="0" applyNumberFormat="1" applyFont="1" applyFill="1" applyAlignment="1">
      <alignment horizontal="right"/>
    </xf>
    <xf numFmtId="0" fontId="7" fillId="98" borderId="0" xfId="0" applyFont="1" applyFill="1" applyAlignment="1">
      <alignment horizontal="right"/>
    </xf>
    <xf numFmtId="169" fontId="36" fillId="97" borderId="0" xfId="4" applyNumberFormat="1" applyFont="1" applyFill="1" applyAlignment="1">
      <alignment horizontal="right"/>
    </xf>
    <xf numFmtId="0" fontId="0" fillId="91" borderId="81" xfId="0" applyFill="1" applyBorder="1"/>
    <xf numFmtId="167" fontId="6" fillId="0" borderId="80" xfId="1" applyNumberFormat="1" applyFont="1" applyBorder="1" applyAlignment="1">
      <alignment horizontal="center"/>
    </xf>
    <xf numFmtId="0" fontId="43" fillId="91" borderId="80" xfId="3" applyFill="1" applyBorder="1" applyAlignment="1">
      <alignment horizontal="right"/>
    </xf>
    <xf numFmtId="0" fontId="61" fillId="3" borderId="2" xfId="0" applyFont="1" applyFill="1" applyBorder="1" applyAlignment="1">
      <alignment horizontal="right" vertical="center"/>
    </xf>
    <xf numFmtId="178" fontId="0" fillId="0" borderId="0" xfId="0" applyNumberFormat="1"/>
    <xf numFmtId="0" fontId="7" fillId="49" borderId="77" xfId="0" applyFont="1" applyFill="1" applyBorder="1" applyAlignment="1">
      <alignment horizontal="center" wrapText="1"/>
    </xf>
    <xf numFmtId="1" fontId="7" fillId="50" borderId="77" xfId="0" applyNumberFormat="1" applyFont="1" applyFill="1" applyBorder="1" applyAlignment="1">
      <alignment horizontal="center" wrapText="1"/>
    </xf>
    <xf numFmtId="0" fontId="48" fillId="51" borderId="77" xfId="0" applyFont="1" applyFill="1" applyBorder="1" applyAlignment="1">
      <alignment horizontal="left"/>
    </xf>
    <xf numFmtId="173" fontId="34" fillId="51" borderId="77" xfId="0" applyNumberFormat="1" applyFont="1" applyFill="1" applyBorder="1" applyAlignment="1">
      <alignment horizontal="center"/>
    </xf>
    <xf numFmtId="173" fontId="48" fillId="52" borderId="77" xfId="0" applyNumberFormat="1" applyFont="1" applyFill="1" applyBorder="1"/>
    <xf numFmtId="0" fontId="48" fillId="53" borderId="77" xfId="0" applyFont="1" applyFill="1" applyBorder="1" applyAlignment="1">
      <alignment horizontal="left"/>
    </xf>
    <xf numFmtId="173" fontId="34" fillId="53" borderId="77" xfId="0" applyNumberFormat="1" applyFont="1" applyFill="1" applyBorder="1" applyAlignment="1">
      <alignment horizontal="center"/>
    </xf>
    <xf numFmtId="173" fontId="48" fillId="54" borderId="77" xfId="0" applyNumberFormat="1" applyFont="1" applyFill="1" applyBorder="1"/>
    <xf numFmtId="173" fontId="10" fillId="91" borderId="77" xfId="0" applyNumberFormat="1" applyFont="1" applyFill="1" applyBorder="1" applyAlignment="1">
      <alignment horizontal="center"/>
    </xf>
    <xf numFmtId="0" fontId="50" fillId="91" borderId="77" xfId="0" applyFont="1" applyFill="1" applyBorder="1" applyAlignment="1">
      <alignment horizontal="left"/>
    </xf>
    <xf numFmtId="0" fontId="50" fillId="91" borderId="77" xfId="0" applyFont="1" applyFill="1" applyBorder="1" applyAlignment="1">
      <alignment horizontal="left" wrapText="1"/>
    </xf>
    <xf numFmtId="173" fontId="35" fillId="91" borderId="77" xfId="0" applyNumberFormat="1" applyFont="1" applyFill="1" applyBorder="1" applyAlignment="1">
      <alignment horizontal="center"/>
    </xf>
    <xf numFmtId="173" fontId="50" fillId="55" borderId="77" xfId="0" applyNumberFormat="1" applyFont="1" applyFill="1" applyBorder="1"/>
    <xf numFmtId="173" fontId="57" fillId="55" borderId="77" xfId="0" applyNumberFormat="1" applyFont="1" applyFill="1" applyBorder="1"/>
    <xf numFmtId="0" fontId="7" fillId="93" borderId="77" xfId="0" applyFont="1" applyFill="1" applyBorder="1" applyAlignment="1">
      <alignment horizontal="left" wrapText="1"/>
    </xf>
    <xf numFmtId="173" fontId="10" fillId="93" borderId="77" xfId="0" applyNumberFormat="1" applyFont="1" applyFill="1" applyBorder="1" applyAlignment="1">
      <alignment horizontal="center"/>
    </xf>
    <xf numFmtId="0" fontId="51" fillId="93" borderId="77" xfId="0" applyFont="1" applyFill="1" applyBorder="1" applyAlignment="1">
      <alignment horizontal="left" wrapText="1"/>
    </xf>
    <xf numFmtId="0" fontId="51" fillId="93" borderId="77" xfId="0" applyFont="1" applyFill="1" applyBorder="1" applyAlignment="1">
      <alignment horizontal="left"/>
    </xf>
    <xf numFmtId="173" fontId="11" fillId="93" borderId="77" xfId="0" applyNumberFormat="1" applyFont="1" applyFill="1" applyBorder="1" applyAlignment="1">
      <alignment horizontal="center"/>
    </xf>
    <xf numFmtId="173" fontId="51" fillId="56" borderId="77" xfId="0" applyNumberFormat="1" applyFont="1" applyFill="1" applyBorder="1"/>
    <xf numFmtId="173" fontId="58" fillId="56" borderId="77" xfId="0" applyNumberFormat="1" applyFont="1" applyFill="1" applyBorder="1"/>
    <xf numFmtId="0" fontId="48" fillId="54" borderId="77" xfId="0" applyFont="1" applyFill="1" applyBorder="1" applyAlignment="1">
      <alignment horizontal="left"/>
    </xf>
    <xf numFmtId="173" fontId="34" fillId="54" borderId="77" xfId="0" applyNumberFormat="1" applyFont="1" applyFill="1" applyBorder="1" applyAlignment="1">
      <alignment horizontal="center"/>
    </xf>
    <xf numFmtId="0" fontId="49" fillId="0" borderId="97" xfId="0" applyFont="1" applyFill="1" applyBorder="1" applyAlignment="1">
      <alignment horizontal="right"/>
    </xf>
    <xf numFmtId="0" fontId="0" fillId="97" borderId="77" xfId="0" applyFill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49" fillId="0" borderId="77" xfId="0" applyFont="1" applyFill="1" applyBorder="1" applyAlignment="1">
      <alignment horizontal="right"/>
    </xf>
    <xf numFmtId="0" fontId="0" fillId="0" borderId="77" xfId="0" applyFill="1" applyBorder="1" applyAlignment="1">
      <alignment horizontal="right"/>
    </xf>
    <xf numFmtId="169" fontId="49" fillId="0" borderId="0" xfId="0" applyNumberFormat="1" applyFont="1"/>
    <xf numFmtId="0" fontId="7" fillId="50" borderId="77" xfId="0" applyFont="1" applyFill="1" applyBorder="1" applyAlignment="1">
      <alignment horizontal="center" wrapText="1"/>
    </xf>
    <xf numFmtId="44" fontId="0" fillId="0" borderId="0" xfId="4" applyFont="1"/>
    <xf numFmtId="0" fontId="49" fillId="0" borderId="0" xfId="0" applyFont="1" applyAlignment="1">
      <alignment wrapText="1"/>
    </xf>
    <xf numFmtId="0" fontId="7" fillId="97" borderId="77" xfId="0" applyFont="1" applyFill="1" applyBorder="1" applyAlignment="1">
      <alignment horizontal="left" wrapText="1"/>
    </xf>
    <xf numFmtId="0" fontId="7" fillId="95" borderId="77" xfId="0" applyFont="1" applyFill="1" applyBorder="1" applyAlignment="1">
      <alignment horizontal="left"/>
    </xf>
    <xf numFmtId="0" fontId="7" fillId="23" borderId="23" xfId="0" applyFont="1" applyFill="1" applyBorder="1" applyAlignment="1">
      <alignment horizontal="center"/>
    </xf>
    <xf numFmtId="0" fontId="29" fillId="0" borderId="0" xfId="3" applyFont="1" applyAlignment="1">
      <alignment horizontal="left"/>
    </xf>
    <xf numFmtId="0" fontId="7" fillId="91" borderId="77" xfId="0" applyFont="1" applyFill="1" applyBorder="1" applyAlignment="1">
      <alignment horizontal="left" vertical="top" wrapText="1"/>
    </xf>
    <xf numFmtId="0" fontId="7" fillId="93" borderId="77" xfId="0" applyFont="1" applyFill="1" applyBorder="1" applyAlignment="1">
      <alignment horizontal="left" vertical="top" wrapText="1"/>
    </xf>
    <xf numFmtId="0" fontId="0" fillId="69" borderId="70" xfId="0" applyFill="1" applyBorder="1" applyAlignment="1">
      <alignment horizontal="center"/>
    </xf>
    <xf numFmtId="0" fontId="0" fillId="77" borderId="79" xfId="0" applyFill="1" applyBorder="1" applyAlignment="1">
      <alignment horizontal="center"/>
    </xf>
    <xf numFmtId="0" fontId="0" fillId="78" borderId="80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353272</xdr:colOff>
      <xdr:row>17</xdr:row>
      <xdr:rowOff>152873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6AEDC8-DD05-4307-96E2-403B61A32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68272" cy="3391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54.697124074075" createdVersion="6" refreshedVersion="6" minRefreshableVersion="3" recordCount="545" xr:uid="{BD371285-16DC-42C0-B2FE-A8689B3C2236}">
  <cacheSource type="worksheet">
    <worksheetSource ref="A1:D1048576" sheet="Goles"/>
  </cacheSource>
  <cacheFields count="4">
    <cacheField name="Jugador_mal" numFmtId="0">
      <sharedItems containsBlank="1"/>
    </cacheField>
    <cacheField name="Goles" numFmtId="0">
      <sharedItems containsString="0" containsBlank="1" containsNumber="1" containsInteger="1" minValue="1" maxValue="22"/>
    </cacheField>
    <cacheField name="Temp" numFmtId="0">
      <sharedItems containsBlank="1"/>
    </cacheField>
    <cacheField name="Jugador" numFmtId="0">
      <sharedItems containsBlank="1" count="395">
        <s v="Rodolfo Rinaldo Paso "/>
        <s v="Leandro Faias "/>
        <s v="Francesc Añigas "/>
        <s v="Cosme Fonteboa "/>
        <s v="Nicolás Galaz "/>
        <s v="Julian Gräbitz "/>
        <s v="Berto Abandero "/>
        <s v="Enrique Cubas "/>
        <s v="Valeri Gomis "/>
        <s v="Wil Duffill "/>
        <s v="Juan García Peñuela "/>
        <s v="Meraj Siddiqui "/>
        <s v="Iván Real Figueroa "/>
        <s v="Venanci Oset "/>
        <s v="Guillermo Pedrajas "/>
        <s v="Adam Moss "/>
        <s v="Augustin Demaison "/>
        <s v="Brunon Chuda "/>
        <s v="David Garcia-Spiess "/>
        <s v="Emilio Rojas "/>
        <s v="Erik Lemming "/>
        <s v="Ilari Santasalmi "/>
        <s v="Joãozinho do Mato "/>
        <s v="Leo Hilpinen "/>
        <s v="Leonardo Baltico "/>
        <s v="Malte Neulinger "/>
        <s v="Manolo Negrín "/>
        <s v="Martin Kilev "/>
        <s v="Melcior Calmet "/>
        <s v="Nikolas Lakkotripi "/>
        <s v="Pere Beltran "/>
        <s v="Roelant Bierman "/>
        <s v="Saúl Piña "/>
        <s v="? (Ho) ?? (Minwei) "/>
        <s v="Adamantios Fikias "/>
        <s v="Andrija Miškovic "/>
        <s v="Andrin Bärtsch "/>
        <s v="Antoine Dupré "/>
        <s v="Cezary Pauch "/>
        <s v="Clifford Smallwood "/>
        <s v="Eckardt Hägerling "/>
        <s v="Fabien Goncalves "/>
        <s v="Gregor Freischläger "/>
        <s v="Jacobo Ferrueros "/>
        <s v="Jorge Walter Whitaker "/>
        <s v="Jurgen Muësen "/>
        <s v="Károly Serfel "/>
        <s v="Lars Pouilliers "/>
        <s v="Markus Currie "/>
        <s v="Morgan Thomas "/>
        <s v="Nicolai Stentoft "/>
        <s v="Ofek Azuri "/>
        <s v="Olli Rambow "/>
        <s v="Roberto Montero "/>
        <s v="Adolfo Vitulli "/>
        <s v="Aleksi Alarotu "/>
        <s v="Aureliusz Staszczuk "/>
        <s v="Barnabás Borsányi "/>
        <s v="Boleslaw Starzomski "/>
        <s v="Emilio Mochelato "/>
        <s v="Fabien Fabre "/>
        <s v="Honesto Cousa "/>
        <s v="Karl Edwin "/>
        <s v="Miguel Fernández "/>
        <s v="Patrick Werner "/>
        <s v="Percy Alfredsson "/>
        <s v="Rasheed Da'na "/>
        <s v="Romain Grière "/>
        <s v="Seran Aranguren "/>
        <s v="Serapio Castrelos "/>
        <s v="Uday Adeeb "/>
        <s v="Andrea Califano "/>
        <s v="Arnold Kalckstein "/>
        <s v="Christophe Reinhart "/>
        <s v="Csaba Mezo "/>
        <s v="David Knuff "/>
        <s v="Dolf Fohringer "/>
        <s v="Gino van Hoesel "/>
        <s v="Igli Volpicelli "/>
        <s v="Jos Pittoors "/>
        <s v="Lauri Piminäinen "/>
        <s v="Ludwik Mojescik "/>
        <s v="Massimiliano Jula "/>
        <s v="Pieter Pelleboer "/>
        <s v="Raffaele Sitter "/>
        <s v="Steve Mckinnon "/>
        <s v="Tomasz Artymiuk "/>
        <s v="? (Pan) ?? (Yuandong) "/>
        <s v="Aamos Vara "/>
        <s v="Arjo Olthuis "/>
        <s v="Cornel Caraba "/>
        <s v="Fere Pulido "/>
        <s v="Fernando Gazón "/>
        <s v="Horacy Dzienis "/>
        <s v="Mario Omarini "/>
        <s v="Matteo Omacini "/>
        <s v="Nikolay Gerasimenko "/>
        <s v="Pasqual Vilar "/>
        <s v="Pau Redondo "/>
        <s v="Ryan Clarke "/>
        <s v="Xofre Taín "/>
        <s v="Arkadiusz Dembek "/>
        <s v="Ellák Deák "/>
        <s v="Gianfranco Rezza "/>
        <s v="Lech Sipinski "/>
        <s v="Mateusz Brzostowski "/>
        <s v="Miklós Gábriel "/>
        <s v="Ragip Övgü "/>
        <s v="Ricardo Esquerdo "/>
        <s v="Sansão Trindade Oliveira "/>
        <s v="Sascha Gilch "/>
        <s v="Stefano Spanu "/>
        <s v="Vincent Gautsch "/>
        <s v="Andrea Chiu "/>
        <s v="Carlos Ipinza "/>
        <s v="Dan Lindgren "/>
        <s v="Francesc Giró "/>
        <s v="Hjalte Egede "/>
        <s v="Tristan Voet "/>
        <s v="Zsolt Novák "/>
        <s v="Dan Veneau "/>
        <s v="Gastone Cianelli "/>
        <s v="José Luis Valdés Saavedra "/>
        <s v="Ludovic Gygax "/>
        <s v="Martijn Collinet "/>
        <s v="Ulf Schenkel "/>
        <s v="Andres Kalvet "/>
        <s v="Catalin Corobea "/>
        <s v="Dimitris Prokos "/>
        <s v="Fernando Juárez Sierra "/>
        <s v="Iacob Sarpe "/>
        <s v="Krzysztof Buras "/>
        <s v="Morgan Gomes "/>
        <s v="Finlay MacGrory "/>
        <s v="Marcin Lulewicz "/>
        <s v="Nicolau Caraduxe "/>
        <s v="Christophe Méjean "/>
        <s v="Gawel Nanowski "/>
        <s v="Alex Txantre "/>
        <s v="Co Wolbers "/>
        <s v="Cornel Boicea "/>
        <s v="John Chung "/>
        <s v="Kendor Nagiturri "/>
        <s v="Mattia Sambri "/>
        <s v="Renato Galeano "/>
        <s v="Roberto Abenoza "/>
        <s v="Tommaso Niscola "/>
        <s v="David Erbiti "/>
        <s v="Harald Georg Berchthold "/>
        <s v="Jan Jessen "/>
        <s v="Enis Kalan "/>
        <s v="José Manuel Carneiro "/>
        <s v="Ludvig Andreasson "/>
        <s v="Luigi Tripodo "/>
        <s v="Damiano Clementi "/>
        <s v="Pablo Gil Fano "/>
        <s v="Raúl Riquelme "/>
        <s v="Sejo Sáenz Marín "/>
        <s v="Aimar Lasalde "/>
        <s v="Gongotzon Ialdebere "/>
        <s v="Hansjürg Devier "/>
        <s v="Iyad Chaabo "/>
        <s v="Jörg Londorf "/>
        <s v="Pepijn Zwaan "/>
        <s v="Petru Pena "/>
        <s v="Relf Härteis "/>
        <s v="Zeno Baets "/>
        <s v="Aiurdi Azpileta "/>
        <s v="Casildo Abraldes "/>
        <s v="Ernst Lammers "/>
        <s v="Ibiur Altxakoa "/>
        <s v="Iuliu Pana "/>
        <s v="Mauro Vaz "/>
        <s v="Michele Giampieri "/>
        <s v="Richey Cowper "/>
        <s v="Zbyšek Hamrozi "/>
        <s v="Christophe Bodin "/>
        <s v="David Berkenbosch "/>
        <s v="Domenic Janjic "/>
        <s v="Juan Gabriel de Minaya "/>
        <s v="Stanislaw Zdankiewicz "/>
        <s v="Torsten Kortenhof "/>
        <s v="Alexander Pahl "/>
        <s v="Alfonso Londoño "/>
        <s v="Giulio Procaccianti "/>
        <s v="Jaime Ocón "/>
        <s v="Manuel Parejo "/>
        <s v="Wicher Ossedrijver "/>
        <s v="Felipe Andrés Massarelli "/>
        <s v="Gregorio Manrique "/>
        <s v="José Rubianes "/>
        <s v="Martin Herber "/>
        <s v="Tijl van Hamburg "/>
        <s v="Feliciano Becerril "/>
        <s v="Gustaw Bugajski "/>
        <s v="Karst van Gils "/>
        <s v="Udo Mier "/>
        <m/>
        <s v=" Arjo Olthuis " u="1"/>
        <s v=" Krzysztof Buras " u="1"/>
        <s v=" Pablo Gil Fano " u="1"/>
        <s v=" Jacobo Ferrueros " u="1"/>
        <s v=" Nikolay Gerasimenko " u="1"/>
        <s v=" Iyad Chaabo " u="1"/>
        <s v=" Emilio Rojas " u="1"/>
        <s v=" Wicher Ossedrijver " u="1"/>
        <s v=" Cornel Boicea " u="1"/>
        <s v=" Roberto Montero " u="1"/>
        <s v=" Ernst Lammers " u="1"/>
        <s v=" Aleksi Alarotu " u="1"/>
        <s v=" Co Wolbers " u="1"/>
        <s v=" Iuliu Pana " u="1"/>
        <s v=" Joãozinho do Mato " u="1"/>
        <s v=" Gawel Nanowski " u="1"/>
        <s v=" Horacy Dzienis " u="1"/>
        <s v=" Cosme Fonteboa " u="1"/>
        <s v=" Adam Moss " u="1"/>
        <s v=" Martin Kilev " u="1"/>
        <s v=" Ulf Schenkel " u="1"/>
        <s v=" Andrija Miškovic " u="1"/>
        <s v=" Manuel Parejo " u="1"/>
        <s v=" Mario Omarini " u="1"/>
        <s v=" Arkadiusz Dembek " u="1"/>
        <s v=" Gastone Cianelli " u="1"/>
        <s v=" Torsten Kortenhof " u="1"/>
        <s v=" Felipe Andrés Massarelli " u="1"/>
        <s v=" José Luis Valdés Saavedra " u="1"/>
        <s v=" José Rubianes " u="1"/>
        <s v=" Jorge Walter Whitaker " u="1"/>
        <s v=" Udo Mier " u="1"/>
        <s v=" Csaba Mezo " u="1"/>
        <s v=" Pasqual Vilar " u="1"/>
        <s v=" David Garcia-Spiess " u="1"/>
        <s v=" Leandro Faias " u="1"/>
        <s v=" Matteo Omacini " u="1"/>
        <s v=" Adamantios Fikias " u="1"/>
        <s v=" Andres Kalvet " u="1"/>
        <s v=" Cornel Caraba " u="1"/>
        <s v=" Aimar Lasalde " u="1"/>
        <s v=" Ludovic Gygax " u="1"/>
        <s v=" Alex Txantre " u="1"/>
        <s v=" Roelant Bierman " u="1"/>
        <s v=" Christophe Reinhart " u="1"/>
        <s v=" Pere Beltran " u="1"/>
        <s v=" Francesc Añigas " u="1"/>
        <s v=" Christophe Méjean " u="1"/>
        <s v=" Tomasz Artymiuk " u="1"/>
        <s v=" Leonardo Baltico " u="1"/>
        <s v=" Juan Gabriel de Minaya " u="1"/>
        <s v=" Saúl Piña " u="1"/>
        <s v=" Igli Volpicelli " u="1"/>
        <s v=" Seran Aranguren " u="1"/>
        <s v=" Zeno Baets " u="1"/>
        <s v=" Dan Lindgren " u="1"/>
        <s v=" Lars Pouilliers " u="1"/>
        <s v=" Feliciano Becerril " u="1"/>
        <s v=" Dolf Fohringer " u="1"/>
        <s v=" Percy Alfredsson " u="1"/>
        <s v=" Stanislaw Zdankiewicz " u="1"/>
        <s v=" Jaime Ocón " u="1"/>
        <s v=" Carlos Ipinza " u="1"/>
        <s v=" Enrique Cubas " u="1"/>
        <s v=" Catalin Corobea " u="1"/>
        <s v=" Massimiliano Jula " u="1"/>
        <s v=" Jan Jessen " u="1"/>
        <s v=" Tommaso Niscola " u="1"/>
        <s v=" Augustin Demaison " u="1"/>
        <s v=" David Berkenbosch " u="1"/>
        <s v=" ? (Pan) ?? (Yuandong) " u="1"/>
        <s v=" Antoine Dupré " u="1"/>
        <s v=" Morgan Thomas " u="1"/>
        <s v=" Roberto Abenoza " u="1"/>
        <s v=" Gianfranco Rezza " u="1"/>
        <s v=" Aamos Vara " u="1"/>
        <s v=" Zbyšek Hamrozi " u="1"/>
        <s v=" Nicolau Caraduxe " u="1"/>
        <s v=" Iván Real Figueroa " u="1"/>
        <s v=" Ragip Övgü " u="1"/>
        <s v=" Cezary Pauch " u="1"/>
        <s v=" Jörg Londorf " u="1"/>
        <s v=" Vincent Gautsch " u="1"/>
        <s v=" Fernando Juárez Sierra " u="1"/>
        <s v=" Relf Härteis " u="1"/>
        <s v=" Gregorio Manrique " u="1"/>
        <s v=" Harald Georg Berchthold " u="1"/>
        <s v=" Zsolt Novák " u="1"/>
        <s v=" Jos Pittoors " u="1"/>
        <s v=" Ludvig Andreasson " u="1"/>
        <s v=" Hjalte Egede " u="1"/>
        <s v=" Fernando Gazón " u="1"/>
        <s v=" Marcin Lulewicz " u="1"/>
        <s v=" Dan Veneau " u="1"/>
        <s v=" Ludwik Mojescik " u="1"/>
        <s v=" Arnold Kalckstein " u="1"/>
        <s v=" Guillermo Pedrajas " u="1"/>
        <s v=" David Knuff " u="1"/>
        <s v=" Romain Grière " u="1"/>
        <s v=" Barnabás Borsányi " u="1"/>
        <s v=" Emilio Mochelato " u="1"/>
        <s v=" Aureliusz Staszczuk " u="1"/>
        <s v=" Boleslaw Starzomski " u="1"/>
        <s v=" Aiurdi Azpileta " u="1"/>
        <s v=" Ricardo Esquerdo " u="1"/>
        <s v=" Uday Adeeb " u="1"/>
        <s v=" Serapio Castrelos " u="1"/>
        <s v=" Brunon Chuda " u="1"/>
        <s v=" Pepijn Zwaan " u="1"/>
        <s v=" Francesc Giró " u="1"/>
        <s v=" Lauri Piminäinen " u="1"/>
        <s v=" Michele Giampieri " u="1"/>
        <s v=" Pau Redondo " u="1"/>
        <s v=" Sejo Sáenz Marín " u="1"/>
        <s v=" Patrick Werner " u="1"/>
        <s v=" Venanci Oset " u="1"/>
        <s v=" Honesto Cousa " u="1"/>
        <s v=" Raúl Riquelme " u="1"/>
        <s v=" Miguel Fernández " u="1"/>
        <s v=" José Manuel Carneiro " u="1"/>
        <s v=" Enis Kalan " u="1"/>
        <s v=" Lech Sipinski " u="1"/>
        <s v=" Raffaele Sitter " u="1"/>
        <s v=" Xofre Taín " u="1"/>
        <s v=" Malte Neulinger " u="1"/>
        <s v=" David Erbiti " u="1"/>
        <s v=" Jurgen Muësen " u="1"/>
        <s v=" Damiano Clementi " u="1"/>
        <s v=" Ellák Deák " u="1"/>
        <s v=" Iacob Sarpe " u="1"/>
        <s v=" Erik Lemming " u="1"/>
        <s v=" Leo Hilpinen " u="1"/>
        <s v=" Dimitris Prokos " u="1"/>
        <s v=" Fabien Goncalves " u="1"/>
        <s v=" Eckardt Hägerling " u="1"/>
        <s v=" Sascha Gilch " u="1"/>
        <s v=" Renato Galeano " u="1"/>
        <s v=" Pieter Pelleboer " u="1"/>
        <s v=" Clifford Smallwood " u="1"/>
        <s v=" Nikolas Lakkotripi " u="1"/>
        <s v=" Fere Pulido " u="1"/>
        <s v=" Wil Duffill " u="1"/>
        <s v=" Ibiur Altxakoa " u="1"/>
        <s v=" Karst van Gils " u="1"/>
        <s v=" Meraj Siddiqui " u="1"/>
        <s v=" Fabien Fabre " u="1"/>
        <s v=" Steve Mckinnon " u="1"/>
        <s v=" Gongotzon Ialdebere " u="1"/>
        <s v=" Juan García Peñuela " u="1"/>
        <s v=" Ryan Clarke " u="1"/>
        <s v=" Manolo Negrín " u="1"/>
        <s v=" Mauro Vaz " u="1"/>
        <s v=" Martin Herber " u="1"/>
        <s v=" Andrea Chiu " u="1"/>
        <s v=" Gino van Hoesel " u="1"/>
        <s v=" Hansjürg Devier " u="1"/>
        <s v=" Olli Rambow " u="1"/>
        <s v=" Domenic Janjic " u="1"/>
        <s v=" Andrea Califano " u="1"/>
        <s v=" Christophe Bodin " u="1"/>
        <s v=" Mateusz Brzostowski " u="1"/>
        <s v=" Rodolfo Rinaldo Paso " u="1"/>
        <s v=" John Chung " u="1"/>
        <s v=" Richey Cowper " u="1"/>
        <s v=" Adolfo Vitulli " u="1"/>
        <s v=" Berto Abandero " u="1"/>
        <s v=" Alfonso Londoño " u="1"/>
        <s v=" Tijl van Hamburg " u="1"/>
        <s v=" Ofek Azuri " u="1"/>
        <s v=" Petru Pena " u="1"/>
        <s v=" Károly Serfel " u="1"/>
        <s v=" Nicolás Galaz " u="1"/>
        <s v=" Julian Gräbitz " u="1"/>
        <s v=" Melcior Calmet " u="1"/>
        <s v=" Ilari Santasalmi " u="1"/>
        <s v=" Luigi Tripodo " u="1"/>
        <s v=" Markus Currie " u="1"/>
        <s v=" Andrin Bärtsch " u="1"/>
        <s v=" Gustaw Bugajski " u="1"/>
        <s v=" Kendor Nagiturri " u="1"/>
        <s v=" ? (Ho) ?? (Minwei) " u="1"/>
        <s v=" Sansão Trindade Oliveira " u="1"/>
        <s v=" Morgan Gomes " u="1"/>
        <s v=" Alexander Pahl " u="1"/>
        <s v=" Nicolai Stentoft " u="1"/>
        <s v=" Miklós Gábriel " u="1"/>
        <s v=" Finlay MacGrory " u="1"/>
        <s v=" Karl Edwin " u="1"/>
        <s v=" Tristan Voet " u="1"/>
        <s v=" Casildo Abraldes " u="1"/>
        <s v=" Martijn Collinet " u="1"/>
        <s v=" Giulio Procaccianti " u="1"/>
        <s v=" Valeri Gomis " u="1"/>
        <s v=" Mattia Sambri " u="1"/>
        <s v=" Rasheed Da'na " u="1"/>
        <s v=" Stefano Spanu " u="1"/>
        <s v=" Gregor Freischläger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s v="1. Rodolfo Rinaldo Paso "/>
    <n v="7"/>
    <s v="Actual"/>
    <x v="0"/>
  </r>
  <r>
    <s v="10. Leandro Faias "/>
    <n v="1"/>
    <s v="Actual"/>
    <x v="1"/>
  </r>
  <r>
    <s v="11. Francesc Añigas "/>
    <n v="1"/>
    <s v="Actual"/>
    <x v="2"/>
  </r>
  <r>
    <s v="12. Cosme Fonteboa "/>
    <n v="1"/>
    <s v="Actual"/>
    <x v="3"/>
  </r>
  <r>
    <s v="2. Nicolás Galaz "/>
    <n v="4"/>
    <s v="Actual"/>
    <x v="4"/>
  </r>
  <r>
    <s v="3. Julian Gräbitz "/>
    <n v="4"/>
    <s v="Actual"/>
    <x v="5"/>
  </r>
  <r>
    <s v="4. Berto Abandero "/>
    <n v="3"/>
    <s v="Actual"/>
    <x v="6"/>
  </r>
  <r>
    <s v="5. Enrique Cubas "/>
    <n v="3"/>
    <s v="Actual"/>
    <x v="7"/>
  </r>
  <r>
    <s v="6. Valeri Gomis "/>
    <n v="3"/>
    <s v="Actual"/>
    <x v="8"/>
  </r>
  <r>
    <s v="7. Wil Duffill "/>
    <n v="2"/>
    <s v="Actual"/>
    <x v="9"/>
  </r>
  <r>
    <s v="8. Juan García Peñuela "/>
    <n v="2"/>
    <s v="Actual"/>
    <x v="10"/>
  </r>
  <r>
    <s v="9. Meraj Siddiqui "/>
    <n v="2"/>
    <s v="Actual"/>
    <x v="11"/>
  </r>
  <r>
    <s v="1. Enrique Cubas "/>
    <n v="19"/>
    <s v="x"/>
    <x v="7"/>
  </r>
  <r>
    <s v="1. Enrique Cubas "/>
    <n v="10"/>
    <s v="x"/>
    <x v="7"/>
  </r>
  <r>
    <s v="1. Enrique Cubas "/>
    <n v="9"/>
    <s v="x"/>
    <x v="7"/>
  </r>
  <r>
    <s v="1. Enrique Cubas "/>
    <n v="8"/>
    <s v="x"/>
    <x v="7"/>
  </r>
  <r>
    <s v="1. Rodolfo Rinaldo Paso "/>
    <n v="12"/>
    <s v="x"/>
    <x v="0"/>
  </r>
  <r>
    <s v="1. Rodolfo Rinaldo Paso "/>
    <n v="14"/>
    <s v="x"/>
    <x v="0"/>
  </r>
  <r>
    <s v="1. Rodolfo Rinaldo Paso "/>
    <n v="10"/>
    <s v="x"/>
    <x v="0"/>
  </r>
  <r>
    <s v="1. Wil Duffill "/>
    <n v="6"/>
    <s v="x"/>
    <x v="9"/>
  </r>
  <r>
    <s v="10. Berto Abandero "/>
    <n v="2"/>
    <s v="x"/>
    <x v="6"/>
  </r>
  <r>
    <s v="10. Francesc Añigas "/>
    <n v="2"/>
    <s v="x"/>
    <x v="2"/>
  </r>
  <r>
    <s v="10. Iván Real Figueroa "/>
    <n v="2"/>
    <s v="x"/>
    <x v="12"/>
  </r>
  <r>
    <s v="10. Valeri Gomis "/>
    <n v="4"/>
    <s v="x"/>
    <x v="8"/>
  </r>
  <r>
    <s v="10. Valeri Gomis "/>
    <n v="3"/>
    <s v="x"/>
    <x v="8"/>
  </r>
  <r>
    <s v="10. Valeri Gomis "/>
    <n v="1"/>
    <s v="x"/>
    <x v="8"/>
  </r>
  <r>
    <s v="10. Venanci Oset "/>
    <n v="3"/>
    <s v="x"/>
    <x v="13"/>
  </r>
  <r>
    <s v="11. Berto Abandero "/>
    <n v="1"/>
    <s v="x"/>
    <x v="6"/>
  </r>
  <r>
    <s v="11. Iván Real Figueroa "/>
    <n v="3"/>
    <s v="x"/>
    <x v="12"/>
  </r>
  <r>
    <s v="11. Leandro Faias "/>
    <n v="3"/>
    <s v="x"/>
    <x v="1"/>
  </r>
  <r>
    <s v="11. Venanci Oset "/>
    <n v="2"/>
    <s v="x"/>
    <x v="13"/>
  </r>
  <r>
    <s v="12. Berto Abandero "/>
    <n v="2"/>
    <s v="x"/>
    <x v="6"/>
  </r>
  <r>
    <s v="12. Francesc Añigas "/>
    <n v="3"/>
    <s v="x"/>
    <x v="2"/>
  </r>
  <r>
    <s v="12. Francesc Añigas "/>
    <n v="2"/>
    <s v="x"/>
    <x v="2"/>
  </r>
  <r>
    <s v="12. Iván Real Figueroa "/>
    <n v="1"/>
    <s v="x"/>
    <x v="12"/>
  </r>
  <r>
    <s v="12. Valeri Gomis "/>
    <n v="1"/>
    <s v="x"/>
    <x v="8"/>
  </r>
  <r>
    <s v="12. Valeri Gomis "/>
    <n v="1"/>
    <s v="x"/>
    <x v="8"/>
  </r>
  <r>
    <s v="12. Venanci Oset "/>
    <n v="2"/>
    <s v="x"/>
    <x v="13"/>
  </r>
  <r>
    <s v="12. Wil Duffill "/>
    <n v="1"/>
    <s v="x"/>
    <x v="9"/>
  </r>
  <r>
    <s v="13. Guillermo Pedrajas "/>
    <n v="2"/>
    <s v="x"/>
    <x v="14"/>
  </r>
  <r>
    <s v="13. Guillermo Pedrajas "/>
    <n v="2"/>
    <s v="x"/>
    <x v="14"/>
  </r>
  <r>
    <s v="13. Iván Real Figueroa "/>
    <n v="1"/>
    <s v="x"/>
    <x v="12"/>
  </r>
  <r>
    <s v="13. Iván Real Figueroa "/>
    <n v="2"/>
    <s v="x"/>
    <x v="12"/>
  </r>
  <r>
    <s v="13. Leandro Faias "/>
    <n v="3"/>
    <s v="x"/>
    <x v="1"/>
  </r>
  <r>
    <s v="14. Berto Abandero "/>
    <n v="2"/>
    <s v="x"/>
    <x v="6"/>
  </r>
  <r>
    <s v="14. Berto Abandero "/>
    <n v="1"/>
    <s v="x"/>
    <x v="6"/>
  </r>
  <r>
    <s v="14. Francesc Añigas "/>
    <n v="1"/>
    <s v="x"/>
    <x v="2"/>
  </r>
  <r>
    <s v="14. Iván Real Figueroa "/>
    <n v="2"/>
    <s v="x"/>
    <x v="12"/>
  </r>
  <r>
    <s v="14. Iván Real Figueroa "/>
    <n v="1"/>
    <s v="x"/>
    <x v="12"/>
  </r>
  <r>
    <s v="14. Valeri Gomis "/>
    <n v="2"/>
    <s v="x"/>
    <x v="8"/>
  </r>
  <r>
    <s v="14. Venanci Oset "/>
    <n v="1"/>
    <s v="x"/>
    <x v="13"/>
  </r>
  <r>
    <s v="15. Guillermo Pedrajas "/>
    <n v="1"/>
    <s v="x"/>
    <x v="14"/>
  </r>
  <r>
    <s v="15. Iván Real Figueroa "/>
    <n v="1"/>
    <s v="x"/>
    <x v="12"/>
  </r>
  <r>
    <s v="16. Cosme Fonteboa "/>
    <n v="1"/>
    <s v="x"/>
    <x v="3"/>
  </r>
  <r>
    <s v="16. Guillermo Pedrajas "/>
    <n v="1"/>
    <s v="x"/>
    <x v="14"/>
  </r>
  <r>
    <s v="17. Cosme Fonteboa "/>
    <n v="1"/>
    <s v="x"/>
    <x v="3"/>
  </r>
  <r>
    <s v="2. Enrique Cubas "/>
    <n v="8"/>
    <s v="x"/>
    <x v="7"/>
  </r>
  <r>
    <s v="2. Francesc Añigas "/>
    <n v="6"/>
    <s v="x"/>
    <x v="2"/>
  </r>
  <r>
    <s v="2. Francesc Añigas "/>
    <n v="3"/>
    <s v="x"/>
    <x v="2"/>
  </r>
  <r>
    <s v="2. Juan García Peñuela "/>
    <n v="5"/>
    <s v="x"/>
    <x v="10"/>
  </r>
  <r>
    <s v="2. Wil Duffill "/>
    <n v="15"/>
    <s v="x"/>
    <x v="9"/>
  </r>
  <r>
    <s v="2. Wil Duffill "/>
    <n v="9"/>
    <s v="x"/>
    <x v="9"/>
  </r>
  <r>
    <s v="3. Enrique Cubas "/>
    <n v="7"/>
    <s v="x"/>
    <x v="7"/>
  </r>
  <r>
    <s v="3. Enrique Cubas "/>
    <n v="8"/>
    <s v="x"/>
    <x v="7"/>
  </r>
  <r>
    <s v="3. Enrique Cubas "/>
    <n v="12"/>
    <s v="x"/>
    <x v="7"/>
  </r>
  <r>
    <s v="3. Enrique Cubas "/>
    <n v="4"/>
    <s v="x"/>
    <x v="7"/>
  </r>
  <r>
    <s v="3. Meraj Siddiqui "/>
    <n v="13"/>
    <s v="x"/>
    <x v="11"/>
  </r>
  <r>
    <s v="3. Wil Duffill "/>
    <n v="8"/>
    <s v="x"/>
    <x v="9"/>
  </r>
  <r>
    <s v="4. Juan García Peñuela "/>
    <n v="6"/>
    <s v="x"/>
    <x v="10"/>
  </r>
  <r>
    <s v="4. Juan García Peñuela "/>
    <n v="7"/>
    <s v="x"/>
    <x v="10"/>
  </r>
  <r>
    <s v="4. Juan García Peñuela "/>
    <n v="4"/>
    <s v="x"/>
    <x v="10"/>
  </r>
  <r>
    <s v="4. Juan García Peñuela "/>
    <n v="2"/>
    <s v="x"/>
    <x v="10"/>
  </r>
  <r>
    <s v="4. Julian Gräbitz "/>
    <n v="6"/>
    <s v="x"/>
    <x v="5"/>
  </r>
  <r>
    <s v="4. Rodolfo Rinaldo Paso "/>
    <n v="12"/>
    <s v="x"/>
    <x v="0"/>
  </r>
  <r>
    <s v="4. Valeri Gomis "/>
    <n v="2"/>
    <s v="x"/>
    <x v="8"/>
  </r>
  <r>
    <s v="4. Wil Duffill "/>
    <n v="6"/>
    <s v="x"/>
    <x v="9"/>
  </r>
  <r>
    <s v="4. Wil Duffill "/>
    <n v="5"/>
    <s v="x"/>
    <x v="9"/>
  </r>
  <r>
    <s v="5. Francesc Añigas "/>
    <n v="6"/>
    <s v="x"/>
    <x v="2"/>
  </r>
  <r>
    <s v="5. Guillermo Pedrajas "/>
    <n v="5"/>
    <s v="x"/>
    <x v="14"/>
  </r>
  <r>
    <s v="5. Guillermo Pedrajas "/>
    <n v="4"/>
    <s v="x"/>
    <x v="14"/>
  </r>
  <r>
    <s v="5. Juan García Peñuela "/>
    <n v="5"/>
    <s v="x"/>
    <x v="10"/>
  </r>
  <r>
    <s v="5. Julian Gräbitz "/>
    <n v="6"/>
    <s v="x"/>
    <x v="5"/>
  </r>
  <r>
    <s v="5. Julian Gräbitz "/>
    <n v="6"/>
    <s v="x"/>
    <x v="5"/>
  </r>
  <r>
    <s v="5. Nicolás Galaz "/>
    <n v="6"/>
    <s v="x"/>
    <x v="4"/>
  </r>
  <r>
    <s v="5. Valeri Gomis "/>
    <n v="6"/>
    <s v="x"/>
    <x v="8"/>
  </r>
  <r>
    <s v="6. Berto Abandero "/>
    <n v="3"/>
    <s v="x"/>
    <x v="6"/>
  </r>
  <r>
    <s v="6. Enrique Cubas "/>
    <n v="6"/>
    <s v="x"/>
    <x v="7"/>
  </r>
  <r>
    <s v="6. Guillermo Pedrajas "/>
    <n v="4"/>
    <s v="x"/>
    <x v="14"/>
  </r>
  <r>
    <s v="6. Juan García Peñuela "/>
    <n v="5"/>
    <s v="x"/>
    <x v="10"/>
  </r>
  <r>
    <s v="6. Valeri Gomis "/>
    <n v="5"/>
    <s v="x"/>
    <x v="8"/>
  </r>
  <r>
    <s v="6. Wil Duffill "/>
    <n v="6"/>
    <s v="x"/>
    <x v="9"/>
  </r>
  <r>
    <s v="6. Wil Duffill "/>
    <n v="6"/>
    <s v="x"/>
    <x v="9"/>
  </r>
  <r>
    <s v="7. Enrique Cubas "/>
    <n v="4"/>
    <s v="x"/>
    <x v="7"/>
  </r>
  <r>
    <s v="7. Francesc Añigas "/>
    <n v="5"/>
    <s v="x"/>
    <x v="2"/>
  </r>
  <r>
    <s v="7. Francesc Añigas "/>
    <n v="5"/>
    <s v="x"/>
    <x v="2"/>
  </r>
  <r>
    <s v="7. Francesc Añigas "/>
    <n v="5"/>
    <s v="x"/>
    <x v="2"/>
  </r>
  <r>
    <s v="7. Guillermo Pedrajas "/>
    <n v="5"/>
    <s v="x"/>
    <x v="14"/>
  </r>
  <r>
    <s v="7. Juan García Peñuela "/>
    <n v="2"/>
    <s v="x"/>
    <x v="10"/>
  </r>
  <r>
    <s v="7. Julian Gräbitz "/>
    <n v="4"/>
    <s v="x"/>
    <x v="5"/>
  </r>
  <r>
    <s v="8. Berto Abandero "/>
    <n v="1"/>
    <s v="x"/>
    <x v="6"/>
  </r>
  <r>
    <s v="8. Juan García Peñuela "/>
    <n v="3"/>
    <s v="x"/>
    <x v="10"/>
  </r>
  <r>
    <s v="8. Juan García Peñuela "/>
    <n v="3"/>
    <s v="x"/>
    <x v="10"/>
  </r>
  <r>
    <s v="8. Meraj Siddiqui "/>
    <n v="4"/>
    <s v="x"/>
    <x v="11"/>
  </r>
  <r>
    <s v="8. Valeri Gomis "/>
    <n v="3"/>
    <s v="x"/>
    <x v="8"/>
  </r>
  <r>
    <s v="8. Venanci Oset "/>
    <n v="5"/>
    <s v="x"/>
    <x v="13"/>
  </r>
  <r>
    <s v="9. Berto Abandero "/>
    <n v="3"/>
    <s v="x"/>
    <x v="6"/>
  </r>
  <r>
    <s v="9. Juan García Peñuela "/>
    <n v="3"/>
    <s v="x"/>
    <x v="10"/>
  </r>
  <r>
    <s v="9. Julian Gräbitz "/>
    <n v="3"/>
    <s v="x"/>
    <x v="5"/>
  </r>
  <r>
    <s v="9. Wil Duffill "/>
    <n v="3"/>
    <s v="x"/>
    <x v="9"/>
  </r>
  <r>
    <s v="1. Adam Moss "/>
    <n v="15"/>
    <m/>
    <x v="15"/>
  </r>
  <r>
    <s v="1. Augustin Demaison "/>
    <n v="8"/>
    <m/>
    <x v="16"/>
  </r>
  <r>
    <s v="1. Brunon Chuda "/>
    <n v="10"/>
    <m/>
    <x v="17"/>
  </r>
  <r>
    <s v="1. David Garcia-Spiess "/>
    <n v="6"/>
    <m/>
    <x v="18"/>
  </r>
  <r>
    <s v="1. Emilio Rojas "/>
    <n v="11"/>
    <m/>
    <x v="19"/>
  </r>
  <r>
    <s v="1. Erik Lemming "/>
    <n v="7"/>
    <m/>
    <x v="20"/>
  </r>
  <r>
    <s v="1. Ilari Santasalmi "/>
    <n v="2"/>
    <m/>
    <x v="21"/>
  </r>
  <r>
    <s v="1. Joãozinho do Mato "/>
    <n v="15"/>
    <m/>
    <x v="22"/>
  </r>
  <r>
    <s v="1. Leo Hilpinen "/>
    <n v="17"/>
    <m/>
    <x v="23"/>
  </r>
  <r>
    <s v="1. Leonardo Baltico "/>
    <n v="18"/>
    <m/>
    <x v="24"/>
  </r>
  <r>
    <s v="1. Leonardo Baltico "/>
    <n v="12"/>
    <m/>
    <x v="24"/>
  </r>
  <r>
    <s v="1. Leonardo Baltico "/>
    <n v="14"/>
    <m/>
    <x v="24"/>
  </r>
  <r>
    <s v="1. Malte Neulinger "/>
    <n v="9"/>
    <m/>
    <x v="25"/>
  </r>
  <r>
    <s v="1. Malte Neulinger "/>
    <n v="7"/>
    <m/>
    <x v="25"/>
  </r>
  <r>
    <s v="1. Malte Neulinger "/>
    <n v="9"/>
    <m/>
    <x v="25"/>
  </r>
  <r>
    <s v="1. Manolo Negrín "/>
    <n v="6"/>
    <m/>
    <x v="26"/>
  </r>
  <r>
    <s v="1. Martin Kilev "/>
    <n v="6"/>
    <m/>
    <x v="27"/>
  </r>
  <r>
    <s v="1. Melcior Calmet "/>
    <n v="9"/>
    <m/>
    <x v="28"/>
  </r>
  <r>
    <s v="1. Nikolas Lakkotripi "/>
    <n v="14"/>
    <m/>
    <x v="29"/>
  </r>
  <r>
    <s v="1. Pere Beltran "/>
    <n v="8"/>
    <m/>
    <x v="30"/>
  </r>
  <r>
    <s v="1. Roelant Bierman "/>
    <n v="14"/>
    <m/>
    <x v="31"/>
  </r>
  <r>
    <s v="1. Saúl Piña "/>
    <n v="15"/>
    <m/>
    <x v="32"/>
  </r>
  <r>
    <s v="1. Saúl Piña "/>
    <n v="13"/>
    <m/>
    <x v="32"/>
  </r>
  <r>
    <s v="1. Saúl Piña "/>
    <n v="22"/>
    <m/>
    <x v="32"/>
  </r>
  <r>
    <s v="10. ? (Ho) ?? (Minwei) "/>
    <n v="3"/>
    <m/>
    <x v="33"/>
  </r>
  <r>
    <s v="10. Adamantios Fikias "/>
    <n v="2"/>
    <m/>
    <x v="34"/>
  </r>
  <r>
    <s v="10. Andrija Miškovic "/>
    <n v="1"/>
    <m/>
    <x v="35"/>
  </r>
  <r>
    <s v="10. Andrin Bärtsch "/>
    <n v="4"/>
    <m/>
    <x v="36"/>
  </r>
  <r>
    <s v="10. Antoine Dupré "/>
    <n v="4"/>
    <m/>
    <x v="37"/>
  </r>
  <r>
    <s v="10. Antoine Dupré "/>
    <n v="6"/>
    <m/>
    <x v="37"/>
  </r>
  <r>
    <s v="10. Cezary Pauch "/>
    <n v="2"/>
    <m/>
    <x v="38"/>
  </r>
  <r>
    <s v="10. Clifford Smallwood "/>
    <n v="3"/>
    <m/>
    <x v="39"/>
  </r>
  <r>
    <s v="10. Eckardt Hägerling "/>
    <n v="1"/>
    <m/>
    <x v="40"/>
  </r>
  <r>
    <s v="10. Erik Lemming "/>
    <n v="3"/>
    <m/>
    <x v="20"/>
  </r>
  <r>
    <s v="10. Fabien Goncalves "/>
    <n v="2"/>
    <m/>
    <x v="41"/>
  </r>
  <r>
    <s v="10. Gregor Freischläger "/>
    <n v="3"/>
    <m/>
    <x v="42"/>
  </r>
  <r>
    <s v="10. Jacobo Ferrueros "/>
    <n v="2"/>
    <m/>
    <x v="43"/>
  </r>
  <r>
    <s v="10. Jorge Walter Whitaker "/>
    <n v="2"/>
    <m/>
    <x v="44"/>
  </r>
  <r>
    <s v="10. Jurgen Muësen "/>
    <n v="2"/>
    <m/>
    <x v="45"/>
  </r>
  <r>
    <s v="10. Károly Serfel "/>
    <n v="3"/>
    <m/>
    <x v="46"/>
  </r>
  <r>
    <s v="10. Lars Pouilliers "/>
    <n v="1"/>
    <m/>
    <x v="47"/>
  </r>
  <r>
    <s v="10. Manolo Negrín "/>
    <n v="2"/>
    <m/>
    <x v="26"/>
  </r>
  <r>
    <s v="10. Markus Currie "/>
    <n v="2"/>
    <m/>
    <x v="48"/>
  </r>
  <r>
    <s v="10. Morgan Thomas "/>
    <n v="1"/>
    <m/>
    <x v="49"/>
  </r>
  <r>
    <s v="10. Nicolai Stentoft "/>
    <n v="4"/>
    <m/>
    <x v="50"/>
  </r>
  <r>
    <s v="10. Ofek Azuri "/>
    <n v="2"/>
    <m/>
    <x v="51"/>
  </r>
  <r>
    <s v="10. Olli Rambow "/>
    <n v="1"/>
    <m/>
    <x v="52"/>
  </r>
  <r>
    <s v="10. Roberto Montero "/>
    <n v="1"/>
    <m/>
    <x v="53"/>
  </r>
  <r>
    <s v="10. Saúl Piña "/>
    <n v="5"/>
    <m/>
    <x v="32"/>
  </r>
  <r>
    <s v="11. Adamantios Fikias "/>
    <n v="4"/>
    <m/>
    <x v="34"/>
  </r>
  <r>
    <s v="11. Adolfo Vitulli "/>
    <n v="1"/>
    <m/>
    <x v="54"/>
  </r>
  <r>
    <s v="11. Aleksi Alarotu "/>
    <n v="5"/>
    <m/>
    <x v="55"/>
  </r>
  <r>
    <s v="11. Aureliusz Staszczuk "/>
    <n v="2"/>
    <m/>
    <x v="56"/>
  </r>
  <r>
    <s v="11. Barnabás Borsányi "/>
    <n v="1"/>
    <m/>
    <x v="57"/>
  </r>
  <r>
    <s v="11. Boleslaw Starzomski "/>
    <n v="1"/>
    <m/>
    <x v="58"/>
  </r>
  <r>
    <s v="11. Emilio Mochelato "/>
    <n v="1"/>
    <m/>
    <x v="59"/>
  </r>
  <r>
    <s v="11. Fabien Fabre "/>
    <n v="2"/>
    <m/>
    <x v="60"/>
  </r>
  <r>
    <s v="11. Fabien Fabre "/>
    <n v="1"/>
    <m/>
    <x v="60"/>
  </r>
  <r>
    <s v="11. Honesto Cousa "/>
    <n v="3"/>
    <m/>
    <x v="61"/>
  </r>
  <r>
    <s v="11. Karl Edwin "/>
    <n v="2"/>
    <m/>
    <x v="62"/>
  </r>
  <r>
    <s v="11. Lars Pouilliers "/>
    <n v="4"/>
    <m/>
    <x v="47"/>
  </r>
  <r>
    <s v="11. Leonardo Baltico "/>
    <n v="3"/>
    <m/>
    <x v="24"/>
  </r>
  <r>
    <s v="11. Martin Kilev "/>
    <n v="1"/>
    <m/>
    <x v="27"/>
  </r>
  <r>
    <s v="11. Miguel Fernández "/>
    <n v="2"/>
    <m/>
    <x v="63"/>
  </r>
  <r>
    <s v="11. Miguel Fernández "/>
    <n v="2"/>
    <m/>
    <x v="63"/>
  </r>
  <r>
    <s v="11. Morgan Thomas "/>
    <n v="2"/>
    <m/>
    <x v="49"/>
  </r>
  <r>
    <s v="11. Patrick Werner "/>
    <n v="3"/>
    <m/>
    <x v="64"/>
  </r>
  <r>
    <s v="11. Percy Alfredsson "/>
    <n v="2"/>
    <m/>
    <x v="65"/>
  </r>
  <r>
    <s v="11. Pere Beltran "/>
    <n v="2"/>
    <m/>
    <x v="30"/>
  </r>
  <r>
    <s v="11. Rasheed Da'na "/>
    <n v="1"/>
    <m/>
    <x v="66"/>
  </r>
  <r>
    <s v="11. Rasheed Da'na "/>
    <n v="4"/>
    <m/>
    <x v="66"/>
  </r>
  <r>
    <s v="11. Roberto Montero "/>
    <n v="1"/>
    <m/>
    <x v="53"/>
  </r>
  <r>
    <s v="11. Romain Grière "/>
    <n v="2"/>
    <m/>
    <x v="67"/>
  </r>
  <r>
    <s v="11. Seran Aranguren "/>
    <n v="1"/>
    <m/>
    <x v="68"/>
  </r>
  <r>
    <s v="11. Serapio Castrelos "/>
    <n v="1"/>
    <m/>
    <x v="69"/>
  </r>
  <r>
    <s v="11. Uday Adeeb "/>
    <n v="2"/>
    <m/>
    <x v="70"/>
  </r>
  <r>
    <s v="12. Andrea Califano "/>
    <n v="1"/>
    <m/>
    <x v="71"/>
  </r>
  <r>
    <s v="12. Arnold Kalckstein "/>
    <n v="2"/>
    <m/>
    <x v="72"/>
  </r>
  <r>
    <s v="12. Christophe Reinhart "/>
    <n v="4"/>
    <m/>
    <x v="73"/>
  </r>
  <r>
    <s v="12. Csaba Mezo "/>
    <n v="1"/>
    <m/>
    <x v="74"/>
  </r>
  <r>
    <s v="12. David Garcia-Spiess "/>
    <n v="1"/>
    <m/>
    <x v="18"/>
  </r>
  <r>
    <s v="12. David Garcia-Spiess "/>
    <n v="2"/>
    <m/>
    <x v="18"/>
  </r>
  <r>
    <s v="12. David Knuff "/>
    <n v="2"/>
    <m/>
    <x v="75"/>
  </r>
  <r>
    <s v="12. Dolf Fohringer "/>
    <n v="3"/>
    <m/>
    <x v="76"/>
  </r>
  <r>
    <s v="12. Eckardt Hägerling "/>
    <n v="1"/>
    <m/>
    <x v="40"/>
  </r>
  <r>
    <s v="12. Emilio Mochelato "/>
    <n v="2"/>
    <m/>
    <x v="59"/>
  </r>
  <r>
    <s v="12. Gino van Hoesel "/>
    <n v="2"/>
    <m/>
    <x v="77"/>
  </r>
  <r>
    <s v="12. Igli Volpicelli "/>
    <n v="2"/>
    <m/>
    <x v="78"/>
  </r>
  <r>
    <s v="12. Jos Pittoors "/>
    <n v="4"/>
    <m/>
    <x v="79"/>
  </r>
  <r>
    <s v="12. Károly Serfel "/>
    <n v="4"/>
    <m/>
    <x v="46"/>
  </r>
  <r>
    <s v="12. Lauri Piminäinen "/>
    <n v="2"/>
    <m/>
    <x v="80"/>
  </r>
  <r>
    <s v="12. Ludwik Mojescik "/>
    <n v="3"/>
    <m/>
    <x v="81"/>
  </r>
  <r>
    <s v="12. Ludwik Mojescik "/>
    <n v="2"/>
    <m/>
    <x v="81"/>
  </r>
  <r>
    <s v="12. Massimiliano Jula "/>
    <n v="1"/>
    <m/>
    <x v="82"/>
  </r>
  <r>
    <s v="12. Pieter Pelleboer "/>
    <n v="1"/>
    <m/>
    <x v="83"/>
  </r>
  <r>
    <s v="12. Raffaele Sitter "/>
    <n v="1"/>
    <m/>
    <x v="84"/>
  </r>
  <r>
    <s v="12. Steve Mckinnon "/>
    <n v="1"/>
    <m/>
    <x v="85"/>
  </r>
  <r>
    <s v="12. Tomasz Artymiuk "/>
    <n v="1"/>
    <m/>
    <x v="86"/>
  </r>
  <r>
    <s v="13. ? (Pan) ?? (Yuandong) "/>
    <n v="1"/>
    <m/>
    <x v="87"/>
  </r>
  <r>
    <s v="13. Aamos Vara "/>
    <n v="1"/>
    <m/>
    <x v="88"/>
  </r>
  <r>
    <s v="13. Arjo Olthuis "/>
    <n v="3"/>
    <m/>
    <x v="89"/>
  </r>
  <r>
    <s v="13. Christophe Reinhart "/>
    <n v="1"/>
    <m/>
    <x v="73"/>
  </r>
  <r>
    <s v="13. Christophe Reinhart "/>
    <n v="1"/>
    <m/>
    <x v="73"/>
  </r>
  <r>
    <s v="13. Cornel Caraba "/>
    <n v="2"/>
    <m/>
    <x v="90"/>
  </r>
  <r>
    <s v="13. Emilio Mochelato "/>
    <n v="1"/>
    <m/>
    <x v="59"/>
  </r>
  <r>
    <s v="13. Fere Pulido "/>
    <n v="1"/>
    <m/>
    <x v="91"/>
  </r>
  <r>
    <s v="13. Fernando Gazón "/>
    <n v="1"/>
    <m/>
    <x v="92"/>
  </r>
  <r>
    <s v="13. Gino van Hoesel "/>
    <n v="3"/>
    <m/>
    <x v="77"/>
  </r>
  <r>
    <s v="13. Horacy Dzienis "/>
    <n v="3"/>
    <m/>
    <x v="93"/>
  </r>
  <r>
    <s v="13. Jacobo Ferrueros "/>
    <n v="2"/>
    <m/>
    <x v="43"/>
  </r>
  <r>
    <s v="13. Jos Pittoors "/>
    <n v="2"/>
    <m/>
    <x v="79"/>
  </r>
  <r>
    <s v="13. Mario Omarini "/>
    <n v="1"/>
    <m/>
    <x v="94"/>
  </r>
  <r>
    <s v="13. Matteo Omacini "/>
    <n v="2"/>
    <m/>
    <x v="95"/>
  </r>
  <r>
    <s v="13. Matteo Omacini "/>
    <n v="1"/>
    <m/>
    <x v="95"/>
  </r>
  <r>
    <s v="13. Miguel Fernández "/>
    <n v="1"/>
    <m/>
    <x v="63"/>
  </r>
  <r>
    <s v="13. Nikolay Gerasimenko "/>
    <n v="4"/>
    <m/>
    <x v="96"/>
  </r>
  <r>
    <s v="13. Pasqual Vilar "/>
    <n v="1"/>
    <m/>
    <x v="97"/>
  </r>
  <r>
    <s v="13. Pau Redondo "/>
    <n v="1"/>
    <m/>
    <x v="98"/>
  </r>
  <r>
    <s v="13. Pere Beltran "/>
    <n v="2"/>
    <m/>
    <x v="30"/>
  </r>
  <r>
    <s v="13. Raffaele Sitter "/>
    <n v="2"/>
    <m/>
    <x v="84"/>
  </r>
  <r>
    <s v="13. Ryan Clarke "/>
    <n v="1"/>
    <m/>
    <x v="99"/>
  </r>
  <r>
    <s v="13. Xofre Taín "/>
    <n v="1"/>
    <m/>
    <x v="100"/>
  </r>
  <r>
    <s v="14. Arkadiusz Dembek "/>
    <n v="2"/>
    <m/>
    <x v="101"/>
  </r>
  <r>
    <s v="14. Ellák Deák "/>
    <n v="1"/>
    <m/>
    <x v="102"/>
  </r>
  <r>
    <s v="14. Gianfranco Rezza "/>
    <n v="1"/>
    <m/>
    <x v="103"/>
  </r>
  <r>
    <s v="14. Lech Sipinski "/>
    <n v="3"/>
    <m/>
    <x v="104"/>
  </r>
  <r>
    <s v="14. Mateusz Brzostowski "/>
    <n v="1"/>
    <m/>
    <x v="105"/>
  </r>
  <r>
    <s v="14. Melcior Calmet "/>
    <n v="1"/>
    <m/>
    <x v="28"/>
  </r>
  <r>
    <s v="14. Miklós Gábriel "/>
    <n v="1"/>
    <m/>
    <x v="106"/>
  </r>
  <r>
    <s v="14. Pere Beltran "/>
    <n v="1"/>
    <m/>
    <x v="30"/>
  </r>
  <r>
    <s v="14. Raffaele Sitter "/>
    <n v="3"/>
    <m/>
    <x v="84"/>
  </r>
  <r>
    <s v="14. Ragip Övgü "/>
    <n v="3"/>
    <m/>
    <x v="107"/>
  </r>
  <r>
    <s v="14. Ragip Övgü "/>
    <n v="2"/>
    <m/>
    <x v="107"/>
  </r>
  <r>
    <s v="14. Ricardo Esquerdo "/>
    <n v="3"/>
    <m/>
    <x v="108"/>
  </r>
  <r>
    <s v="14. Sansão Trindade Oliveira "/>
    <n v="1"/>
    <m/>
    <x v="109"/>
  </r>
  <r>
    <s v="14. Sansão Trindade Oliveira "/>
    <n v="1"/>
    <m/>
    <x v="109"/>
  </r>
  <r>
    <s v="14. Sascha Gilch "/>
    <n v="2"/>
    <m/>
    <x v="110"/>
  </r>
  <r>
    <s v="14. Stefano Spanu "/>
    <n v="2"/>
    <m/>
    <x v="111"/>
  </r>
  <r>
    <s v="14. Vincent Gautsch "/>
    <n v="1"/>
    <m/>
    <x v="112"/>
  </r>
  <r>
    <s v="15. Andrea Chiu "/>
    <n v="1"/>
    <m/>
    <x v="113"/>
  </r>
  <r>
    <s v="15. Carlos Ipinza "/>
    <n v="1"/>
    <m/>
    <x v="114"/>
  </r>
  <r>
    <s v="15. Csaba Mezo "/>
    <n v="1"/>
    <m/>
    <x v="74"/>
  </r>
  <r>
    <s v="15. Dan Lindgren "/>
    <n v="1"/>
    <m/>
    <x v="115"/>
  </r>
  <r>
    <s v="15. Fernando Gazón "/>
    <n v="1"/>
    <m/>
    <x v="92"/>
  </r>
  <r>
    <s v="15. Francesc Giró "/>
    <n v="1"/>
    <m/>
    <x v="116"/>
  </r>
  <r>
    <s v="15. Hjalte Egede "/>
    <n v="1"/>
    <m/>
    <x v="117"/>
  </r>
  <r>
    <s v="15. Jos Pittoors "/>
    <n v="2"/>
    <m/>
    <x v="79"/>
  </r>
  <r>
    <s v="15. Miguel Fernández "/>
    <n v="1"/>
    <m/>
    <x v="63"/>
  </r>
  <r>
    <s v="15. Pasqual Vilar "/>
    <n v="2"/>
    <m/>
    <x v="97"/>
  </r>
  <r>
    <s v="15. Pasqual Vilar "/>
    <n v="2"/>
    <m/>
    <x v="97"/>
  </r>
  <r>
    <s v="15. Pere Beltran "/>
    <n v="2"/>
    <m/>
    <x v="30"/>
  </r>
  <r>
    <s v="15. Roberto Montero "/>
    <n v="1"/>
    <m/>
    <x v="53"/>
  </r>
  <r>
    <s v="15. Tristan Voet "/>
    <n v="3"/>
    <m/>
    <x v="118"/>
  </r>
  <r>
    <s v="15. Uday Adeeb "/>
    <n v="2"/>
    <m/>
    <x v="70"/>
  </r>
  <r>
    <s v="15. Zsolt Novák "/>
    <n v="1"/>
    <m/>
    <x v="119"/>
  </r>
  <r>
    <s v="16. Adamantios Fikias "/>
    <n v="1"/>
    <m/>
    <x v="34"/>
  </r>
  <r>
    <s v="16. Adamantios Fikias "/>
    <n v="1"/>
    <m/>
    <x v="34"/>
  </r>
  <r>
    <s v="16. Andrija Miškovic "/>
    <n v="1"/>
    <m/>
    <x v="35"/>
  </r>
  <r>
    <s v="16. Dan Veneau "/>
    <n v="1"/>
    <m/>
    <x v="120"/>
  </r>
  <r>
    <s v="16. Gastone Cianelli "/>
    <n v="1"/>
    <m/>
    <x v="121"/>
  </r>
  <r>
    <s v="16. Horacy Dzienis "/>
    <n v="1"/>
    <m/>
    <x v="93"/>
  </r>
  <r>
    <s v="16. Joãozinho do Mato "/>
    <n v="2"/>
    <m/>
    <x v="22"/>
  </r>
  <r>
    <s v="16. José Luis Valdés Saavedra "/>
    <n v="1"/>
    <m/>
    <x v="122"/>
  </r>
  <r>
    <s v="16. Ludovic Gygax "/>
    <n v="1"/>
    <m/>
    <x v="123"/>
  </r>
  <r>
    <s v="16. Ludwik Mojescik "/>
    <n v="2"/>
    <m/>
    <x v="81"/>
  </r>
  <r>
    <s v="16. Martijn Collinet "/>
    <n v="2"/>
    <m/>
    <x v="124"/>
  </r>
  <r>
    <s v="16. Ulf Schenkel "/>
    <n v="2"/>
    <m/>
    <x v="125"/>
  </r>
  <r>
    <s v="17. Andres Kalvet "/>
    <n v="1"/>
    <m/>
    <x v="126"/>
  </r>
  <r>
    <s v="17. Catalin Corobea "/>
    <n v="1"/>
    <m/>
    <x v="127"/>
  </r>
  <r>
    <s v="17. Dimitris Prokos "/>
    <n v="1"/>
    <m/>
    <x v="128"/>
  </r>
  <r>
    <s v="17. Ellák Deák "/>
    <n v="1"/>
    <m/>
    <x v="102"/>
  </r>
  <r>
    <s v="17. Fernando Juárez Sierra "/>
    <n v="1"/>
    <m/>
    <x v="129"/>
  </r>
  <r>
    <s v="17. Iacob Sarpe "/>
    <n v="1"/>
    <m/>
    <x v="130"/>
  </r>
  <r>
    <s v="17. Krzysztof Buras "/>
    <n v="1"/>
    <m/>
    <x v="131"/>
  </r>
  <r>
    <s v="17. Morgan Gomes "/>
    <n v="1"/>
    <m/>
    <x v="132"/>
  </r>
  <r>
    <s v="17. Nicolai Stentoft "/>
    <n v="2"/>
    <m/>
    <x v="50"/>
  </r>
  <r>
    <s v="17. Zsolt Novák "/>
    <n v="1"/>
    <m/>
    <x v="119"/>
  </r>
  <r>
    <s v="18. Carlos Ipinza "/>
    <n v="1"/>
    <m/>
    <x v="114"/>
  </r>
  <r>
    <s v="18. Dolf Fohringer "/>
    <n v="1"/>
    <m/>
    <x v="76"/>
  </r>
  <r>
    <s v="18. Finlay MacGrory "/>
    <n v="1"/>
    <m/>
    <x v="133"/>
  </r>
  <r>
    <s v="18. Marcin Lulewicz "/>
    <n v="1"/>
    <m/>
    <x v="134"/>
  </r>
  <r>
    <s v="18. Nicolau Caraduxe "/>
    <n v="1"/>
    <m/>
    <x v="135"/>
  </r>
  <r>
    <s v="18. Pau Redondo "/>
    <n v="1"/>
    <m/>
    <x v="98"/>
  </r>
  <r>
    <s v="18. Stefano Spanu "/>
    <n v="1"/>
    <m/>
    <x v="111"/>
  </r>
  <r>
    <s v="19. Christophe Méjean "/>
    <n v="1"/>
    <m/>
    <x v="136"/>
  </r>
  <r>
    <s v="19. Fere Pulido "/>
    <n v="1"/>
    <m/>
    <x v="91"/>
  </r>
  <r>
    <s v="19. Gawel Nanowski "/>
    <n v="1"/>
    <m/>
    <x v="137"/>
  </r>
  <r>
    <s v="19. Jacobo Ferrueros "/>
    <n v="1"/>
    <m/>
    <x v="43"/>
  </r>
  <r>
    <s v="2. Adam Moss "/>
    <n v="9"/>
    <m/>
    <x v="15"/>
  </r>
  <r>
    <s v="2. Adamantios Fikias "/>
    <n v="8"/>
    <m/>
    <x v="34"/>
  </r>
  <r>
    <s v="2. Alex Txantre "/>
    <n v="6"/>
    <m/>
    <x v="138"/>
  </r>
  <r>
    <s v="2. Andrin Bärtsch "/>
    <n v="10"/>
    <m/>
    <x v="36"/>
  </r>
  <r>
    <s v="2. Brunon Chuda "/>
    <n v="5"/>
    <m/>
    <x v="17"/>
  </r>
  <r>
    <s v="2. Co Wolbers "/>
    <n v="7"/>
    <m/>
    <x v="139"/>
  </r>
  <r>
    <s v="2. Cornel Boicea "/>
    <n v="10"/>
    <m/>
    <x v="140"/>
  </r>
  <r>
    <s v="2. David Garcia-Spiess "/>
    <n v="15"/>
    <m/>
    <x v="18"/>
  </r>
  <r>
    <s v="2. Gianfranco Rezza "/>
    <n v="7"/>
    <m/>
    <x v="103"/>
  </r>
  <r>
    <s v="2. Joãozinho do Mato "/>
    <n v="2"/>
    <m/>
    <x v="22"/>
  </r>
  <r>
    <s v="2. John Chung "/>
    <n v="6"/>
    <m/>
    <x v="141"/>
  </r>
  <r>
    <s v="2. Kendor Nagiturri "/>
    <n v="16"/>
    <m/>
    <x v="142"/>
  </r>
  <r>
    <s v="2. Kendor Nagiturri "/>
    <n v="8"/>
    <m/>
    <x v="142"/>
  </r>
  <r>
    <s v="2. Leo Hilpinen "/>
    <n v="7"/>
    <m/>
    <x v="23"/>
  </r>
  <r>
    <s v="2. Manolo Negrín "/>
    <n v="7"/>
    <m/>
    <x v="26"/>
  </r>
  <r>
    <s v="2. Mattia Sambri "/>
    <n v="4"/>
    <m/>
    <x v="143"/>
  </r>
  <r>
    <s v="2. Melcior Calmet "/>
    <n v="6"/>
    <m/>
    <x v="28"/>
  </r>
  <r>
    <s v="2. Nicolau Caraduxe "/>
    <n v="9"/>
    <m/>
    <x v="135"/>
  </r>
  <r>
    <s v="2. Pere Beltran "/>
    <n v="5"/>
    <m/>
    <x v="30"/>
  </r>
  <r>
    <s v="2. Pere Beltran "/>
    <n v="4"/>
    <m/>
    <x v="30"/>
  </r>
  <r>
    <s v="2. Rasheed Da'na "/>
    <n v="13"/>
    <m/>
    <x v="66"/>
  </r>
  <r>
    <s v="2. Renato Galeano "/>
    <n v="7"/>
    <m/>
    <x v="144"/>
  </r>
  <r>
    <s v="2. Roberto Abenoza "/>
    <n v="5"/>
    <m/>
    <x v="145"/>
  </r>
  <r>
    <s v="2. Saúl Piña "/>
    <n v="14"/>
    <m/>
    <x v="32"/>
  </r>
  <r>
    <s v="2. Saúl Piña "/>
    <n v="10"/>
    <m/>
    <x v="32"/>
  </r>
  <r>
    <s v="2. Tommaso Niscola "/>
    <n v="12"/>
    <m/>
    <x v="146"/>
  </r>
  <r>
    <s v="20. David Erbiti "/>
    <n v="1"/>
    <m/>
    <x v="147"/>
  </r>
  <r>
    <s v="20. David Knuff "/>
    <n v="1"/>
    <m/>
    <x v="75"/>
  </r>
  <r>
    <s v="20. Harald Georg Berchthold "/>
    <n v="1"/>
    <m/>
    <x v="148"/>
  </r>
  <r>
    <s v="20. Jan Jessen "/>
    <n v="1"/>
    <m/>
    <x v="149"/>
  </r>
  <r>
    <s v="21. Enis Kalan "/>
    <n v="1"/>
    <m/>
    <x v="150"/>
  </r>
  <r>
    <s v="21. José Manuel Carneiro "/>
    <n v="1"/>
    <m/>
    <x v="151"/>
  </r>
  <r>
    <s v="22. Ludvig Andreasson "/>
    <n v="1"/>
    <m/>
    <x v="152"/>
  </r>
  <r>
    <s v="23. Luigi Tripodo "/>
    <n v="1"/>
    <m/>
    <x v="153"/>
  </r>
  <r>
    <s v="24. Christophe Méjean "/>
    <n v="1"/>
    <m/>
    <x v="136"/>
  </r>
  <r>
    <s v="25. Aamos Vara "/>
    <n v="1"/>
    <m/>
    <x v="88"/>
  </r>
  <r>
    <s v="3. Adam Moss "/>
    <n v="14"/>
    <m/>
    <x v="15"/>
  </r>
  <r>
    <s v="3. Adamantios Fikias "/>
    <n v="5"/>
    <m/>
    <x v="34"/>
  </r>
  <r>
    <s v="3. Andrin Bärtsch "/>
    <n v="10"/>
    <m/>
    <x v="36"/>
  </r>
  <r>
    <s v="3. Andrin Bärtsch "/>
    <n v="7"/>
    <m/>
    <x v="36"/>
  </r>
  <r>
    <s v="3. Brunon Chuda "/>
    <n v="8"/>
    <m/>
    <x v="17"/>
  </r>
  <r>
    <s v="3. Brunon Chuda "/>
    <n v="5"/>
    <m/>
    <x v="17"/>
  </r>
  <r>
    <s v="3. Co Wolbers "/>
    <n v="6"/>
    <m/>
    <x v="139"/>
  </r>
  <r>
    <s v="3. Cornel Boicea "/>
    <n v="9"/>
    <m/>
    <x v="140"/>
  </r>
  <r>
    <s v="3. Damiano Clementi "/>
    <n v="3"/>
    <m/>
    <x v="154"/>
  </r>
  <r>
    <s v="3. Gianfranco Rezza "/>
    <n v="11"/>
    <m/>
    <x v="103"/>
  </r>
  <r>
    <s v="3. Harald Georg Berchthold "/>
    <n v="4"/>
    <m/>
    <x v="148"/>
  </r>
  <r>
    <s v="3. John Chung "/>
    <n v="8"/>
    <m/>
    <x v="141"/>
  </r>
  <r>
    <s v="3. Jos Pittoors "/>
    <n v="8"/>
    <m/>
    <x v="79"/>
  </r>
  <r>
    <s v="3. Leonardo Baltico "/>
    <n v="2"/>
    <m/>
    <x v="24"/>
  </r>
  <r>
    <s v="3. Mario Omarini "/>
    <n v="7"/>
    <m/>
    <x v="94"/>
  </r>
  <r>
    <s v="3. Miklós Gábriel "/>
    <n v="6"/>
    <m/>
    <x v="106"/>
  </r>
  <r>
    <s v="3. Miklós Gábriel "/>
    <n v="5"/>
    <m/>
    <x v="106"/>
  </r>
  <r>
    <s v="3. Nikolay Gerasimenko "/>
    <n v="5"/>
    <m/>
    <x v="96"/>
  </r>
  <r>
    <s v="3. Nikolay Gerasimenko "/>
    <n v="3"/>
    <m/>
    <x v="96"/>
  </r>
  <r>
    <s v="3. Pablo Gil Fano "/>
    <n v="4"/>
    <m/>
    <x v="155"/>
  </r>
  <r>
    <s v="3. Rasheed Da'na "/>
    <n v="6"/>
    <m/>
    <x v="66"/>
  </r>
  <r>
    <s v="3. Rasheed Da'na "/>
    <n v="13"/>
    <m/>
    <x v="66"/>
  </r>
  <r>
    <s v="3. Raúl Riquelme "/>
    <n v="2"/>
    <m/>
    <x v="156"/>
  </r>
  <r>
    <s v="3. Roberto Abenoza "/>
    <n v="3"/>
    <m/>
    <x v="145"/>
  </r>
  <r>
    <s v="3. Sejo Sáenz Marín "/>
    <n v="4"/>
    <m/>
    <x v="157"/>
  </r>
  <r>
    <s v="3. Tommaso Niscola "/>
    <n v="7"/>
    <m/>
    <x v="146"/>
  </r>
  <r>
    <s v="4. Aimar Lasalde "/>
    <n v="9"/>
    <m/>
    <x v="158"/>
  </r>
  <r>
    <s v="4. Ellák Deák "/>
    <n v="5"/>
    <m/>
    <x v="102"/>
  </r>
  <r>
    <s v="4. Ellák Deák "/>
    <n v="6"/>
    <m/>
    <x v="102"/>
  </r>
  <r>
    <s v="4. Gianfranco Rezza "/>
    <n v="6"/>
    <m/>
    <x v="103"/>
  </r>
  <r>
    <s v="4. Gianfranco Rezza "/>
    <n v="12"/>
    <m/>
    <x v="103"/>
  </r>
  <r>
    <s v="4. Gongotzon Ialdebere "/>
    <n v="7"/>
    <m/>
    <x v="159"/>
  </r>
  <r>
    <s v="4. Hansjürg Devier "/>
    <n v="4"/>
    <m/>
    <x v="160"/>
  </r>
  <r>
    <s v="4. Iyad Chaabo "/>
    <n v="6"/>
    <m/>
    <x v="161"/>
  </r>
  <r>
    <s v="4. Jörg Londorf "/>
    <n v="4"/>
    <m/>
    <x v="162"/>
  </r>
  <r>
    <s v="4. Leonardo Baltico "/>
    <n v="11"/>
    <m/>
    <x v="24"/>
  </r>
  <r>
    <s v="4. Ludwik Mojescik "/>
    <n v="7"/>
    <m/>
    <x v="81"/>
  </r>
  <r>
    <s v="4. Nikolas Lakkotripi "/>
    <n v="7"/>
    <m/>
    <x v="29"/>
  </r>
  <r>
    <s v="4. Nikolay Gerasimenko "/>
    <n v="8"/>
    <m/>
    <x v="96"/>
  </r>
  <r>
    <s v="4. Pepijn Zwaan "/>
    <n v="6"/>
    <m/>
    <x v="163"/>
  </r>
  <r>
    <s v="4. Pere Beltran "/>
    <n v="2"/>
    <m/>
    <x v="30"/>
  </r>
  <r>
    <s v="4. Petru Pena "/>
    <n v="3"/>
    <m/>
    <x v="164"/>
  </r>
  <r>
    <s v="4. Ragip Övgü "/>
    <n v="5"/>
    <m/>
    <x v="107"/>
  </r>
  <r>
    <s v="4. Rasheed Da'na "/>
    <n v="9"/>
    <m/>
    <x v="66"/>
  </r>
  <r>
    <s v="4. Relf Härteis "/>
    <n v="3"/>
    <m/>
    <x v="165"/>
  </r>
  <r>
    <s v="4. Relf Härteis "/>
    <n v="4"/>
    <m/>
    <x v="165"/>
  </r>
  <r>
    <s v="4. Renato Galeano "/>
    <n v="8"/>
    <m/>
    <x v="144"/>
  </r>
  <r>
    <s v="4. Roberto Abenoza "/>
    <n v="4"/>
    <m/>
    <x v="145"/>
  </r>
  <r>
    <s v="4. Zeno Baets "/>
    <n v="3"/>
    <m/>
    <x v="166"/>
  </r>
  <r>
    <s v="5. Adam Moss "/>
    <n v="10"/>
    <m/>
    <x v="15"/>
  </r>
  <r>
    <s v="5. Adam Moss "/>
    <n v="6"/>
    <m/>
    <x v="15"/>
  </r>
  <r>
    <s v="5. Aimar Lasalde "/>
    <n v="6"/>
    <m/>
    <x v="158"/>
  </r>
  <r>
    <s v="5. Aiurdi Azpileta "/>
    <n v="3"/>
    <m/>
    <x v="167"/>
  </r>
  <r>
    <s v="5. Casildo Abraldes "/>
    <n v="2"/>
    <m/>
    <x v="168"/>
  </r>
  <r>
    <s v="5. David Erbiti "/>
    <n v="3"/>
    <m/>
    <x v="147"/>
  </r>
  <r>
    <s v="5. Ernst Lammers "/>
    <n v="4"/>
    <m/>
    <x v="169"/>
  </r>
  <r>
    <s v="5. Fere Pulido "/>
    <n v="5"/>
    <m/>
    <x v="91"/>
  </r>
  <r>
    <s v="5. Gianfranco Rezza "/>
    <n v="6"/>
    <m/>
    <x v="103"/>
  </r>
  <r>
    <s v="5. Gino van Hoesel "/>
    <n v="6"/>
    <m/>
    <x v="77"/>
  </r>
  <r>
    <s v="5. Horacy Dzienis "/>
    <n v="7"/>
    <m/>
    <x v="93"/>
  </r>
  <r>
    <s v="5. Ibiur Altxakoa "/>
    <n v="5"/>
    <m/>
    <x v="170"/>
  </r>
  <r>
    <s v="5. Iuliu Pana "/>
    <n v="3"/>
    <m/>
    <x v="171"/>
  </r>
  <r>
    <s v="5. Joãozinho do Mato "/>
    <n v="8"/>
    <m/>
    <x v="22"/>
  </r>
  <r>
    <s v="5. Mauro Vaz "/>
    <n v="2"/>
    <m/>
    <x v="172"/>
  </r>
  <r>
    <s v="5. Michele Giampieri "/>
    <n v="6"/>
    <m/>
    <x v="173"/>
  </r>
  <r>
    <s v="5. Nikolay Gerasimenko "/>
    <n v="4"/>
    <m/>
    <x v="96"/>
  </r>
  <r>
    <s v="5. Pablo Gil Fano "/>
    <n v="2"/>
    <m/>
    <x v="155"/>
  </r>
  <r>
    <s v="5. Pere Beltran "/>
    <n v="8"/>
    <m/>
    <x v="30"/>
  </r>
  <r>
    <s v="5. Rasheed Da'na "/>
    <n v="6"/>
    <m/>
    <x v="66"/>
  </r>
  <r>
    <s v="5. Rasheed Da'na "/>
    <n v="11"/>
    <m/>
    <x v="66"/>
  </r>
  <r>
    <s v="5. Raúl Riquelme "/>
    <n v="3"/>
    <m/>
    <x v="156"/>
  </r>
  <r>
    <s v="5. Richey Cowper "/>
    <n v="3"/>
    <m/>
    <x v="174"/>
  </r>
  <r>
    <s v="5. Zbyšek Hamrozi "/>
    <n v="1"/>
    <m/>
    <x v="175"/>
  </r>
  <r>
    <s v="6. Aimar Lasalde "/>
    <n v="6"/>
    <m/>
    <x v="158"/>
  </r>
  <r>
    <s v="6. Boleslaw Starzomski "/>
    <n v="5"/>
    <m/>
    <x v="58"/>
  </r>
  <r>
    <s v="6. Brunon Chuda "/>
    <n v="5"/>
    <m/>
    <x v="17"/>
  </r>
  <r>
    <s v="6. Christophe Bodin "/>
    <n v="2"/>
    <m/>
    <x v="176"/>
  </r>
  <r>
    <s v="6. David Berkenbosch "/>
    <n v="3"/>
    <m/>
    <x v="177"/>
  </r>
  <r>
    <s v="6. David Knuff "/>
    <n v="3"/>
    <m/>
    <x v="75"/>
  </r>
  <r>
    <s v="6. Domenic Janjic "/>
    <n v="2"/>
    <m/>
    <x v="178"/>
  </r>
  <r>
    <s v="6. Fernando Gazón "/>
    <n v="2"/>
    <m/>
    <x v="92"/>
  </r>
  <r>
    <s v="6. Fernando Gazón "/>
    <n v="2"/>
    <m/>
    <x v="92"/>
  </r>
  <r>
    <s v="6. Gastone Cianelli "/>
    <n v="3"/>
    <m/>
    <x v="121"/>
  </r>
  <r>
    <s v="6. Ibiur Altxakoa "/>
    <n v="4"/>
    <m/>
    <x v="170"/>
  </r>
  <r>
    <s v="6. Jorge Walter Whitaker "/>
    <n v="4"/>
    <m/>
    <x v="44"/>
  </r>
  <r>
    <s v="6. Juan Gabriel de Minaya "/>
    <n v="2"/>
    <m/>
    <x v="179"/>
  </r>
  <r>
    <s v="6. Kendor Nagiturri "/>
    <n v="6"/>
    <m/>
    <x v="142"/>
  </r>
  <r>
    <s v="6. Krzysztof Buras "/>
    <n v="3"/>
    <m/>
    <x v="131"/>
  </r>
  <r>
    <s v="6. Ludwik Mojescik "/>
    <n v="7"/>
    <m/>
    <x v="81"/>
  </r>
  <r>
    <s v="6. Malte Neulinger "/>
    <n v="5"/>
    <m/>
    <x v="25"/>
  </r>
  <r>
    <s v="6. Nikolas Lakkotripi "/>
    <n v="1"/>
    <m/>
    <x v="29"/>
  </r>
  <r>
    <s v="6. Pasqual Vilar "/>
    <n v="7"/>
    <m/>
    <x v="97"/>
  </r>
  <r>
    <s v="6. Pepijn Zwaan "/>
    <n v="10"/>
    <m/>
    <x v="163"/>
  </r>
  <r>
    <s v="6. Roelant Bierman "/>
    <n v="5"/>
    <m/>
    <x v="31"/>
  </r>
  <r>
    <s v="6. Romain Grière "/>
    <n v="4"/>
    <m/>
    <x v="67"/>
  </r>
  <r>
    <s v="6. Saúl Piña "/>
    <n v="11"/>
    <m/>
    <x v="32"/>
  </r>
  <r>
    <s v="6. Stanislaw Zdankiewicz "/>
    <n v="5"/>
    <m/>
    <x v="180"/>
  </r>
  <r>
    <s v="6. Torsten Kortenhof "/>
    <n v="6"/>
    <m/>
    <x v="181"/>
  </r>
  <r>
    <s v="7. ? (Pan) ?? (Yuandong) "/>
    <n v="3"/>
    <m/>
    <x v="87"/>
  </r>
  <r>
    <s v="7. Adam Moss "/>
    <n v="4"/>
    <m/>
    <x v="15"/>
  </r>
  <r>
    <s v="7. Alexander Pahl "/>
    <n v="1"/>
    <m/>
    <x v="182"/>
  </r>
  <r>
    <s v="7. Alfonso Londoño "/>
    <n v="1"/>
    <m/>
    <x v="183"/>
  </r>
  <r>
    <s v="7. Andrea Califano "/>
    <n v="4"/>
    <m/>
    <x v="71"/>
  </r>
  <r>
    <s v="7. Andrin Bärtsch "/>
    <n v="9"/>
    <m/>
    <x v="36"/>
  </r>
  <r>
    <s v="7. Andrin Bärtsch "/>
    <n v="10"/>
    <m/>
    <x v="36"/>
  </r>
  <r>
    <s v="7. Arjo Olthuis "/>
    <n v="6"/>
    <m/>
    <x v="89"/>
  </r>
  <r>
    <s v="7. Aureliusz Staszczuk "/>
    <n v="3"/>
    <m/>
    <x v="56"/>
  </r>
  <r>
    <s v="7. Eckardt Hägerling "/>
    <n v="2"/>
    <m/>
    <x v="40"/>
  </r>
  <r>
    <s v="7. Fabien Fabre "/>
    <n v="3"/>
    <m/>
    <x v="60"/>
  </r>
  <r>
    <s v="7. Giulio Procaccianti "/>
    <n v="4"/>
    <m/>
    <x v="184"/>
  </r>
  <r>
    <s v="7. Honesto Cousa "/>
    <n v="3"/>
    <m/>
    <x v="61"/>
  </r>
  <r>
    <s v="7. Iacob Sarpe "/>
    <n v="2"/>
    <m/>
    <x v="130"/>
  </r>
  <r>
    <s v="7. Jaime Ocón "/>
    <n v="2"/>
    <m/>
    <x v="185"/>
  </r>
  <r>
    <s v="7. Lars Pouilliers "/>
    <n v="5"/>
    <m/>
    <x v="47"/>
  </r>
  <r>
    <s v="7. Manuel Parejo "/>
    <n v="2"/>
    <m/>
    <x v="186"/>
  </r>
  <r>
    <s v="7. Markus Currie "/>
    <n v="5"/>
    <m/>
    <x v="48"/>
  </r>
  <r>
    <s v="7. Michele Giampieri "/>
    <n v="3"/>
    <m/>
    <x v="173"/>
  </r>
  <r>
    <s v="7. Pasqual Vilar "/>
    <n v="6"/>
    <m/>
    <x v="97"/>
  </r>
  <r>
    <s v="7. Patrick Werner "/>
    <n v="5"/>
    <m/>
    <x v="64"/>
  </r>
  <r>
    <s v="7. Stanislaw Zdankiewicz "/>
    <n v="3"/>
    <m/>
    <x v="180"/>
  </r>
  <r>
    <s v="7. Tomasz Artymiuk "/>
    <n v="5"/>
    <m/>
    <x v="86"/>
  </r>
  <r>
    <s v="7. Vincent Gautsch "/>
    <n v="2"/>
    <m/>
    <x v="112"/>
  </r>
  <r>
    <s v="7. Wicher Ossedrijver "/>
    <n v="6"/>
    <m/>
    <x v="187"/>
  </r>
  <r>
    <s v="8. Andrin Bärtsch "/>
    <n v="1"/>
    <m/>
    <x v="36"/>
  </r>
  <r>
    <s v="8. Arnold Kalckstein "/>
    <n v="9"/>
    <m/>
    <x v="72"/>
  </r>
  <r>
    <s v="8. Carlos Ipinza "/>
    <n v="2"/>
    <m/>
    <x v="114"/>
  </r>
  <r>
    <s v="8. Christophe Méjean "/>
    <n v="2"/>
    <m/>
    <x v="136"/>
  </r>
  <r>
    <s v="8. Co Wolbers "/>
    <n v="2"/>
    <m/>
    <x v="139"/>
  </r>
  <r>
    <s v="8. Csaba Mezo "/>
    <n v="3"/>
    <m/>
    <x v="74"/>
  </r>
  <r>
    <s v="8. Emilio Rojas "/>
    <n v="3"/>
    <m/>
    <x v="19"/>
  </r>
  <r>
    <s v="8. Felipe Andrés Massarelli "/>
    <n v="2"/>
    <m/>
    <x v="188"/>
  </r>
  <r>
    <s v="8. Fernando Juárez Sierra "/>
    <n v="4"/>
    <m/>
    <x v="129"/>
  </r>
  <r>
    <s v="8. Gregor Freischläger "/>
    <n v="9"/>
    <m/>
    <x v="42"/>
  </r>
  <r>
    <s v="8. Gregorio Manrique "/>
    <n v="1"/>
    <m/>
    <x v="189"/>
  </r>
  <r>
    <s v="8. Ibiur Altxakoa "/>
    <n v="4"/>
    <m/>
    <x v="170"/>
  </r>
  <r>
    <s v="8. Iuliu Pana "/>
    <n v="4"/>
    <m/>
    <x v="171"/>
  </r>
  <r>
    <s v="8. José Rubianes "/>
    <n v="2"/>
    <m/>
    <x v="190"/>
  </r>
  <r>
    <s v="8. Manuel Parejo "/>
    <n v="1"/>
    <m/>
    <x v="186"/>
  </r>
  <r>
    <s v="8. Martin Herber "/>
    <n v="5"/>
    <m/>
    <x v="191"/>
  </r>
  <r>
    <s v="8. Morgan Thomas "/>
    <n v="3"/>
    <m/>
    <x v="49"/>
  </r>
  <r>
    <s v="8. Pau Redondo "/>
    <n v="3"/>
    <m/>
    <x v="98"/>
  </r>
  <r>
    <s v="8. Ragip Övgü "/>
    <n v="6"/>
    <m/>
    <x v="107"/>
  </r>
  <r>
    <s v="8. Ricardo Esquerdo "/>
    <n v="4"/>
    <m/>
    <x v="108"/>
  </r>
  <r>
    <s v="8. Ricardo Esquerdo "/>
    <n v="4"/>
    <m/>
    <x v="108"/>
  </r>
  <r>
    <s v="8. Roelant Bierman "/>
    <n v="3"/>
    <m/>
    <x v="31"/>
  </r>
  <r>
    <s v="8. Stanislaw Zdankiewicz "/>
    <n v="4"/>
    <m/>
    <x v="180"/>
  </r>
  <r>
    <s v="8. Tijl van Hamburg "/>
    <n v="2"/>
    <m/>
    <x v="192"/>
  </r>
  <r>
    <s v="8. Tommaso Niscola "/>
    <n v="3"/>
    <m/>
    <x v="146"/>
  </r>
  <r>
    <s v="8. Xofre Taín "/>
    <n v="2"/>
    <m/>
    <x v="100"/>
  </r>
  <r>
    <s v="9. Adam Moss "/>
    <n v="5"/>
    <m/>
    <x v="15"/>
  </r>
  <r>
    <s v="9. Adamantios Fikias "/>
    <n v="1"/>
    <m/>
    <x v="34"/>
  </r>
  <r>
    <s v="9. Aimar Lasalde "/>
    <n v="3"/>
    <m/>
    <x v="158"/>
  </r>
  <r>
    <s v="9. Arnold Kalckstein "/>
    <n v="3"/>
    <m/>
    <x v="72"/>
  </r>
  <r>
    <s v="9. Cornel Caraba "/>
    <n v="3"/>
    <m/>
    <x v="90"/>
  </r>
  <r>
    <s v="9. Dan Veneau "/>
    <n v="3"/>
    <m/>
    <x v="120"/>
  </r>
  <r>
    <s v="9. David Erbiti "/>
    <n v="2"/>
    <m/>
    <x v="147"/>
  </r>
  <r>
    <s v="9. Emilio Rojas "/>
    <n v="3"/>
    <m/>
    <x v="19"/>
  </r>
  <r>
    <s v="9. Enis Kalan "/>
    <n v="2"/>
    <m/>
    <x v="150"/>
  </r>
  <r>
    <s v="9. Feliciano Becerril "/>
    <n v="8"/>
    <m/>
    <x v="193"/>
  </r>
  <r>
    <s v="9. Giulio Procaccianti "/>
    <n v="5"/>
    <m/>
    <x v="184"/>
  </r>
  <r>
    <s v="9. Gustaw Bugajski "/>
    <n v="1"/>
    <m/>
    <x v="194"/>
  </r>
  <r>
    <s v="9. Ilari Santasalmi "/>
    <n v="3"/>
    <m/>
    <x v="21"/>
  </r>
  <r>
    <s v="9. Jos Pittoors "/>
    <n v="1"/>
    <m/>
    <x v="79"/>
  </r>
  <r>
    <s v="9. Karst van Gils "/>
    <n v="2"/>
    <m/>
    <x v="195"/>
  </r>
  <r>
    <s v="9. Leonardo Baltico "/>
    <n v="3"/>
    <m/>
    <x v="24"/>
  </r>
  <r>
    <s v="9. Manolo Negrín "/>
    <n v="2"/>
    <m/>
    <x v="26"/>
  </r>
  <r>
    <s v="9. Mateusz Brzostowski "/>
    <n v="1"/>
    <m/>
    <x v="105"/>
  </r>
  <r>
    <s v="9. Mauro Vaz "/>
    <n v="1"/>
    <m/>
    <x v="172"/>
  </r>
  <r>
    <s v="9. Miguel Fernández "/>
    <n v="2"/>
    <m/>
    <x v="63"/>
  </r>
  <r>
    <s v="9. Morgan Thomas "/>
    <n v="3"/>
    <m/>
    <x v="49"/>
  </r>
  <r>
    <s v="9. Pepijn Zwaan "/>
    <n v="2"/>
    <m/>
    <x v="163"/>
  </r>
  <r>
    <s v="9. Pere Beltran "/>
    <n v="4"/>
    <m/>
    <x v="30"/>
  </r>
  <r>
    <s v="9. Raffaele Sitter "/>
    <n v="5"/>
    <m/>
    <x v="84"/>
  </r>
  <r>
    <s v="9. Raúl Riquelme "/>
    <n v="1"/>
    <m/>
    <x v="156"/>
  </r>
  <r>
    <s v="9. Renato Galeano "/>
    <n v="4"/>
    <m/>
    <x v="144"/>
  </r>
  <r>
    <s v="9. Udo Mier "/>
    <n v="2"/>
    <m/>
    <x v="196"/>
  </r>
  <r>
    <s v="9. Ulf Schenkel "/>
    <n v="3"/>
    <m/>
    <x v="125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477ED-5AC2-4BBA-ABD9-AE68B170C5CE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:H200" firstHeaderRow="1" firstDataRow="1" firstDataCol="1"/>
  <pivotFields count="4">
    <pivotField showAll="0"/>
    <pivotField dataField="1" showAll="0"/>
    <pivotField showAll="0"/>
    <pivotField axis="axisRow" showAll="0" sortType="descending">
      <items count="396">
        <item m="1" x="378"/>
        <item m="1" x="268"/>
        <item m="1" x="273"/>
        <item m="1" x="216"/>
        <item m="1" x="235"/>
        <item m="1" x="362"/>
        <item m="1" x="238"/>
        <item m="1" x="301"/>
        <item m="1" x="209"/>
        <item m="1" x="240"/>
        <item m="1" x="381"/>
        <item m="1" x="364"/>
        <item m="1" x="356"/>
        <item m="1" x="351"/>
        <item m="1" x="236"/>
        <item m="1" x="219"/>
        <item m="1" x="375"/>
        <item m="1" x="269"/>
        <item m="1" x="198"/>
        <item m="1" x="222"/>
        <item m="1" x="293"/>
        <item m="1" x="266"/>
        <item m="1" x="299"/>
        <item m="1" x="297"/>
        <item m="1" x="363"/>
        <item m="1" x="300"/>
        <item m="1" x="305"/>
        <item m="1" x="260"/>
        <item m="1" x="387"/>
        <item m="1" x="262"/>
        <item m="1" x="278"/>
        <item m="1" x="357"/>
        <item m="1" x="245"/>
        <item m="1" x="242"/>
        <item m="1" x="336"/>
        <item m="1" x="210"/>
        <item m="1" x="206"/>
        <item m="1" x="237"/>
        <item m="1" x="215"/>
        <item m="1" x="230"/>
        <item m="1" x="325"/>
        <item m="1" x="253"/>
        <item m="1" x="291"/>
        <item m="1" x="267"/>
        <item m="1" x="323"/>
        <item m="1" x="232"/>
        <item m="1" x="295"/>
        <item m="1" x="330"/>
        <item m="1" x="256"/>
        <item m="1" x="355"/>
        <item m="1" x="332"/>
        <item m="1" x="326"/>
        <item m="1" x="298"/>
        <item m="1" x="204"/>
        <item m="1" x="318"/>
        <item m="1" x="261"/>
        <item m="1" x="328"/>
        <item m="1" x="208"/>
        <item m="1" x="343"/>
        <item m="1" x="331"/>
        <item m="1" x="255"/>
        <item m="1" x="225"/>
        <item m="1" x="338"/>
        <item m="1" x="289"/>
        <item m="1" x="281"/>
        <item m="1" x="384"/>
        <item m="1" x="244"/>
        <item m="1" x="307"/>
        <item m="1" x="223"/>
        <item m="1" x="213"/>
        <item m="1" x="272"/>
        <item m="1" x="352"/>
        <item m="1" x="389"/>
        <item m="1" x="345"/>
        <item m="1" x="394"/>
        <item m="1" x="283"/>
        <item m="1" x="294"/>
        <item m="1" x="376"/>
        <item m="1" x="353"/>
        <item m="1" x="284"/>
        <item m="1" x="288"/>
        <item m="1" x="314"/>
        <item m="1" x="214"/>
        <item m="1" x="327"/>
        <item m="1" x="340"/>
        <item m="1" x="250"/>
        <item m="1" x="372"/>
        <item m="1" x="211"/>
        <item m="1" x="276"/>
        <item m="1" x="203"/>
        <item m="1" x="201"/>
        <item m="1" x="259"/>
        <item m="1" x="264"/>
        <item m="1" x="212"/>
        <item m="1" x="360"/>
        <item m="1" x="279"/>
        <item m="1" x="228"/>
        <item m="1" x="286"/>
        <item m="1" x="226"/>
        <item m="1" x="317"/>
        <item m="1" x="227"/>
        <item m="1" x="248"/>
        <item m="1" x="346"/>
        <item m="1" x="370"/>
        <item m="1" x="324"/>
        <item m="1" x="385"/>
        <item m="1" x="368"/>
        <item m="1" x="341"/>
        <item m="1" x="377"/>
        <item m="1" x="199"/>
        <item m="1" x="254"/>
        <item m="1" x="308"/>
        <item m="1" x="233"/>
        <item m="1" x="319"/>
        <item m="1" x="329"/>
        <item m="1" x="247"/>
        <item m="1" x="239"/>
        <item m="1" x="287"/>
        <item m="1" x="292"/>
        <item m="1" x="373"/>
        <item m="1" x="322"/>
        <item m="1" x="348"/>
        <item m="1" x="220"/>
        <item m="1" x="290"/>
        <item m="1" x="221"/>
        <item m="1" x="374"/>
        <item m="1" x="388"/>
        <item m="1" x="350"/>
        <item m="1" x="217"/>
        <item m="1" x="263"/>
        <item m="1" x="358"/>
        <item m="1" x="234"/>
        <item m="1" x="391"/>
        <item m="1" x="349"/>
        <item m="1" x="371"/>
        <item m="1" x="342"/>
        <item m="1" x="309"/>
        <item m="1" x="316"/>
        <item m="1" x="383"/>
        <item m="1" x="380"/>
        <item m="1" x="270"/>
        <item m="1" x="382"/>
        <item m="1" x="369"/>
        <item m="1" x="275"/>
        <item m="1" x="337"/>
        <item m="1" x="202"/>
        <item m="1" x="366"/>
        <item m="1" x="354"/>
        <item m="1" x="200"/>
        <item m="1" x="231"/>
        <item m="1" x="312"/>
        <item m="1" x="310"/>
        <item m="1" x="306"/>
        <item m="1" x="257"/>
        <item m="1" x="243"/>
        <item m="1" x="367"/>
        <item m="1" x="335"/>
        <item m="1" x="320"/>
        <item m="1" x="277"/>
        <item m="1" x="392"/>
        <item m="1" x="315"/>
        <item m="1" x="282"/>
        <item m="1" x="334"/>
        <item m="1" x="302"/>
        <item m="1" x="361"/>
        <item m="1" x="271"/>
        <item m="1" x="207"/>
        <item m="1" x="359"/>
        <item m="1" x="241"/>
        <item m="1" x="296"/>
        <item m="1" x="347"/>
        <item m="1" x="379"/>
        <item m="1" x="333"/>
        <item m="1" x="249"/>
        <item m="1" x="311"/>
        <item m="1" x="251"/>
        <item m="1" x="304"/>
        <item m="1" x="258"/>
        <item m="1" x="393"/>
        <item m="1" x="344"/>
        <item m="1" x="365"/>
        <item m="1" x="246"/>
        <item m="1" x="265"/>
        <item m="1" x="224"/>
        <item m="1" x="386"/>
        <item m="1" x="303"/>
        <item m="1" x="229"/>
        <item m="1" x="218"/>
        <item m="1" x="390"/>
        <item m="1" x="313"/>
        <item m="1" x="280"/>
        <item m="1" x="205"/>
        <item m="1" x="339"/>
        <item m="1" x="321"/>
        <item m="1" x="274"/>
        <item m="1" x="252"/>
        <item m="1" x="285"/>
        <item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99">
    <i>
      <x v="205"/>
    </i>
    <i>
      <x v="230"/>
    </i>
    <i>
      <x v="207"/>
    </i>
    <i>
      <x v="264"/>
    </i>
    <i>
      <x v="213"/>
    </i>
    <i>
      <x v="222"/>
    </i>
    <i>
      <x v="198"/>
    </i>
    <i>
      <x v="234"/>
    </i>
    <i>
      <x v="208"/>
    </i>
    <i>
      <x v="301"/>
    </i>
    <i>
      <x v="200"/>
    </i>
    <i>
      <x v="228"/>
    </i>
    <i>
      <x v="215"/>
    </i>
    <i>
      <x v="206"/>
    </i>
    <i>
      <x v="340"/>
    </i>
    <i>
      <x v="223"/>
    </i>
    <i>
      <x v="203"/>
    </i>
    <i>
      <x v="220"/>
    </i>
    <i>
      <x v="294"/>
    </i>
    <i>
      <x v="356"/>
    </i>
    <i>
      <x v="221"/>
    </i>
    <i>
      <x v="216"/>
    </i>
    <i>
      <x v="212"/>
    </i>
    <i>
      <x v="227"/>
    </i>
    <i>
      <x v="344"/>
    </i>
    <i>
      <x v="229"/>
    </i>
    <i>
      <x v="232"/>
    </i>
    <i>
      <x v="279"/>
    </i>
    <i>
      <x v="342"/>
    </i>
    <i>
      <x v="338"/>
    </i>
    <i>
      <x v="209"/>
    </i>
    <i>
      <x v="361"/>
    </i>
    <i>
      <x v="204"/>
    </i>
    <i>
      <x v="295"/>
    </i>
    <i>
      <x v="277"/>
    </i>
    <i>
      <x v="217"/>
    </i>
    <i>
      <x v="224"/>
    </i>
    <i>
      <x v="226"/>
    </i>
    <i>
      <x v="305"/>
    </i>
    <i>
      <x v="337"/>
    </i>
    <i>
      <x v="339"/>
    </i>
    <i>
      <x v="270"/>
    </i>
    <i>
      <x v="210"/>
    </i>
    <i>
      <x v="211"/>
    </i>
    <i>
      <x v="368"/>
    </i>
    <i>
      <x v="300"/>
    </i>
    <i>
      <x v="240"/>
    </i>
    <i>
      <x v="343"/>
    </i>
    <i>
      <x v="378"/>
    </i>
    <i>
      <x v="304"/>
    </i>
    <i>
      <x v="282"/>
    </i>
    <i>
      <x v="275"/>
    </i>
    <i>
      <x v="306"/>
    </i>
    <i>
      <x v="291"/>
    </i>
    <i>
      <x v="218"/>
    </i>
    <i>
      <x v="333"/>
    </i>
    <i>
      <x v="245"/>
    </i>
    <i>
      <x v="235"/>
    </i>
    <i>
      <x v="202"/>
    </i>
    <i>
      <x v="247"/>
    </i>
    <i>
      <x v="371"/>
    </i>
    <i>
      <x v="287"/>
    </i>
    <i>
      <x v="382"/>
    </i>
    <i>
      <x v="262"/>
    </i>
    <i>
      <x v="214"/>
    </i>
    <i>
      <x v="261"/>
    </i>
    <i>
      <x v="292"/>
    </i>
    <i>
      <x v="391"/>
    </i>
    <i>
      <x v="363"/>
    </i>
    <i>
      <x v="289"/>
    </i>
    <i>
      <x v="357"/>
    </i>
    <i>
      <x v="246"/>
    </i>
    <i>
      <x v="199"/>
    </i>
    <i>
      <x v="369"/>
    </i>
    <i>
      <x v="244"/>
    </i>
    <i>
      <x v="225"/>
    </i>
    <i>
      <x v="336"/>
    </i>
    <i>
      <x v="359"/>
    </i>
    <i>
      <x v="290"/>
    </i>
    <i>
      <x v="242"/>
    </i>
    <i>
      <x v="379"/>
    </i>
    <i>
      <x v="256"/>
    </i>
    <i>
      <x v="354"/>
    </i>
    <i>
      <x v="273"/>
    </i>
    <i>
      <x v="248"/>
    </i>
    <i>
      <x v="258"/>
    </i>
    <i>
      <x v="271"/>
    </i>
    <i>
      <x v="259"/>
    </i>
    <i>
      <x v="385"/>
    </i>
    <i>
      <x v="345"/>
    </i>
    <i>
      <x v="265"/>
    </i>
    <i>
      <x v="353"/>
    </i>
    <i>
      <x v="284"/>
    </i>
    <i>
      <x v="219"/>
    </i>
    <i>
      <x v="389"/>
    </i>
    <i>
      <x v="254"/>
    </i>
    <i>
      <x v="272"/>
    </i>
    <i>
      <x v="241"/>
    </i>
    <i>
      <x v="288"/>
    </i>
    <i>
      <x v="346"/>
    </i>
    <i>
      <x v="253"/>
    </i>
    <i>
      <x v="323"/>
    </i>
    <i>
      <x v="269"/>
    </i>
    <i>
      <x v="327"/>
    </i>
    <i>
      <x v="296"/>
    </i>
    <i>
      <x v="334"/>
    </i>
    <i>
      <x v="355"/>
    </i>
    <i>
      <x v="274"/>
    </i>
    <i>
      <x v="341"/>
    </i>
    <i>
      <x v="268"/>
    </i>
    <i>
      <x v="360"/>
    </i>
    <i>
      <x v="238"/>
    </i>
    <i>
      <x v="285"/>
    </i>
    <i>
      <x v="318"/>
    </i>
    <i>
      <x v="329"/>
    </i>
    <i>
      <x v="319"/>
    </i>
    <i>
      <x v="367"/>
    </i>
    <i>
      <x v="358"/>
    </i>
    <i>
      <x v="257"/>
    </i>
    <i>
      <x v="312"/>
    </i>
    <i>
      <x v="372"/>
    </i>
    <i>
      <x v="365"/>
    </i>
    <i>
      <x v="316"/>
    </i>
    <i>
      <x v="251"/>
    </i>
    <i>
      <x v="370"/>
    </i>
    <i>
      <x v="328"/>
    </i>
    <i>
      <x v="231"/>
    </i>
    <i>
      <x v="201"/>
    </i>
    <i>
      <x v="364"/>
    </i>
    <i>
      <x v="237"/>
    </i>
    <i>
      <x v="309"/>
    </i>
    <i>
      <x v="293"/>
    </i>
    <i>
      <x v="310"/>
    </i>
    <i>
      <x v="348"/>
    </i>
    <i>
      <x v="375"/>
    </i>
    <i>
      <x v="352"/>
    </i>
    <i>
      <x v="384"/>
    </i>
    <i>
      <x v="298"/>
    </i>
    <i>
      <x v="302"/>
    </i>
    <i>
      <x v="362"/>
    </i>
    <i>
      <x v="376"/>
    </i>
    <i>
      <x v="322"/>
    </i>
    <i>
      <x v="260"/>
    </i>
    <i>
      <x v="276"/>
    </i>
    <i>
      <x v="374"/>
    </i>
    <i>
      <x v="394"/>
    </i>
    <i>
      <x v="249"/>
    </i>
    <i>
      <x v="278"/>
    </i>
    <i>
      <x v="388"/>
    </i>
    <i>
      <x v="263"/>
    </i>
    <i>
      <x v="303"/>
    </i>
    <i>
      <x v="233"/>
    </i>
    <i>
      <x v="317"/>
    </i>
    <i>
      <x v="366"/>
    </i>
    <i>
      <x v="377"/>
    </i>
    <i>
      <x v="307"/>
    </i>
    <i>
      <x v="383"/>
    </i>
    <i>
      <x v="308"/>
    </i>
    <i>
      <x v="386"/>
    </i>
    <i>
      <x v="243"/>
    </i>
    <i>
      <x v="390"/>
    </i>
    <i>
      <x v="286"/>
    </i>
    <i>
      <x v="393"/>
    </i>
    <i>
      <x v="239"/>
    </i>
    <i>
      <x v="236"/>
    </i>
    <i>
      <x v="299"/>
    </i>
    <i>
      <x v="332"/>
    </i>
    <i>
      <x v="387"/>
    </i>
    <i>
      <x v="280"/>
    </i>
    <i>
      <x v="255"/>
    </i>
    <i>
      <x v="267"/>
    </i>
    <i>
      <x v="326"/>
    </i>
    <i>
      <x v="381"/>
    </i>
    <i>
      <x v="320"/>
    </i>
    <i>
      <x v="314"/>
    </i>
    <i>
      <x v="321"/>
    </i>
    <i>
      <x v="315"/>
    </i>
    <i>
      <x v="283"/>
    </i>
    <i>
      <x v="250"/>
    </i>
    <i>
      <x v="347"/>
    </i>
    <i>
      <x v="380"/>
    </i>
    <i>
      <x v="330"/>
    </i>
    <i>
      <x v="313"/>
    </i>
    <i>
      <x v="349"/>
    </i>
    <i>
      <x v="252"/>
    </i>
    <i>
      <x v="373"/>
    </i>
    <i>
      <x v="335"/>
    </i>
    <i>
      <x v="350"/>
    </i>
    <i>
      <x v="281"/>
    </i>
    <i>
      <x v="351"/>
    </i>
    <i>
      <x v="266"/>
    </i>
    <i>
      <x v="331"/>
    </i>
    <i>
      <x v="392"/>
    </i>
    <i>
      <x v="297"/>
    </i>
    <i>
      <x v="324"/>
    </i>
    <i>
      <x v="325"/>
    </i>
    <i>
      <x v="311"/>
    </i>
    <i>
      <x v="197"/>
    </i>
    <i t="grand">
      <x/>
    </i>
  </rowItems>
  <colItems count="1">
    <i/>
  </colItems>
  <dataFields count="1">
    <dataField name="Suma de Goles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20:A26"/>
  <sheetViews>
    <sheetView workbookViewId="0">
      <selection activeCell="B21" sqref="B21"/>
    </sheetView>
  </sheetViews>
  <sheetFormatPr baseColWidth="10" defaultColWidth="10.7109375" defaultRowHeight="15" x14ac:dyDescent="0.25"/>
  <sheetData>
    <row r="20" spans="1:1" x14ac:dyDescent="0.25">
      <c r="A20" s="263">
        <v>44412</v>
      </c>
    </row>
    <row r="26" spans="1:1" x14ac:dyDescent="0.25">
      <c r="A26" s="277"/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D4" sqref="D4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369</v>
      </c>
      <c r="F1" s="79" t="s">
        <v>370</v>
      </c>
      <c r="G1" s="80"/>
      <c r="H1" s="80"/>
      <c r="I1" s="81" t="s">
        <v>369</v>
      </c>
      <c r="J1" s="82" t="s">
        <v>370</v>
      </c>
      <c r="P1" s="78" t="s">
        <v>369</v>
      </c>
      <c r="Q1" s="79" t="s">
        <v>370</v>
      </c>
      <c r="R1" s="78"/>
      <c r="S1" s="79"/>
    </row>
    <row r="2" spans="1:19" x14ac:dyDescent="0.25">
      <c r="A2" s="83" t="s">
        <v>176</v>
      </c>
      <c r="B2" s="83" t="s">
        <v>371</v>
      </c>
      <c r="C2" s="83" t="s">
        <v>372</v>
      </c>
      <c r="D2" s="83" t="s">
        <v>130</v>
      </c>
      <c r="E2" s="78" t="s">
        <v>112</v>
      </c>
      <c r="F2" s="79" t="s">
        <v>112</v>
      </c>
      <c r="G2" s="80" t="s">
        <v>111</v>
      </c>
      <c r="H2" s="80" t="s">
        <v>111</v>
      </c>
      <c r="I2" s="81" t="s">
        <v>373</v>
      </c>
      <c r="J2" s="82" t="s">
        <v>373</v>
      </c>
      <c r="P2" s="78" t="s">
        <v>112</v>
      </c>
      <c r="Q2" s="79" t="s">
        <v>112</v>
      </c>
      <c r="R2" s="78" t="s">
        <v>111</v>
      </c>
      <c r="S2" s="79" t="s">
        <v>111</v>
      </c>
    </row>
    <row r="3" spans="1:19" x14ac:dyDescent="0.25">
      <c r="A3" s="41" t="str">
        <f>PLANTILLA!D4</f>
        <v>Cosme Fonteboa</v>
      </c>
      <c r="B3">
        <f>PLANTILLA!E4</f>
        <v>32</v>
      </c>
      <c r="C3">
        <f>PLANTILLA!H4</f>
        <v>4</v>
      </c>
      <c r="D3" s="24">
        <f>PLANTILLA!I4</f>
        <v>14</v>
      </c>
      <c r="E3" s="84">
        <f t="shared" ref="E3" si="0">D3</f>
        <v>14</v>
      </c>
      <c r="F3" s="84">
        <f t="shared" ref="F3" si="1">E3+0.1</f>
        <v>14.1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224</v>
      </c>
      <c r="J3" s="85">
        <f t="shared" ref="J3" si="5">H3*H3*F3</f>
        <v>351.09141</v>
      </c>
      <c r="K3" s="86"/>
      <c r="N3" s="41" t="s">
        <v>373</v>
      </c>
      <c r="O3" s="25" t="str">
        <f>A12</f>
        <v>Enrique Cubas</v>
      </c>
      <c r="P3" s="87">
        <f>E12</f>
        <v>13</v>
      </c>
      <c r="Q3" s="87">
        <f t="shared" ref="Q3:S3" si="6">F12</f>
        <v>13.1</v>
      </c>
      <c r="R3" s="87">
        <f t="shared" si="6"/>
        <v>1</v>
      </c>
      <c r="S3" s="87">
        <f t="shared" si="6"/>
        <v>1.99</v>
      </c>
    </row>
    <row r="4" spans="1:19" x14ac:dyDescent="0.25">
      <c r="A4" s="41" t="str">
        <f>PLANTILLA!D5</f>
        <v>Nicolae Hornet</v>
      </c>
      <c r="B4">
        <f>PLANTILLA!E5</f>
        <v>32</v>
      </c>
      <c r="C4">
        <f>PLANTILLA!H5</f>
        <v>5</v>
      </c>
      <c r="D4" s="24">
        <f>PLANTILLA!I5</f>
        <v>2.2999999999999998</v>
      </c>
      <c r="E4" s="84">
        <f t="shared" ref="E4:E19" si="7">D4</f>
        <v>2.2999999999999998</v>
      </c>
      <c r="F4" s="84">
        <f t="shared" ref="F4:F19" si="8">E4+0.1</f>
        <v>2.4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57.499999999999993</v>
      </c>
      <c r="J4" s="85">
        <f t="shared" ref="J4:J19" si="12">H4*H4*F4</f>
        <v>86.112240000000014</v>
      </c>
      <c r="K4" s="86"/>
      <c r="O4" t="str">
        <f>A18</f>
        <v>Nicolás Galaz</v>
      </c>
      <c r="P4" s="87">
        <f>E18</f>
        <v>9</v>
      </c>
      <c r="Q4" s="87">
        <f t="shared" ref="Q4:S4" si="13">F18</f>
        <v>9.1</v>
      </c>
      <c r="R4" s="87">
        <f t="shared" si="13"/>
        <v>1</v>
      </c>
      <c r="S4" s="87">
        <f t="shared" si="13"/>
        <v>1.99</v>
      </c>
    </row>
    <row r="5" spans="1:19" x14ac:dyDescent="0.25">
      <c r="A5" s="41" t="str">
        <f>PLANTILLA!D6</f>
        <v>Iván Real Figueroa</v>
      </c>
      <c r="B5">
        <f>PLANTILLA!E6</f>
        <v>31</v>
      </c>
      <c r="C5">
        <f>PLANTILLA!H6</f>
        <v>4</v>
      </c>
      <c r="D5" s="24">
        <f>PLANTILLA!I6</f>
        <v>10</v>
      </c>
      <c r="E5" s="84">
        <f t="shared" si="7"/>
        <v>10</v>
      </c>
      <c r="F5" s="84">
        <f t="shared" si="8"/>
        <v>10.1</v>
      </c>
      <c r="G5" s="84">
        <f t="shared" si="9"/>
        <v>4</v>
      </c>
      <c r="H5" s="84">
        <f t="shared" si="10"/>
        <v>4.99</v>
      </c>
      <c r="I5" s="85">
        <f t="shared" si="11"/>
        <v>160</v>
      </c>
      <c r="J5" s="85">
        <f t="shared" si="12"/>
        <v>251.49101000000002</v>
      </c>
      <c r="K5" s="86"/>
      <c r="O5" t="str">
        <f>A3</f>
        <v>Cosme Fonteboa</v>
      </c>
      <c r="P5" s="87">
        <f>E3</f>
        <v>14</v>
      </c>
      <c r="Q5" s="87">
        <f t="shared" ref="Q5:S5" si="14">F3</f>
        <v>14.1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PLANTILLA!D7</f>
        <v>Berto Abandero</v>
      </c>
      <c r="B6">
        <f>PLANTILLA!E7</f>
        <v>32</v>
      </c>
      <c r="C6">
        <f>PLANTILLA!H7</f>
        <v>1</v>
      </c>
      <c r="D6" s="24">
        <f>PLANTILLA!I7</f>
        <v>10</v>
      </c>
      <c r="E6" s="84">
        <f t="shared" si="7"/>
        <v>10</v>
      </c>
      <c r="F6" s="84">
        <f t="shared" si="8"/>
        <v>10.1</v>
      </c>
      <c r="G6" s="84">
        <f t="shared" si="9"/>
        <v>1</v>
      </c>
      <c r="H6" s="84">
        <f t="shared" si="10"/>
        <v>1.99</v>
      </c>
      <c r="I6" s="85">
        <f t="shared" si="11"/>
        <v>10</v>
      </c>
      <c r="J6" s="85">
        <f t="shared" si="12"/>
        <v>39.997010000000003</v>
      </c>
      <c r="K6" s="86"/>
      <c r="O6" t="str">
        <f>A16</f>
        <v>Bogdan Pivovarov</v>
      </c>
      <c r="P6" s="87">
        <f>E16</f>
        <v>11</v>
      </c>
      <c r="Q6" s="87">
        <f t="shared" ref="Q6:S6" si="15">F16</f>
        <v>11.1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PLANTILLA!D8</f>
        <v>Guillermo Pedrajas</v>
      </c>
      <c r="B7">
        <f>PLANTILLA!E8</f>
        <v>32</v>
      </c>
      <c r="C7">
        <f>PLANTILLA!H8</f>
        <v>4</v>
      </c>
      <c r="D7" s="24">
        <f>PLANTILLA!I8</f>
        <v>10</v>
      </c>
      <c r="E7" s="84">
        <f t="shared" si="7"/>
        <v>10</v>
      </c>
      <c r="F7" s="84">
        <f t="shared" si="8"/>
        <v>10.1</v>
      </c>
      <c r="G7" s="84">
        <f t="shared" si="9"/>
        <v>4</v>
      </c>
      <c r="H7" s="84">
        <f t="shared" si="10"/>
        <v>4.99</v>
      </c>
      <c r="I7" s="85">
        <f t="shared" si="11"/>
        <v>160</v>
      </c>
      <c r="J7" s="85">
        <f t="shared" si="12"/>
        <v>251.49101000000002</v>
      </c>
      <c r="K7" s="86"/>
      <c r="O7" t="str">
        <f>A13</f>
        <v>J. G. Peñuela</v>
      </c>
      <c r="P7" s="87">
        <f>E13</f>
        <v>11</v>
      </c>
      <c r="Q7" s="87">
        <f t="shared" ref="Q7:S7" si="16">F13</f>
        <v>11.1</v>
      </c>
      <c r="R7" s="87">
        <f t="shared" si="16"/>
        <v>6</v>
      </c>
      <c r="S7" s="87">
        <f t="shared" si="16"/>
        <v>6.99</v>
      </c>
    </row>
    <row r="8" spans="1:19" x14ac:dyDescent="0.25">
      <c r="A8" s="41" t="str">
        <f>PLANTILLA!D9</f>
        <v>Venanci Oset</v>
      </c>
      <c r="B8">
        <f>PLANTILLA!E9</f>
        <v>32</v>
      </c>
      <c r="C8">
        <f>PLANTILLA!H9</f>
        <v>2</v>
      </c>
      <c r="D8" s="24">
        <f>PLANTILLA!I9</f>
        <v>10</v>
      </c>
      <c r="E8" s="84">
        <f t="shared" si="7"/>
        <v>10</v>
      </c>
      <c r="F8" s="84">
        <f t="shared" si="8"/>
        <v>10.1</v>
      </c>
      <c r="G8" s="84">
        <f t="shared" si="9"/>
        <v>2</v>
      </c>
      <c r="H8" s="84">
        <f t="shared" si="10"/>
        <v>2.99</v>
      </c>
      <c r="I8" s="85">
        <f t="shared" si="11"/>
        <v>40</v>
      </c>
      <c r="J8" s="85">
        <f t="shared" si="12"/>
        <v>90.295010000000005</v>
      </c>
      <c r="K8" s="86"/>
      <c r="O8" t="str">
        <f>A10</f>
        <v>Will Duffill</v>
      </c>
      <c r="P8" s="87">
        <f>E10</f>
        <v>12</v>
      </c>
      <c r="Q8" s="87">
        <f t="shared" ref="Q8:S8" si="17">F10</f>
        <v>12.1</v>
      </c>
      <c r="R8" s="87">
        <f t="shared" si="17"/>
        <v>3</v>
      </c>
      <c r="S8" s="87">
        <f t="shared" si="17"/>
        <v>3.99</v>
      </c>
    </row>
    <row r="9" spans="1:19" x14ac:dyDescent="0.25">
      <c r="A9" s="41" t="str">
        <f>PLANTILLA!D10</f>
        <v>Francesc Añigas</v>
      </c>
      <c r="B9">
        <f>PLANTILLA!E10</f>
        <v>31</v>
      </c>
      <c r="C9">
        <f>PLANTILLA!H10</f>
        <v>5</v>
      </c>
      <c r="D9" s="24">
        <f>PLANTILLA!I10</f>
        <v>12</v>
      </c>
      <c r="E9" s="84">
        <f t="shared" si="7"/>
        <v>12</v>
      </c>
      <c r="F9" s="84">
        <f t="shared" si="8"/>
        <v>12.1</v>
      </c>
      <c r="G9" s="84">
        <f t="shared" si="9"/>
        <v>5</v>
      </c>
      <c r="H9" s="84">
        <f t="shared" si="10"/>
        <v>5.99</v>
      </c>
      <c r="I9" s="85">
        <f t="shared" si="11"/>
        <v>300</v>
      </c>
      <c r="J9" s="85">
        <f t="shared" si="12"/>
        <v>434.14921000000004</v>
      </c>
      <c r="K9" s="86"/>
      <c r="O9" t="str">
        <f>A11</f>
        <v>Valeri Gomis</v>
      </c>
      <c r="P9" s="87">
        <f>E11</f>
        <v>11</v>
      </c>
      <c r="Q9" s="87">
        <f t="shared" ref="Q9:S9" si="18">F11</f>
        <v>11.1</v>
      </c>
      <c r="R9" s="87">
        <f t="shared" si="18"/>
        <v>6</v>
      </c>
      <c r="S9" s="87">
        <f t="shared" si="18"/>
        <v>6.99</v>
      </c>
    </row>
    <row r="10" spans="1:19" x14ac:dyDescent="0.25">
      <c r="A10" s="41" t="str">
        <f>PLANTILLA!D11</f>
        <v>Will Duffill</v>
      </c>
      <c r="B10">
        <f>PLANTILLA!E11</f>
        <v>31</v>
      </c>
      <c r="C10">
        <f>PLANTILLA!H11</f>
        <v>3</v>
      </c>
      <c r="D10" s="24">
        <f>PLANTILLA!I11</f>
        <v>12</v>
      </c>
      <c r="E10" s="84">
        <f t="shared" si="7"/>
        <v>12</v>
      </c>
      <c r="F10" s="84">
        <f t="shared" si="8"/>
        <v>12.1</v>
      </c>
      <c r="G10" s="84">
        <f t="shared" si="9"/>
        <v>3</v>
      </c>
      <c r="H10" s="84">
        <f t="shared" si="10"/>
        <v>3.99</v>
      </c>
      <c r="I10" s="85">
        <f t="shared" si="11"/>
        <v>108</v>
      </c>
      <c r="J10" s="85">
        <f t="shared" si="12"/>
        <v>192.63321000000002</v>
      </c>
      <c r="K10" s="86"/>
      <c r="O10" t="str">
        <f>A17</f>
        <v>Sabir Bekrija</v>
      </c>
      <c r="P10" s="87">
        <f>E17</f>
        <v>12</v>
      </c>
      <c r="Q10" s="87">
        <f t="shared" ref="Q10:S10" si="19">F17</f>
        <v>12.1</v>
      </c>
      <c r="R10" s="87">
        <f t="shared" si="19"/>
        <v>4</v>
      </c>
      <c r="S10" s="87">
        <f t="shared" si="19"/>
        <v>4.99</v>
      </c>
    </row>
    <row r="11" spans="1:19" x14ac:dyDescent="0.25">
      <c r="A11" s="41" t="str">
        <f>PLANTILLA!D12</f>
        <v>Valeri Gomis</v>
      </c>
      <c r="B11">
        <f>PLANTILLA!E12</f>
        <v>31</v>
      </c>
      <c r="C11">
        <f>PLANTILLA!H12</f>
        <v>6</v>
      </c>
      <c r="D11" s="24">
        <f>PLANTILLA!I12</f>
        <v>11</v>
      </c>
      <c r="E11" s="84">
        <f t="shared" si="7"/>
        <v>11</v>
      </c>
      <c r="F11" s="84">
        <f t="shared" si="8"/>
        <v>11.1</v>
      </c>
      <c r="G11" s="84">
        <f t="shared" si="9"/>
        <v>6</v>
      </c>
      <c r="H11" s="84">
        <f t="shared" si="10"/>
        <v>6.99</v>
      </c>
      <c r="I11" s="85">
        <f t="shared" si="11"/>
        <v>396</v>
      </c>
      <c r="J11" s="85">
        <f t="shared" si="12"/>
        <v>542.34711000000004</v>
      </c>
      <c r="K11" s="86"/>
      <c r="O11" t="str">
        <f>A8</f>
        <v>Venanci Oset</v>
      </c>
      <c r="P11" s="87">
        <f>E8</f>
        <v>10</v>
      </c>
      <c r="Q11" s="87">
        <f t="shared" ref="Q11:S11" si="20">F8</f>
        <v>10.1</v>
      </c>
      <c r="R11" s="87">
        <f t="shared" si="20"/>
        <v>2</v>
      </c>
      <c r="S11" s="87">
        <f t="shared" si="20"/>
        <v>2.99</v>
      </c>
    </row>
    <row r="12" spans="1:19" x14ac:dyDescent="0.25">
      <c r="A12" s="41" t="str">
        <f>PLANTILLA!D13</f>
        <v>Enrique Cubas</v>
      </c>
      <c r="B12">
        <f>PLANTILLA!E13</f>
        <v>31</v>
      </c>
      <c r="C12">
        <f>PLANTILLA!H13</f>
        <v>1</v>
      </c>
      <c r="D12" s="24">
        <f>PLANTILLA!I13</f>
        <v>13</v>
      </c>
      <c r="E12" s="84">
        <f t="shared" si="7"/>
        <v>13</v>
      </c>
      <c r="F12" s="84">
        <f t="shared" si="8"/>
        <v>13.1</v>
      </c>
      <c r="G12" s="84">
        <f t="shared" si="9"/>
        <v>1</v>
      </c>
      <c r="H12" s="84">
        <f t="shared" si="10"/>
        <v>1.99</v>
      </c>
      <c r="I12" s="85">
        <f t="shared" si="11"/>
        <v>13</v>
      </c>
      <c r="J12" s="85">
        <f t="shared" si="12"/>
        <v>51.877310000000001</v>
      </c>
      <c r="K12" s="86"/>
      <c r="O12" t="str">
        <f>A7</f>
        <v>Guillermo Pedrajas</v>
      </c>
      <c r="P12" s="87">
        <f>E7</f>
        <v>10</v>
      </c>
      <c r="Q12" s="87">
        <f t="shared" ref="Q12:S12" si="21">F7</f>
        <v>10.1</v>
      </c>
      <c r="R12" s="87">
        <f t="shared" si="21"/>
        <v>4</v>
      </c>
      <c r="S12" s="87">
        <f t="shared" si="21"/>
        <v>4.99</v>
      </c>
    </row>
    <row r="13" spans="1:19" x14ac:dyDescent="0.25">
      <c r="A13" s="41" t="str">
        <f>PLANTILLA!D14</f>
        <v>J. G. Peñuela</v>
      </c>
      <c r="B13">
        <f>PLANTILLA!E14</f>
        <v>31</v>
      </c>
      <c r="C13">
        <f>PLANTILLA!H14</f>
        <v>6</v>
      </c>
      <c r="D13" s="24">
        <f>PLANTILLA!I14</f>
        <v>11</v>
      </c>
      <c r="E13" s="84">
        <f t="shared" si="7"/>
        <v>11</v>
      </c>
      <c r="F13" s="84">
        <f t="shared" si="8"/>
        <v>11.1</v>
      </c>
      <c r="G13" s="84">
        <f t="shared" si="9"/>
        <v>6</v>
      </c>
      <c r="H13" s="84">
        <f t="shared" si="10"/>
        <v>6.99</v>
      </c>
      <c r="I13" s="85">
        <f t="shared" si="11"/>
        <v>396</v>
      </c>
      <c r="J13" s="85">
        <f t="shared" si="12"/>
        <v>542.34711000000004</v>
      </c>
      <c r="K13" s="86"/>
      <c r="O13" t="str">
        <f>A9</f>
        <v>Francesc Añigas</v>
      </c>
      <c r="P13" s="87">
        <f>E9</f>
        <v>12</v>
      </c>
      <c r="Q13" s="87">
        <f t="shared" ref="Q13:S13" si="22">F9</f>
        <v>12.1</v>
      </c>
      <c r="R13" s="87">
        <f t="shared" si="22"/>
        <v>5</v>
      </c>
      <c r="S13" s="87">
        <f t="shared" si="22"/>
        <v>5.99</v>
      </c>
    </row>
    <row r="14" spans="1:19" x14ac:dyDescent="0.25">
      <c r="A14" s="41" t="str">
        <f>PLANTILLA!D15</f>
        <v>Fulvio Kämmeter</v>
      </c>
      <c r="B14">
        <f>PLANTILLA!E15</f>
        <v>32</v>
      </c>
      <c r="C14">
        <f>PLANTILLA!H15</f>
        <v>5</v>
      </c>
      <c r="D14" s="24">
        <f>PLANTILLA!I15</f>
        <v>8</v>
      </c>
      <c r="E14" s="84">
        <f t="shared" si="7"/>
        <v>8</v>
      </c>
      <c r="F14" s="84">
        <f t="shared" si="8"/>
        <v>8.1</v>
      </c>
      <c r="G14" s="84">
        <f t="shared" si="9"/>
        <v>5</v>
      </c>
      <c r="H14" s="84">
        <f t="shared" si="10"/>
        <v>5.99</v>
      </c>
      <c r="I14" s="85">
        <f t="shared" si="11"/>
        <v>200</v>
      </c>
      <c r="J14" s="85">
        <f t="shared" si="12"/>
        <v>290.62881000000004</v>
      </c>
      <c r="K14" s="86"/>
      <c r="P14" s="27">
        <f>SUM(P4:P13)/10</f>
        <v>11.2</v>
      </c>
      <c r="Q14" s="27">
        <f>SUM(Q4:Q13)/10</f>
        <v>11.299999999999997</v>
      </c>
      <c r="R14" s="27"/>
      <c r="S14" s="27"/>
    </row>
    <row r="15" spans="1:19" x14ac:dyDescent="0.25">
      <c r="A15" s="41" t="str">
        <f>PLANTILLA!D16</f>
        <v>Christian Touré</v>
      </c>
      <c r="B15">
        <f>PLANTILLA!E16</f>
        <v>32</v>
      </c>
      <c r="C15">
        <f>PLANTILLA!H16</f>
        <v>1</v>
      </c>
      <c r="D15" s="24">
        <f>PLANTILLA!I16</f>
        <v>7</v>
      </c>
      <c r="E15" s="84">
        <f t="shared" si="7"/>
        <v>7</v>
      </c>
      <c r="F15" s="84">
        <f t="shared" si="8"/>
        <v>7.1</v>
      </c>
      <c r="G15" s="84">
        <f t="shared" si="9"/>
        <v>1</v>
      </c>
      <c r="H15" s="84">
        <f t="shared" si="10"/>
        <v>1.99</v>
      </c>
      <c r="I15" s="85">
        <f t="shared" si="11"/>
        <v>7</v>
      </c>
      <c r="J15" s="85">
        <f t="shared" si="12"/>
        <v>28.116710000000001</v>
      </c>
      <c r="K15" s="86"/>
    </row>
    <row r="16" spans="1:19" x14ac:dyDescent="0.25">
      <c r="A16" s="41" t="str">
        <f>PLANTILLA!D17</f>
        <v>Bogdan Pivovarov</v>
      </c>
      <c r="B16">
        <f>PLANTILLA!E17</f>
        <v>32</v>
      </c>
      <c r="C16">
        <f>PLANTILLA!H17</f>
        <v>1</v>
      </c>
      <c r="D16" s="24">
        <f>PLANTILLA!I17</f>
        <v>11</v>
      </c>
      <c r="E16" s="84">
        <f t="shared" si="7"/>
        <v>11</v>
      </c>
      <c r="F16" s="84">
        <f t="shared" si="8"/>
        <v>11.1</v>
      </c>
      <c r="G16" s="84">
        <f t="shared" si="9"/>
        <v>1</v>
      </c>
      <c r="H16" s="84">
        <f t="shared" si="10"/>
        <v>1.99</v>
      </c>
      <c r="I16" s="85">
        <f t="shared" si="11"/>
        <v>11</v>
      </c>
      <c r="J16" s="85">
        <f t="shared" si="12"/>
        <v>43.95711</v>
      </c>
      <c r="K16" s="86"/>
      <c r="L16" s="46" t="s">
        <v>374</v>
      </c>
      <c r="O16" t="s">
        <v>375</v>
      </c>
      <c r="P16" s="24">
        <f>SUM(P3:P13)</f>
        <v>125</v>
      </c>
      <c r="Q16" s="24">
        <f>SUM(Q3:Q13)</f>
        <v>126.09999999999997</v>
      </c>
      <c r="R16" s="24"/>
    </row>
    <row r="17" spans="1:18" x14ac:dyDescent="0.25">
      <c r="A17" s="41" t="str">
        <f>PLANTILLA!D18</f>
        <v>Sabir Bekrija</v>
      </c>
      <c r="B17">
        <f>PLANTILLA!E18</f>
        <v>32</v>
      </c>
      <c r="C17">
        <f>PLANTILLA!H18</f>
        <v>4</v>
      </c>
      <c r="D17" s="24">
        <f>PLANTILLA!I18</f>
        <v>12</v>
      </c>
      <c r="E17" s="84">
        <f t="shared" si="7"/>
        <v>12</v>
      </c>
      <c r="F17" s="84">
        <f t="shared" si="8"/>
        <v>12.1</v>
      </c>
      <c r="G17" s="84">
        <f t="shared" si="9"/>
        <v>4</v>
      </c>
      <c r="H17" s="84">
        <f t="shared" si="10"/>
        <v>4.99</v>
      </c>
      <c r="I17" s="85">
        <f t="shared" si="11"/>
        <v>192</v>
      </c>
      <c r="J17" s="85">
        <f t="shared" si="12"/>
        <v>301.29121000000004</v>
      </c>
      <c r="K17" s="86"/>
      <c r="O17" t="s">
        <v>376</v>
      </c>
      <c r="P17" s="27">
        <f>P16/17</f>
        <v>7.3529411764705879</v>
      </c>
      <c r="Q17" s="27">
        <f>Q16/17</f>
        <v>7.417647058823527</v>
      </c>
      <c r="R17" s="27"/>
    </row>
    <row r="18" spans="1:18" x14ac:dyDescent="0.25">
      <c r="A18" s="41" t="str">
        <f>PLANTILLA!D19</f>
        <v>Nicolás Galaz</v>
      </c>
      <c r="B18">
        <f>PLANTILLA!E19</f>
        <v>32</v>
      </c>
      <c r="C18">
        <f>PLANTILLA!H19</f>
        <v>1</v>
      </c>
      <c r="D18" s="24">
        <f>PLANTILLA!I19</f>
        <v>9</v>
      </c>
      <c r="E18" s="84">
        <f t="shared" si="7"/>
        <v>9</v>
      </c>
      <c r="F18" s="84">
        <f t="shared" si="8"/>
        <v>9.1</v>
      </c>
      <c r="G18" s="84">
        <f t="shared" si="9"/>
        <v>1</v>
      </c>
      <c r="H18" s="84">
        <f t="shared" si="10"/>
        <v>1.99</v>
      </c>
      <c r="I18" s="85">
        <f t="shared" si="11"/>
        <v>9</v>
      </c>
      <c r="J18" s="85">
        <f t="shared" si="12"/>
        <v>36.036909999999999</v>
      </c>
      <c r="K18" s="86"/>
      <c r="L18" s="46" t="s">
        <v>377</v>
      </c>
      <c r="O18" t="s">
        <v>378</v>
      </c>
      <c r="P18" s="24">
        <f>R3^2</f>
        <v>1</v>
      </c>
      <c r="Q18" s="24">
        <f>S3^2</f>
        <v>3.9601000000000002</v>
      </c>
      <c r="R18" s="24"/>
    </row>
    <row r="19" spans="1:18" x14ac:dyDescent="0.25">
      <c r="A19" s="41" t="str">
        <f>PLANTILLA!D20</f>
        <v>Rodolfo Rinaldo Paso</v>
      </c>
      <c r="B19">
        <f>PLANTILLA!E20</f>
        <v>32</v>
      </c>
      <c r="C19">
        <f>PLANTILLA!H20</f>
        <v>1</v>
      </c>
      <c r="D19" s="24">
        <f>PLANTILLA!I20</f>
        <v>10</v>
      </c>
      <c r="E19" s="84">
        <f t="shared" si="7"/>
        <v>10</v>
      </c>
      <c r="F19" s="84">
        <f t="shared" si="8"/>
        <v>10.1</v>
      </c>
      <c r="G19" s="84">
        <f t="shared" si="9"/>
        <v>1</v>
      </c>
      <c r="H19" s="84">
        <f t="shared" si="10"/>
        <v>1.99</v>
      </c>
      <c r="I19" s="85">
        <f t="shared" si="11"/>
        <v>10</v>
      </c>
      <c r="J19" s="85">
        <f t="shared" si="12"/>
        <v>39.997010000000003</v>
      </c>
      <c r="K19" s="86"/>
      <c r="L19" s="46" t="s">
        <v>379</v>
      </c>
      <c r="O19" t="s">
        <v>380</v>
      </c>
      <c r="P19" s="24">
        <f>P18*P3</f>
        <v>13</v>
      </c>
      <c r="Q19" s="24">
        <f>Q18*Q3</f>
        <v>51.877310000000001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381</v>
      </c>
      <c r="O20" t="s">
        <v>382</v>
      </c>
      <c r="P20" s="27">
        <f>(P19^(2/3))/30</f>
        <v>0.18429249378929571</v>
      </c>
      <c r="Q20" s="27">
        <f>(Q19^(2/3))/30</f>
        <v>0.46365723849555512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383</v>
      </c>
      <c r="O21" s="54" t="s">
        <v>384</v>
      </c>
      <c r="P21" s="71">
        <f>P17+P20</f>
        <v>7.5372336702598837</v>
      </c>
      <c r="Q21" s="71">
        <f>Q17+Q20</f>
        <v>7.8813042973190823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385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21" priority="2" operator="between">
      <formula>70</formula>
      <formula>100</formula>
    </cfRule>
  </conditionalFormatting>
  <conditionalFormatting sqref="I3:J31">
    <cfRule type="cellIs" dxfId="20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H9" sqref="H9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176</v>
      </c>
      <c r="B1" s="99" t="s">
        <v>182</v>
      </c>
      <c r="C1" s="99" t="s">
        <v>185</v>
      </c>
      <c r="D1" s="100" t="s">
        <v>386</v>
      </c>
      <c r="E1" s="100" t="s">
        <v>369</v>
      </c>
      <c r="F1" s="100" t="s">
        <v>370</v>
      </c>
      <c r="H1" s="99" t="s">
        <v>387</v>
      </c>
      <c r="I1" s="99" t="s">
        <v>182</v>
      </c>
      <c r="J1" s="99" t="s">
        <v>185</v>
      </c>
      <c r="K1" s="99" t="str">
        <f>D1</f>
        <v>N_CA</v>
      </c>
      <c r="L1" s="100" t="s">
        <v>369</v>
      </c>
      <c r="M1" s="100" t="s">
        <v>370</v>
      </c>
      <c r="O1" s="99" t="s">
        <v>387</v>
      </c>
      <c r="P1" s="99" t="s">
        <v>182</v>
      </c>
      <c r="Q1" s="99" t="s">
        <v>185</v>
      </c>
      <c r="R1" s="99" t="str">
        <f>K1</f>
        <v>N_CA</v>
      </c>
      <c r="S1" s="100" t="s">
        <v>369</v>
      </c>
      <c r="T1" s="100" t="s">
        <v>370</v>
      </c>
    </row>
    <row r="2" spans="1:20" x14ac:dyDescent="0.25">
      <c r="A2" t="str">
        <f>PLANTILLA!D4</f>
        <v>Cosme Fonteboa</v>
      </c>
      <c r="B2" s="24">
        <f ca="1">PLANTILLA!Y4+PLANTILLA!N4+PLANTILLA!J4</f>
        <v>15.742456428523365</v>
      </c>
      <c r="C2" s="24">
        <f ca="1">PLANTILLA!AB4+PLANTILLA!N4+PLANTILLA!J4</f>
        <v>3.5281707142376506</v>
      </c>
      <c r="D2" s="71">
        <f t="shared" ref="D2" ca="1" si="0">(C2*2+B2)/8</f>
        <v>2.8498497321248335</v>
      </c>
      <c r="E2" s="24">
        <f ca="1">D2*PLANTILLA!R4</f>
        <v>2.6384481633325922</v>
      </c>
      <c r="F2" s="24">
        <f ca="1">D2*PLANTILLA!S4</f>
        <v>2.8478133976510813</v>
      </c>
      <c r="H2" s="27" t="str">
        <f t="shared" ref="H2:J3" si="1">A6</f>
        <v>Guillermo Pedrajas</v>
      </c>
      <c r="I2" s="24">
        <f t="shared" ca="1" si="1"/>
        <v>15.520833333333334</v>
      </c>
      <c r="J2" s="24">
        <f t="shared" ca="1" si="1"/>
        <v>13.476190476190476</v>
      </c>
      <c r="K2" s="71">
        <f ca="1">(J2*2+I2)/8</f>
        <v>5.3091517857142856</v>
      </c>
      <c r="L2" s="27">
        <f ca="1">E6</f>
        <v>4.9153194359576196</v>
      </c>
      <c r="M2" s="27">
        <f ca="1">F6</f>
        <v>5.3053581790950437</v>
      </c>
      <c r="O2" t="str">
        <f>A2</f>
        <v>Cosme Fonteboa</v>
      </c>
      <c r="P2" s="24">
        <f t="shared" ref="P2:Q5" ca="1" si="2">I2</f>
        <v>15.520833333333334</v>
      </c>
      <c r="Q2" s="24">
        <f t="shared" ca="1" si="2"/>
        <v>13.476190476190476</v>
      </c>
      <c r="R2" s="71">
        <f ca="1">(Q2*2+P2)/8</f>
        <v>5.3091517857142856</v>
      </c>
      <c r="S2" s="27">
        <f ca="1">E2</f>
        <v>2.6384481633325922</v>
      </c>
      <c r="T2" s="27">
        <f ca="1">F2</f>
        <v>2.8478133976510813</v>
      </c>
    </row>
    <row r="3" spans="1:20" x14ac:dyDescent="0.25">
      <c r="A3" t="str">
        <f>PLANTILLA!D5</f>
        <v>Nicolae Hornet</v>
      </c>
      <c r="B3" s="24">
        <f ca="1">PLANTILLA!Y5+PLANTILLA!N5+PLANTILLA!J5</f>
        <v>7.4823037813567908</v>
      </c>
      <c r="C3" s="24">
        <f ca="1">PLANTILLA!AB5+PLANTILLA!N5+PLANTILLA!J5</f>
        <v>2.4823037813567903</v>
      </c>
      <c r="D3" s="71">
        <f t="shared" ref="D3:D4" ca="1" si="3">(C3*2+B3)/8</f>
        <v>1.5558639180087965</v>
      </c>
      <c r="E3" s="24">
        <f ca="1">D3*PLANTILLA!R5</f>
        <v>0.83164424594752284</v>
      </c>
      <c r="F3" s="24">
        <f ca="1">D3*PLANTILLA!S5</f>
        <v>1.0168530213198699</v>
      </c>
      <c r="H3" s="27" t="str">
        <f t="shared" si="1"/>
        <v>Venanci Oset</v>
      </c>
      <c r="I3" s="24">
        <f t="shared" ca="1" si="1"/>
        <v>17.333333333333332</v>
      </c>
      <c r="J3" s="24">
        <f t="shared" ca="1" si="1"/>
        <v>14.555555555555555</v>
      </c>
      <c r="K3" s="71">
        <f ca="1">(J3*2+I3)/8</f>
        <v>5.8055555555555554</v>
      </c>
      <c r="L3" s="27">
        <f ca="1">E7</f>
        <v>5.3749000236795341</v>
      </c>
      <c r="M3" s="27">
        <f ca="1">F7</f>
        <v>5.8014072480908503</v>
      </c>
      <c r="O3" t="str">
        <f>A7</f>
        <v>Venanci Oset</v>
      </c>
      <c r="P3" s="24">
        <f t="shared" ca="1" si="2"/>
        <v>17.333333333333332</v>
      </c>
      <c r="Q3" s="24">
        <f t="shared" ca="1" si="2"/>
        <v>14.555555555555555</v>
      </c>
      <c r="R3" s="71">
        <f ca="1">(Q3*2+P3)/8</f>
        <v>5.8055555555555554</v>
      </c>
      <c r="S3" s="27">
        <f ca="1">E7</f>
        <v>5.3749000236795341</v>
      </c>
      <c r="T3" s="27">
        <f ca="1">F7</f>
        <v>5.8014072480908503</v>
      </c>
    </row>
    <row r="4" spans="1:20" x14ac:dyDescent="0.25">
      <c r="A4" t="str">
        <f>PLANTILLA!D6</f>
        <v>Iván Real Figueroa</v>
      </c>
      <c r="B4" s="24">
        <f ca="1">PLANTILLA!Y6+PLANTILLA!N6+PLANTILLA!J6</f>
        <v>18.376811594202898</v>
      </c>
      <c r="C4" s="24">
        <f ca="1">PLANTILLA!AB6+PLANTILLA!N6+PLANTILLA!J6</f>
        <v>11.333333333333334</v>
      </c>
      <c r="D4" s="71">
        <f t="shared" ca="1" si="3"/>
        <v>5.1304347826086953</v>
      </c>
      <c r="E4" s="24">
        <f ca="1">D4*PLANTILLA!R6</f>
        <v>4.3360087851289109</v>
      </c>
      <c r="F4" s="24">
        <f ca="1">D4*PLANTILLA!S6</f>
        <v>4.7458997753101233</v>
      </c>
      <c r="H4" t="str">
        <f>A10</f>
        <v>Valeri Gomis</v>
      </c>
      <c r="I4" s="24">
        <f ca="1">B10</f>
        <v>15.7218569135443</v>
      </c>
      <c r="J4" s="24">
        <f ca="1">C10</f>
        <v>12.388523580210967</v>
      </c>
      <c r="K4" s="71">
        <f ca="1">(J4*2+I4)/8</f>
        <v>5.0623630092457788</v>
      </c>
      <c r="L4" s="27">
        <f ca="1">E10</f>
        <v>3.8267867339419728</v>
      </c>
      <c r="M4" s="27">
        <f ca="1">F10</f>
        <v>4.2741970172273476</v>
      </c>
      <c r="O4" t="str">
        <f>A4</f>
        <v>Iván Real Figueroa</v>
      </c>
      <c r="P4" s="24">
        <f t="shared" ca="1" si="2"/>
        <v>15.7218569135443</v>
      </c>
      <c r="Q4" s="24">
        <f t="shared" ca="1" si="2"/>
        <v>12.388523580210967</v>
      </c>
      <c r="R4" s="71">
        <f ca="1">(Q4*2+P4)/8</f>
        <v>5.0623630092457788</v>
      </c>
      <c r="S4" s="27">
        <f ca="1">E4</f>
        <v>4.3360087851289109</v>
      </c>
      <c r="T4" s="27">
        <f ca="1">F4</f>
        <v>4.7458997753101233</v>
      </c>
    </row>
    <row r="5" spans="1:20" x14ac:dyDescent="0.25">
      <c r="A5" t="str">
        <f>PLANTILLA!D7</f>
        <v>Berto Abandero</v>
      </c>
      <c r="B5" s="24">
        <f ca="1">PLANTILLA!Y7+PLANTILLA!N7+PLANTILLA!J7</f>
        <v>17.333333333333332</v>
      </c>
      <c r="C5" s="24">
        <f ca="1">PLANTILLA!AB7+PLANTILLA!N7+PLANTILLA!J7</f>
        <v>14.333333333333334</v>
      </c>
      <c r="D5" s="71">
        <f t="shared" ref="D5:D19" ca="1" si="4">(C5*2+B5)/8</f>
        <v>5.75</v>
      </c>
      <c r="E5" s="24">
        <f ca="1">D5*PLANTILLA!R7</f>
        <v>5.3234655736921708</v>
      </c>
      <c r="F5" s="24">
        <f ca="1">D5*PLANTILLA!S7</f>
        <v>5.7458913892574452</v>
      </c>
      <c r="H5" s="27" t="str">
        <f>A8</f>
        <v>Francesc Añigas</v>
      </c>
      <c r="I5" s="24">
        <f ca="1">B8</f>
        <v>16.813908328063501</v>
      </c>
      <c r="J5" s="24">
        <f ca="1">C8</f>
        <v>11.4389083280635</v>
      </c>
      <c r="K5" s="71">
        <f ca="1">(J5*2+I5)/8</f>
        <v>4.9614656230238126</v>
      </c>
      <c r="L5" s="27">
        <f ca="1">E8</f>
        <v>4.1932037809878455</v>
      </c>
      <c r="M5" s="27">
        <f ca="1">F8</f>
        <v>4.5895951480246202</v>
      </c>
      <c r="O5" s="27" t="str">
        <f>H5</f>
        <v>Francesc Añigas</v>
      </c>
      <c r="P5" s="24">
        <f t="shared" ca="1" si="2"/>
        <v>16.813908328063501</v>
      </c>
      <c r="Q5" s="24">
        <f t="shared" ca="1" si="2"/>
        <v>11.4389083280635</v>
      </c>
      <c r="R5" s="71">
        <f ca="1">(Q5*2+P5)/8</f>
        <v>4.9614656230238126</v>
      </c>
      <c r="S5" s="27">
        <f ca="1">L5</f>
        <v>4.1932037809878455</v>
      </c>
      <c r="T5" s="27">
        <f ca="1">M5</f>
        <v>4.5895951480246202</v>
      </c>
    </row>
    <row r="6" spans="1:20" x14ac:dyDescent="0.25">
      <c r="A6" t="str">
        <f>PLANTILLA!D8</f>
        <v>Guillermo Pedrajas</v>
      </c>
      <c r="B6" s="24">
        <f ca="1">PLANTILLA!Y8+PLANTILLA!N8+PLANTILLA!J8</f>
        <v>15.520833333333334</v>
      </c>
      <c r="C6" s="24">
        <f ca="1">PLANTILLA!AB8+PLANTILLA!N8+PLANTILLA!J8</f>
        <v>13.476190476190476</v>
      </c>
      <c r="D6" s="71">
        <f t="shared" ca="1" si="4"/>
        <v>5.3091517857142856</v>
      </c>
      <c r="E6" s="24">
        <f ca="1">D6*PLANTILLA!R8</f>
        <v>4.9153194359576196</v>
      </c>
      <c r="F6" s="24">
        <f ca="1">D6*PLANTILLA!S8</f>
        <v>5.3053581790950437</v>
      </c>
      <c r="H6" t="str">
        <f>A4</f>
        <v>Iván Real Figueroa</v>
      </c>
      <c r="I6" s="24">
        <f ca="1">B4</f>
        <v>18.376811594202898</v>
      </c>
      <c r="J6" s="24">
        <f ca="1">C4</f>
        <v>11.333333333333334</v>
      </c>
      <c r="K6" s="71">
        <f ca="1">(J6*2+I6)/8</f>
        <v>5.1304347826086953</v>
      </c>
      <c r="L6" s="27">
        <f ca="1">E4</f>
        <v>4.3360087851289109</v>
      </c>
      <c r="M6" s="27">
        <f ca="1">F4</f>
        <v>4.7458997753101233</v>
      </c>
      <c r="R6" s="27"/>
      <c r="S6" s="24"/>
      <c r="T6" s="24"/>
    </row>
    <row r="7" spans="1:20" ht="18.75" x14ac:dyDescent="0.3">
      <c r="A7" t="str">
        <f>PLANTILLA!D9</f>
        <v>Venanci Oset</v>
      </c>
      <c r="B7" s="24">
        <f ca="1">PLANTILLA!Y9+PLANTILLA!N9+PLANTILLA!J9</f>
        <v>17.333333333333332</v>
      </c>
      <c r="C7" s="24">
        <f ca="1">PLANTILLA!AB9+PLANTILLA!N9+PLANTILLA!J9</f>
        <v>14.555555555555555</v>
      </c>
      <c r="D7" s="71">
        <f t="shared" ca="1" si="4"/>
        <v>5.8055555555555554</v>
      </c>
      <c r="E7" s="24">
        <f ca="1">D7*PLANTILLA!R9</f>
        <v>5.3749000236795341</v>
      </c>
      <c r="F7" s="24">
        <f ca="1">D7*PLANTILLA!S9</f>
        <v>5.8014072480908503</v>
      </c>
      <c r="K7" s="101">
        <f ca="1">SUM(K2:K6)</f>
        <v>26.268970756148128</v>
      </c>
      <c r="L7" s="101">
        <f ca="1">SUM(L2:L6)</f>
        <v>22.646218759695884</v>
      </c>
      <c r="M7" s="101">
        <f ca="1">SUM(M2:M6)</f>
        <v>24.716457367747985</v>
      </c>
      <c r="N7" s="101"/>
      <c r="O7" s="101"/>
      <c r="P7" s="101"/>
      <c r="Q7" s="101"/>
      <c r="R7" s="101">
        <f ca="1">SUM(R2:R6)</f>
        <v>21.138535973539433</v>
      </c>
      <c r="S7" s="101">
        <f ca="1">SUM(S2:S6)</f>
        <v>16.542560753128882</v>
      </c>
      <c r="T7" s="101">
        <f ca="1">SUM(T2:T6)</f>
        <v>17.984715569076673</v>
      </c>
    </row>
    <row r="8" spans="1:20" x14ac:dyDescent="0.25">
      <c r="A8" t="str">
        <f>PLANTILLA!D10</f>
        <v>Francesc Añigas</v>
      </c>
      <c r="B8" s="24">
        <f ca="1">PLANTILLA!Y10+PLANTILLA!N10+PLANTILLA!J10</f>
        <v>16.813908328063501</v>
      </c>
      <c r="C8" s="24">
        <f ca="1">PLANTILLA!AB10+PLANTILLA!N10+PLANTILLA!J10</f>
        <v>11.4389083280635</v>
      </c>
      <c r="D8" s="71">
        <f t="shared" ca="1" si="4"/>
        <v>4.9614656230238126</v>
      </c>
      <c r="E8" s="24">
        <f ca="1">D8*PLANTILLA!R10</f>
        <v>4.1932037809878455</v>
      </c>
      <c r="F8" s="24">
        <f ca="1">D8*PLANTILLA!S10</f>
        <v>4.5895951480246202</v>
      </c>
      <c r="L8" s="2">
        <f ca="1">(K7-L7)/K7</f>
        <v>0.13790993298069573</v>
      </c>
      <c r="M8" s="2">
        <f ca="1">(K7-M7)/K7</f>
        <v>5.9100655401079429E-2</v>
      </c>
      <c r="R8" s="27"/>
    </row>
    <row r="9" spans="1:20" x14ac:dyDescent="0.25">
      <c r="A9" t="str">
        <f>PLANTILLA!D11</f>
        <v>Will Duffill</v>
      </c>
      <c r="B9" s="24">
        <f ca="1">PLANTILLA!Y11+PLANTILLA!N11+PLANTILLA!J11</f>
        <v>16.438908328063501</v>
      </c>
      <c r="C9" s="24">
        <f ca="1">PLANTILLA!AB11+PLANTILLA!N11+PLANTILLA!J11</f>
        <v>12.4389083280635</v>
      </c>
      <c r="D9" s="71">
        <f t="shared" ca="1" si="4"/>
        <v>5.1645906230238126</v>
      </c>
      <c r="E9" s="24">
        <f ca="1">D9*PLANTILLA!R11</f>
        <v>3.9040635462791835</v>
      </c>
      <c r="F9" s="24">
        <f ca="1">D9*PLANTILLA!S11</f>
        <v>4.3605086786175571</v>
      </c>
    </row>
    <row r="10" spans="1:20" x14ac:dyDescent="0.25">
      <c r="A10" t="str">
        <f>PLANTILLA!D12</f>
        <v>Valeri Gomis</v>
      </c>
      <c r="B10" s="24">
        <f ca="1">PLANTILLA!Y12+PLANTILLA!N12+PLANTILLA!J12</f>
        <v>15.7218569135443</v>
      </c>
      <c r="C10" s="24">
        <f ca="1">PLANTILLA!AB12+PLANTILLA!N12+PLANTILLA!J12</f>
        <v>12.388523580210967</v>
      </c>
      <c r="D10" s="71">
        <f t="shared" ca="1" si="4"/>
        <v>5.0623630092457788</v>
      </c>
      <c r="E10" s="24">
        <f ca="1">D10*PLANTILLA!R12</f>
        <v>3.8267867339419728</v>
      </c>
      <c r="F10" s="24">
        <f ca="1">D10*PLANTILLA!S12</f>
        <v>4.2741970172273476</v>
      </c>
      <c r="H10" s="27"/>
      <c r="I10" s="27"/>
      <c r="J10" s="27"/>
    </row>
    <row r="11" spans="1:20" x14ac:dyDescent="0.25">
      <c r="A11" t="str">
        <f>PLANTILLA!D13</f>
        <v>Enrique Cubas</v>
      </c>
      <c r="B11" s="24">
        <f>PLANTILLA!Y13+PLANTILLA!N13+PLANTILLA!J13</f>
        <v>15.651924469742449</v>
      </c>
      <c r="C11" s="24">
        <f>PLANTILLA!AB13+PLANTILLA!N13+PLANTILLA!J13</f>
        <v>12.985257803075783</v>
      </c>
      <c r="D11" s="71">
        <f t="shared" si="4"/>
        <v>5.2028050094867515</v>
      </c>
      <c r="E11" s="24">
        <f>D11*PLANTILLA!R13</f>
        <v>3.9329509071608548</v>
      </c>
      <c r="F11" s="24">
        <f>D11*PLANTILLA!S13</f>
        <v>4.3927734167125445</v>
      </c>
    </row>
    <row r="12" spans="1:20" x14ac:dyDescent="0.25">
      <c r="A12" t="str">
        <f>PLANTILLA!D14</f>
        <v>J. G. Peñuela</v>
      </c>
      <c r="B12" s="24">
        <f ca="1">PLANTILLA!Y14+PLANTILLA!N14+PLANTILLA!J14</f>
        <v>15.388523580210967</v>
      </c>
      <c r="C12" s="24">
        <f ca="1">PLANTILLA!AB14+PLANTILLA!N14+PLANTILLA!J14</f>
        <v>11.388523580210967</v>
      </c>
      <c r="D12" s="71">
        <f t="shared" ca="1" si="4"/>
        <v>4.7706963425791127</v>
      </c>
      <c r="E12" s="24">
        <f ca="1">D12*PLANTILLA!R14</f>
        <v>4.0319743119485096</v>
      </c>
      <c r="F12" s="24">
        <f ca="1">D12*PLANTILLA!S14</f>
        <v>4.4131243568418466</v>
      </c>
      <c r="H12" s="102" t="s">
        <v>387</v>
      </c>
      <c r="I12" s="102" t="s">
        <v>182</v>
      </c>
      <c r="J12" s="102" t="s">
        <v>185</v>
      </c>
      <c r="K12" s="103" t="s">
        <v>386</v>
      </c>
      <c r="L12" s="103" t="s">
        <v>369</v>
      </c>
      <c r="M12" s="103" t="s">
        <v>370</v>
      </c>
      <c r="O12" s="102" t="s">
        <v>387</v>
      </c>
      <c r="P12" s="102" t="s">
        <v>182</v>
      </c>
      <c r="Q12" s="102" t="s">
        <v>185</v>
      </c>
      <c r="R12" s="102" t="str">
        <f>K12</f>
        <v>N_CA</v>
      </c>
      <c r="S12" s="103" t="s">
        <v>369</v>
      </c>
      <c r="T12" s="103" t="s">
        <v>370</v>
      </c>
    </row>
    <row r="13" spans="1:20" x14ac:dyDescent="0.25">
      <c r="A13" t="str">
        <f>PLANTILLA!D15</f>
        <v>Fulvio Kämmeter</v>
      </c>
      <c r="B13" s="24">
        <f ca="1">PLANTILLA!Y15+PLANTILLA!N15+PLANTILLA!J15</f>
        <v>12.658613351248114</v>
      </c>
      <c r="C13" s="24">
        <f ca="1">PLANTILLA!AB15+PLANTILLA!N15+PLANTILLA!J15</f>
        <v>12.658613351248114</v>
      </c>
      <c r="D13" s="71">
        <f t="shared" ca="1" si="4"/>
        <v>4.7469800067180428</v>
      </c>
      <c r="E13" s="24">
        <f ca="1">D13*PLANTILLA!R15</f>
        <v>4.3948495034380048</v>
      </c>
      <c r="F13" s="24">
        <f ca="1">D13*PLANTILLA!S15</f>
        <v>4.7435880948832088</v>
      </c>
      <c r="H13" s="27" t="str">
        <f t="shared" ref="H13:J17" si="5">H2</f>
        <v>Guillermo Pedrajas</v>
      </c>
      <c r="I13" s="24">
        <f t="shared" ca="1" si="5"/>
        <v>15.520833333333334</v>
      </c>
      <c r="J13" s="24">
        <f t="shared" ca="1" si="5"/>
        <v>13.476190476190476</v>
      </c>
      <c r="K13" s="71">
        <f ca="1">(J13*2+I13)/8</f>
        <v>5.3091517857142856</v>
      </c>
      <c r="L13" s="27">
        <f ca="1">K13*(1-$L$8)</f>
        <v>4.5769670187620877</v>
      </c>
      <c r="M13" s="27">
        <f ca="1">K13*(1-$M$8)</f>
        <v>4.9953774355547598</v>
      </c>
      <c r="O13" s="27" t="str">
        <f t="shared" ref="O13:Q16" si="6">H13</f>
        <v>Guillermo Pedrajas</v>
      </c>
      <c r="P13" s="27">
        <f t="shared" ca="1" si="6"/>
        <v>15.520833333333334</v>
      </c>
      <c r="Q13" s="27">
        <f t="shared" ca="1" si="6"/>
        <v>13.476190476190476</v>
      </c>
      <c r="R13" s="71">
        <f ca="1">(Q13*2+P13)/8</f>
        <v>5.3091517857142856</v>
      </c>
      <c r="S13" s="27">
        <f t="shared" ref="S13:T16" ca="1" si="7">L13</f>
        <v>4.5769670187620877</v>
      </c>
      <c r="T13" s="27">
        <f t="shared" ca="1" si="7"/>
        <v>4.9953774355547598</v>
      </c>
    </row>
    <row r="14" spans="1:20" x14ac:dyDescent="0.25">
      <c r="A14" t="str">
        <f>PLANTILLA!D16</f>
        <v>Christian Touré</v>
      </c>
      <c r="B14" s="24">
        <f ca="1">PLANTILLA!Y16+PLANTILLA!N16+PLANTILLA!J16</f>
        <v>11.751267162010613</v>
      </c>
      <c r="C14" s="24">
        <f ca="1">PLANTILLA!AB16+PLANTILLA!N16+PLANTILLA!J16</f>
        <v>13.751267162010613</v>
      </c>
      <c r="D14" s="71">
        <f t="shared" ca="1" si="4"/>
        <v>4.90672518575398</v>
      </c>
      <c r="E14" s="24">
        <f ca="1">D14*PLANTILLA!R16</f>
        <v>4.5427448010312403</v>
      </c>
      <c r="F14" s="24">
        <f ca="1">D14*PLANTILLA!S16</f>
        <v>4.9032191294393792</v>
      </c>
      <c r="H14" s="27" t="str">
        <f t="shared" si="5"/>
        <v>Venanci Oset</v>
      </c>
      <c r="I14" s="24">
        <f t="shared" ca="1" si="5"/>
        <v>17.333333333333332</v>
      </c>
      <c r="J14" s="24">
        <f t="shared" ca="1" si="5"/>
        <v>14.555555555555555</v>
      </c>
      <c r="K14" s="71">
        <f ca="1">(J14*2+I14)/8</f>
        <v>5.8055555555555554</v>
      </c>
      <c r="L14" s="27">
        <f ca="1">K14*(1-$L$8)</f>
        <v>5.0049117779731827</v>
      </c>
      <c r="M14" s="27">
        <f ca="1">K14*(1-$M$8)</f>
        <v>5.4624434172548444</v>
      </c>
      <c r="O14" s="27" t="str">
        <f t="shared" si="6"/>
        <v>Venanci Oset</v>
      </c>
      <c r="P14" s="27">
        <f t="shared" ca="1" si="6"/>
        <v>17.333333333333332</v>
      </c>
      <c r="Q14" s="27">
        <f t="shared" ca="1" si="6"/>
        <v>14.555555555555555</v>
      </c>
      <c r="R14" s="71">
        <f ca="1">(Q14*2+P14)/8</f>
        <v>5.8055555555555554</v>
      </c>
      <c r="S14" s="27">
        <f t="shared" ca="1" si="7"/>
        <v>5.0049117779731827</v>
      </c>
      <c r="T14" s="27">
        <f t="shared" ca="1" si="7"/>
        <v>5.4624434172548444</v>
      </c>
    </row>
    <row r="15" spans="1:20" x14ac:dyDescent="0.25">
      <c r="A15" t="str">
        <f>PLANTILLA!D17</f>
        <v>Bogdan Pivovarov</v>
      </c>
      <c r="B15" s="24">
        <f ca="1">PLANTILLA!Y17+PLANTILLA!N17+PLANTILLA!J17</f>
        <v>13.338523580210966</v>
      </c>
      <c r="C15" s="24">
        <f ca="1">PLANTILLA!AB17+PLANTILLA!N17+PLANTILLA!J17</f>
        <v>13.388523580210967</v>
      </c>
      <c r="D15" s="71">
        <f t="shared" ca="1" si="4"/>
        <v>5.0144463425791121</v>
      </c>
      <c r="E15" s="24">
        <f ca="1">D15*PLANTILLA!R17</f>
        <v>4.2379806615385851</v>
      </c>
      <c r="F15" s="24">
        <f ca="1">D15*PLANTILLA!S17</f>
        <v>4.638604870531104</v>
      </c>
      <c r="H15" s="27" t="str">
        <f t="shared" si="5"/>
        <v>Valeri Gomis</v>
      </c>
      <c r="I15" s="24">
        <f t="shared" ca="1" si="5"/>
        <v>15.7218569135443</v>
      </c>
      <c r="J15" s="24">
        <f t="shared" ca="1" si="5"/>
        <v>12.388523580210967</v>
      </c>
      <c r="K15" s="71">
        <f ca="1">(J15*2+I15)/8</f>
        <v>5.0623630092457788</v>
      </c>
      <c r="L15" s="27">
        <f ca="1">K15*(1-$L$8)</f>
        <v>4.3642128659167403</v>
      </c>
      <c r="M15" s="27">
        <f ca="1">K15*(1-$M$8)</f>
        <v>4.7631740375211722</v>
      </c>
      <c r="O15" s="27" t="str">
        <f t="shared" si="6"/>
        <v>Valeri Gomis</v>
      </c>
      <c r="P15" s="27">
        <f t="shared" ca="1" si="6"/>
        <v>15.7218569135443</v>
      </c>
      <c r="Q15" s="27">
        <f t="shared" ca="1" si="6"/>
        <v>12.388523580210967</v>
      </c>
      <c r="R15" s="71">
        <f ca="1">(Q15*2+P15)/8</f>
        <v>5.0623630092457788</v>
      </c>
      <c r="S15" s="27">
        <f t="shared" ca="1" si="7"/>
        <v>4.3642128659167403</v>
      </c>
      <c r="T15" s="27">
        <f t="shared" ca="1" si="7"/>
        <v>4.7631740375211722</v>
      </c>
    </row>
    <row r="16" spans="1:20" x14ac:dyDescent="0.25">
      <c r="A16" t="str">
        <f>PLANTILLA!D18</f>
        <v>Sabir Bekrija</v>
      </c>
      <c r="B16" s="24">
        <f ca="1">PLANTILLA!Y18+PLANTILLA!N18+PLANTILLA!J18</f>
        <v>6.2387090722933038</v>
      </c>
      <c r="C16" s="24">
        <f ca="1">PLANTILLA!AB18+PLANTILLA!N18+PLANTILLA!J18</f>
        <v>12.238709072293304</v>
      </c>
      <c r="D16" s="71">
        <f t="shared" ca="1" si="4"/>
        <v>3.8395159021099889</v>
      </c>
      <c r="E16" s="24">
        <f ca="1">D16*PLANTILLA!R18</f>
        <v>3.2449832007660557</v>
      </c>
      <c r="F16" s="24">
        <f ca="1">D16*PLANTILLA!S18</f>
        <v>3.5517375094393153</v>
      </c>
      <c r="H16" s="27" t="str">
        <f t="shared" si="5"/>
        <v>Francesc Añigas</v>
      </c>
      <c r="I16" s="24">
        <f t="shared" ca="1" si="5"/>
        <v>16.813908328063501</v>
      </c>
      <c r="J16" s="24">
        <f t="shared" ca="1" si="5"/>
        <v>11.4389083280635</v>
      </c>
      <c r="K16" s="71">
        <f ca="1">(J16*2+I16)/8</f>
        <v>4.9614656230238126</v>
      </c>
      <c r="L16" s="27">
        <f ca="1">K16*(1-$L$8)</f>
        <v>4.2772302314665724</v>
      </c>
      <c r="M16" s="27">
        <f ca="1">K16*(1-$M$8)</f>
        <v>4.6682397529531805</v>
      </c>
      <c r="O16" s="27" t="str">
        <f t="shared" si="6"/>
        <v>Francesc Añigas</v>
      </c>
      <c r="P16" s="27">
        <f t="shared" ca="1" si="6"/>
        <v>16.813908328063501</v>
      </c>
      <c r="Q16" s="27">
        <f t="shared" ca="1" si="6"/>
        <v>11.4389083280635</v>
      </c>
      <c r="R16" s="71">
        <f ca="1">(Q16*2+P16)/8</f>
        <v>4.9614656230238126</v>
      </c>
      <c r="S16" s="27">
        <f t="shared" ca="1" si="7"/>
        <v>4.2772302314665724</v>
      </c>
      <c r="T16" s="27">
        <f t="shared" ca="1" si="7"/>
        <v>4.6682397529531805</v>
      </c>
    </row>
    <row r="17" spans="1:20" x14ac:dyDescent="0.25">
      <c r="A17" t="str">
        <f>PLANTILLA!D19</f>
        <v>Nicolás Galaz</v>
      </c>
      <c r="B17" s="24">
        <f ca="1">PLANTILLA!Y19+PLANTILLA!N19+PLANTILLA!J19</f>
        <v>6.2723233459190997</v>
      </c>
      <c r="C17" s="24">
        <f ca="1">PLANTILLA!AB19+PLANTILLA!N19+PLANTILLA!J19</f>
        <v>16.272323345919101</v>
      </c>
      <c r="D17" s="71">
        <f t="shared" ca="1" si="4"/>
        <v>4.8521212547196626</v>
      </c>
      <c r="E17" s="24">
        <f ca="1">D17*PLANTILLA!R19</f>
        <v>4.8521212547196626</v>
      </c>
      <c r="F17" s="24">
        <f ca="1">D17*PLANTILLA!S19</f>
        <v>4.8521212547196626</v>
      </c>
      <c r="H17" s="27" t="str">
        <f t="shared" si="5"/>
        <v>Iván Real Figueroa</v>
      </c>
      <c r="I17" s="24">
        <f t="shared" ca="1" si="5"/>
        <v>18.376811594202898</v>
      </c>
      <c r="J17" s="24">
        <f t="shared" ca="1" si="5"/>
        <v>11.333333333333334</v>
      </c>
      <c r="K17" s="71">
        <f ca="1">(J17*2+I17)/8</f>
        <v>5.1304347826086953</v>
      </c>
      <c r="L17" s="27">
        <f ca="1">K17*(1-$L$8)</f>
        <v>4.4228968655772993</v>
      </c>
      <c r="M17" s="27">
        <f ca="1">K17*(1-$M$8)</f>
        <v>4.8272227244640264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6.333333333333333</v>
      </c>
      <c r="C18" s="24">
        <f ca="1">PLANTILLA!AB20+PLANTILLA!N20+PLANTILLA!J20</f>
        <v>15.333333333333334</v>
      </c>
      <c r="D18" s="71">
        <f t="shared" ca="1" si="4"/>
        <v>4.625</v>
      </c>
      <c r="E18" s="24">
        <f ca="1">D18*PLANTILLA!R20</f>
        <v>4.28191796144805</v>
      </c>
      <c r="F18" s="24">
        <f ca="1">D18*PLANTILLA!S20</f>
        <v>4.6216952478809885</v>
      </c>
      <c r="K18" s="101">
        <f ca="1">SUM(K13:K17)</f>
        <v>26.268970756148128</v>
      </c>
      <c r="L18" s="101">
        <f ca="1">SUM(L13:L17)</f>
        <v>22.646218759695884</v>
      </c>
      <c r="M18" s="101">
        <f ca="1">SUM(M13:M17)</f>
        <v>24.716457367747982</v>
      </c>
      <c r="N18" s="101"/>
      <c r="O18" s="101"/>
      <c r="P18" s="101"/>
      <c r="Q18" s="101"/>
      <c r="R18" s="101">
        <f ca="1">SUM(R13:R17)</f>
        <v>21.138535973539433</v>
      </c>
      <c r="S18" s="101">
        <f ca="1">SUM(S13:S17)</f>
        <v>18.223321894118584</v>
      </c>
      <c r="T18" s="101">
        <f ca="1">SUM(T13:T17)</f>
        <v>19.889234643283956</v>
      </c>
    </row>
    <row r="19" spans="1:20" x14ac:dyDescent="0.25">
      <c r="A19">
        <f>PLANTILLA!D21</f>
        <v>0</v>
      </c>
      <c r="B19" s="24">
        <f>PLANTILLA!Y21+PLANTILLA!N21+PLANTILLA!J21</f>
        <v>0</v>
      </c>
      <c r="C19" s="24">
        <f>PLANTILLA!AB21+PLANTILLA!N21+PLANTILLA!J21</f>
        <v>0</v>
      </c>
      <c r="D19" s="71">
        <f t="shared" si="4"/>
        <v>0</v>
      </c>
      <c r="E19" s="24">
        <f>D19*PLANTILLA!R21</f>
        <v>0</v>
      </c>
      <c r="F19" s="24">
        <f>D19*PLANTILLA!S21</f>
        <v>0</v>
      </c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193</v>
      </c>
      <c r="B1" s="43" t="s">
        <v>388</v>
      </c>
      <c r="C1" s="43" t="s">
        <v>389</v>
      </c>
      <c r="D1" s="43" t="s">
        <v>390</v>
      </c>
      <c r="E1" s="43" t="s">
        <v>391</v>
      </c>
      <c r="F1" s="43" t="s">
        <v>392</v>
      </c>
      <c r="G1" s="43" t="s">
        <v>393</v>
      </c>
      <c r="H1" s="43" t="s">
        <v>394</v>
      </c>
      <c r="J1" s="266" t="s">
        <v>395</v>
      </c>
      <c r="K1" t="s">
        <v>396</v>
      </c>
      <c r="L1" t="s">
        <v>397</v>
      </c>
      <c r="M1" t="s">
        <v>398</v>
      </c>
      <c r="N1" s="42" t="s">
        <v>399</v>
      </c>
    </row>
    <row r="2" spans="1:14" x14ac:dyDescent="0.25">
      <c r="A2" s="265">
        <v>43670</v>
      </c>
      <c r="B2" s="42" t="s">
        <v>254</v>
      </c>
      <c r="C2" s="42" t="s">
        <v>400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190">
        <v>14</v>
      </c>
      <c r="K2" s="267">
        <v>1</v>
      </c>
      <c r="L2" s="267">
        <v>7</v>
      </c>
      <c r="M2" s="267">
        <v>2</v>
      </c>
      <c r="N2" s="58">
        <f t="shared" ref="N2:N12" si="1">M2/L2</f>
        <v>0.2857142857142857</v>
      </c>
    </row>
    <row r="3" spans="1:14" x14ac:dyDescent="0.25">
      <c r="A3" s="265">
        <v>43617</v>
      </c>
      <c r="B3" s="42" t="s">
        <v>401</v>
      </c>
      <c r="C3" s="42" t="s">
        <v>254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190">
        <v>15</v>
      </c>
      <c r="K3" s="267">
        <v>3</v>
      </c>
      <c r="L3" s="267">
        <v>24</v>
      </c>
      <c r="M3" s="267">
        <v>8</v>
      </c>
      <c r="N3" s="58">
        <f t="shared" si="1"/>
        <v>0.33333333333333331</v>
      </c>
    </row>
    <row r="4" spans="1:14" x14ac:dyDescent="0.25">
      <c r="A4" s="265">
        <v>43684</v>
      </c>
      <c r="B4" s="42" t="s">
        <v>402</v>
      </c>
      <c r="C4" s="42" t="s">
        <v>254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190">
        <v>16</v>
      </c>
      <c r="K4" s="267">
        <v>20</v>
      </c>
      <c r="L4" s="267">
        <v>126</v>
      </c>
      <c r="M4" s="267">
        <v>51</v>
      </c>
      <c r="N4" s="58">
        <f t="shared" si="1"/>
        <v>0.40476190476190477</v>
      </c>
    </row>
    <row r="5" spans="1:14" x14ac:dyDescent="0.25">
      <c r="A5" s="265">
        <v>43691</v>
      </c>
      <c r="B5" s="42" t="s">
        <v>403</v>
      </c>
      <c r="C5" s="42" t="s">
        <v>254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190">
        <v>17</v>
      </c>
      <c r="K5" s="267">
        <v>15</v>
      </c>
      <c r="L5" s="267">
        <v>101</v>
      </c>
      <c r="M5" s="267">
        <v>38</v>
      </c>
      <c r="N5" s="58">
        <f t="shared" si="1"/>
        <v>0.37623762376237624</v>
      </c>
    </row>
    <row r="6" spans="1:14" x14ac:dyDescent="0.25">
      <c r="A6" s="265">
        <v>43680</v>
      </c>
      <c r="B6" s="42" t="s">
        <v>254</v>
      </c>
      <c r="C6" s="42" t="s">
        <v>404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190">
        <v>18</v>
      </c>
      <c r="K6" s="267">
        <v>22</v>
      </c>
      <c r="L6" s="267">
        <v>143</v>
      </c>
      <c r="M6" s="267">
        <v>50</v>
      </c>
      <c r="N6" s="58">
        <f t="shared" si="1"/>
        <v>0.34965034965034963</v>
      </c>
    </row>
    <row r="7" spans="1:14" x14ac:dyDescent="0.25">
      <c r="A7" s="265">
        <v>43677</v>
      </c>
      <c r="B7" s="42" t="s">
        <v>405</v>
      </c>
      <c r="C7" s="42" t="s">
        <v>254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190">
        <v>19</v>
      </c>
      <c r="K7" s="267">
        <v>32</v>
      </c>
      <c r="L7" s="267">
        <v>245</v>
      </c>
      <c r="M7" s="267">
        <v>102</v>
      </c>
      <c r="N7" s="58">
        <f t="shared" si="1"/>
        <v>0.41632653061224489</v>
      </c>
    </row>
    <row r="8" spans="1:14" x14ac:dyDescent="0.25">
      <c r="A8" s="265">
        <v>43642</v>
      </c>
      <c r="B8" s="42" t="s">
        <v>254</v>
      </c>
      <c r="C8" s="42" t="s">
        <v>406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190">
        <v>20</v>
      </c>
      <c r="K8" s="267">
        <v>14</v>
      </c>
      <c r="L8" s="267">
        <v>104</v>
      </c>
      <c r="M8" s="267">
        <v>42</v>
      </c>
      <c r="N8" s="58">
        <f t="shared" si="1"/>
        <v>0.40384615384615385</v>
      </c>
    </row>
    <row r="9" spans="1:14" x14ac:dyDescent="0.25">
      <c r="A9" s="265">
        <v>43641</v>
      </c>
      <c r="B9" s="42" t="s">
        <v>407</v>
      </c>
      <c r="C9" s="42" t="s">
        <v>254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190">
        <v>21</v>
      </c>
      <c r="K9" s="267">
        <v>22</v>
      </c>
      <c r="L9" s="267">
        <v>187</v>
      </c>
      <c r="M9" s="267">
        <v>81</v>
      </c>
      <c r="N9" s="58">
        <f t="shared" si="1"/>
        <v>0.43315508021390375</v>
      </c>
    </row>
    <row r="10" spans="1:14" x14ac:dyDescent="0.25">
      <c r="A10" s="265">
        <v>43641</v>
      </c>
      <c r="B10" s="42" t="s">
        <v>254</v>
      </c>
      <c r="C10" s="42" t="s">
        <v>409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190">
        <v>22</v>
      </c>
      <c r="K10" s="267">
        <v>12</v>
      </c>
      <c r="L10" s="267">
        <v>92</v>
      </c>
      <c r="M10" s="267">
        <v>36</v>
      </c>
      <c r="N10" s="58">
        <f t="shared" si="1"/>
        <v>0.39130434782608697</v>
      </c>
    </row>
    <row r="11" spans="1:14" x14ac:dyDescent="0.25">
      <c r="A11" s="265">
        <v>43640</v>
      </c>
      <c r="B11" s="42" t="s">
        <v>410</v>
      </c>
      <c r="C11" s="42" t="s">
        <v>254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190">
        <v>23</v>
      </c>
      <c r="K11" s="267">
        <v>27</v>
      </c>
      <c r="L11" s="267">
        <v>208</v>
      </c>
      <c r="M11" s="267">
        <v>95</v>
      </c>
      <c r="N11" s="58">
        <f t="shared" si="1"/>
        <v>0.45673076923076922</v>
      </c>
    </row>
    <row r="12" spans="1:14" x14ac:dyDescent="0.25">
      <c r="A12" s="265">
        <v>43636</v>
      </c>
      <c r="B12" s="42" t="s">
        <v>411</v>
      </c>
      <c r="C12" s="42" t="s">
        <v>254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190">
        <v>24</v>
      </c>
      <c r="K12" s="267">
        <v>16</v>
      </c>
      <c r="L12" s="267">
        <v>129</v>
      </c>
      <c r="M12" s="267">
        <v>63</v>
      </c>
      <c r="N12" s="58">
        <f t="shared" si="1"/>
        <v>0.48837209302325579</v>
      </c>
    </row>
    <row r="13" spans="1:14" x14ac:dyDescent="0.25">
      <c r="A13" s="265">
        <v>43635</v>
      </c>
      <c r="B13" s="42" t="s">
        <v>254</v>
      </c>
      <c r="C13" s="42" t="s">
        <v>412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190" t="s">
        <v>408</v>
      </c>
      <c r="K13" s="267">
        <v>184</v>
      </c>
      <c r="L13" s="267">
        <v>1366</v>
      </c>
      <c r="M13" s="267">
        <v>568</v>
      </c>
      <c r="N13" s="58"/>
    </row>
    <row r="14" spans="1:14" x14ac:dyDescent="0.25">
      <c r="A14" s="265">
        <v>43635</v>
      </c>
      <c r="B14" s="42" t="s">
        <v>254</v>
      </c>
      <c r="C14" s="42" t="s">
        <v>413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265">
        <v>43634</v>
      </c>
      <c r="B15" s="42" t="s">
        <v>414</v>
      </c>
      <c r="C15" s="42" t="s">
        <v>254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265">
        <v>43634</v>
      </c>
      <c r="B16" s="42" t="s">
        <v>415</v>
      </c>
      <c r="C16" s="42" t="s">
        <v>254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265">
        <v>43633</v>
      </c>
      <c r="B17" s="42" t="s">
        <v>254</v>
      </c>
      <c r="C17" s="42" t="s">
        <v>416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265">
        <v>43633</v>
      </c>
      <c r="B18" s="42" t="s">
        <v>254</v>
      </c>
      <c r="C18" s="42" t="s">
        <v>417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265">
        <v>43624</v>
      </c>
      <c r="B19" s="42" t="s">
        <v>418</v>
      </c>
      <c r="C19" s="42" t="s">
        <v>254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265">
        <v>43617</v>
      </c>
      <c r="B20" s="42" t="s">
        <v>419</v>
      </c>
      <c r="C20" s="42" t="s">
        <v>254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265">
        <v>43615</v>
      </c>
      <c r="B21" s="42" t="s">
        <v>254</v>
      </c>
      <c r="C21" s="42" t="s">
        <v>420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265">
        <v>43610</v>
      </c>
      <c r="B22" s="42" t="s">
        <v>254</v>
      </c>
      <c r="C22" s="42" t="s">
        <v>421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265">
        <v>43602</v>
      </c>
      <c r="B23" s="42" t="s">
        <v>422</v>
      </c>
      <c r="C23" s="42" t="s">
        <v>254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265">
        <v>43550</v>
      </c>
      <c r="B24" s="42" t="s">
        <v>423</v>
      </c>
      <c r="C24" s="42" t="s">
        <v>254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265">
        <v>43644</v>
      </c>
      <c r="B25" s="42" t="s">
        <v>254</v>
      </c>
      <c r="C25" s="42" t="s">
        <v>424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265">
        <v>43643</v>
      </c>
      <c r="B26" s="42" t="s">
        <v>425</v>
      </c>
      <c r="C26" s="42" t="s">
        <v>254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265">
        <v>43643</v>
      </c>
      <c r="B27" s="42" t="s">
        <v>254</v>
      </c>
      <c r="C27" s="42" t="s">
        <v>426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265">
        <v>43643</v>
      </c>
      <c r="B28" s="42" t="s">
        <v>427</v>
      </c>
      <c r="C28" s="42" t="s">
        <v>254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265">
        <v>43642</v>
      </c>
      <c r="B29" s="42" t="s">
        <v>428</v>
      </c>
      <c r="C29" s="42" t="s">
        <v>254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265">
        <v>43641</v>
      </c>
      <c r="B30" s="42" t="s">
        <v>254</v>
      </c>
      <c r="C30" s="42" t="s">
        <v>429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265">
        <v>43636</v>
      </c>
      <c r="B31" s="42" t="s">
        <v>430</v>
      </c>
      <c r="C31" s="42" t="s">
        <v>254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265">
        <v>43603</v>
      </c>
      <c r="B32" s="42" t="s">
        <v>431</v>
      </c>
      <c r="C32" s="42" t="s">
        <v>254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265">
        <v>43596</v>
      </c>
      <c r="B33" s="42" t="s">
        <v>254</v>
      </c>
      <c r="C33" s="42" t="s">
        <v>404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265">
        <v>43589</v>
      </c>
      <c r="B34" s="42" t="s">
        <v>432</v>
      </c>
      <c r="C34" s="42" t="s">
        <v>254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265">
        <v>43547</v>
      </c>
      <c r="B35" s="42" t="s">
        <v>254</v>
      </c>
      <c r="C35" s="42" t="s">
        <v>418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265">
        <v>43540</v>
      </c>
      <c r="B36" s="42" t="s">
        <v>433</v>
      </c>
      <c r="C36" s="42" t="s">
        <v>254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265">
        <v>43537</v>
      </c>
      <c r="B37" s="42" t="s">
        <v>434</v>
      </c>
      <c r="C37" s="42" t="s">
        <v>254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265">
        <v>43704</v>
      </c>
      <c r="B38" s="42" t="s">
        <v>254</v>
      </c>
      <c r="C38" s="42" t="s">
        <v>435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265">
        <v>43656</v>
      </c>
      <c r="B39" s="42" t="s">
        <v>436</v>
      </c>
      <c r="C39" s="42" t="s">
        <v>254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265">
        <v>43656</v>
      </c>
      <c r="B40" s="42" t="s">
        <v>254</v>
      </c>
      <c r="C40" s="42" t="s">
        <v>437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265">
        <v>43655</v>
      </c>
      <c r="B41" s="42" t="s">
        <v>254</v>
      </c>
      <c r="C41" s="42" t="s">
        <v>438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265">
        <v>43582</v>
      </c>
      <c r="B42" s="42" t="s">
        <v>254</v>
      </c>
      <c r="C42" s="42" t="s">
        <v>432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265">
        <v>43575</v>
      </c>
      <c r="B43" s="42" t="s">
        <v>404</v>
      </c>
      <c r="C43" s="42" t="s">
        <v>254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265">
        <v>43568</v>
      </c>
      <c r="B44" s="42" t="s">
        <v>254</v>
      </c>
      <c r="C44" s="42" t="s">
        <v>431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265">
        <v>43561</v>
      </c>
      <c r="B45" s="42" t="s">
        <v>421</v>
      </c>
      <c r="C45" s="42" t="s">
        <v>254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265">
        <v>43554</v>
      </c>
      <c r="B46" s="42" t="s">
        <v>254</v>
      </c>
      <c r="C46" s="42" t="s">
        <v>419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265">
        <v>43687</v>
      </c>
      <c r="B47" s="42" t="s">
        <v>439</v>
      </c>
      <c r="C47" s="42" t="s">
        <v>254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265">
        <v>43701</v>
      </c>
      <c r="B48" s="42" t="s">
        <v>254</v>
      </c>
      <c r="C48" s="42" t="s">
        <v>440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265">
        <v>43666</v>
      </c>
      <c r="B49" s="42" t="s">
        <v>418</v>
      </c>
      <c r="C49" s="42" t="s">
        <v>254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265">
        <v>43657</v>
      </c>
      <c r="B50" s="42" t="s">
        <v>254</v>
      </c>
      <c r="C50" s="42" t="s">
        <v>441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265">
        <v>43652</v>
      </c>
      <c r="B51" s="42" t="s">
        <v>254</v>
      </c>
      <c r="C51" s="42" t="s">
        <v>442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265">
        <v>43677</v>
      </c>
      <c r="B52" s="42" t="s">
        <v>254</v>
      </c>
      <c r="C52" s="42" t="s">
        <v>443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265">
        <v>43672</v>
      </c>
      <c r="B53" s="42" t="s">
        <v>444</v>
      </c>
      <c r="C53" s="42" t="s">
        <v>254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265">
        <v>43663</v>
      </c>
      <c r="B54" s="42" t="s">
        <v>254</v>
      </c>
      <c r="C54" s="42" t="s">
        <v>445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265">
        <v>43708</v>
      </c>
      <c r="B55" s="42" t="s">
        <v>254</v>
      </c>
      <c r="C55" s="42" t="s">
        <v>446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265">
        <v>43711</v>
      </c>
      <c r="B56" s="42" t="s">
        <v>447</v>
      </c>
      <c r="C56" s="42" t="s">
        <v>254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265">
        <v>43713</v>
      </c>
      <c r="B57" s="42" t="s">
        <v>254</v>
      </c>
      <c r="C57" s="42" t="s">
        <v>448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265">
        <v>43713</v>
      </c>
      <c r="B58" s="42" t="s">
        <v>254</v>
      </c>
      <c r="C58" s="42" t="s">
        <v>449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265">
        <v>43715</v>
      </c>
      <c r="B59" s="42" t="s">
        <v>404</v>
      </c>
      <c r="C59" s="42" t="s">
        <v>254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265">
        <v>43717</v>
      </c>
      <c r="B60" s="42" t="s">
        <v>254</v>
      </c>
      <c r="C60" s="42" t="s">
        <v>450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265">
        <v>43719</v>
      </c>
      <c r="B61" s="42" t="s">
        <v>451</v>
      </c>
      <c r="C61" s="42" t="s">
        <v>254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265">
        <v>43722</v>
      </c>
      <c r="B62" s="42" t="s">
        <v>433</v>
      </c>
      <c r="C62" s="42" t="s">
        <v>254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265">
        <v>43724</v>
      </c>
      <c r="B63" s="42" t="s">
        <v>254</v>
      </c>
      <c r="C63" s="42" t="s">
        <v>452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265">
        <v>43731</v>
      </c>
      <c r="B64" s="42" t="s">
        <v>453</v>
      </c>
      <c r="C64" s="42" t="s">
        <v>254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265">
        <v>43736</v>
      </c>
      <c r="B65" s="42" t="s">
        <v>454</v>
      </c>
      <c r="C65" s="42" t="s">
        <v>254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265">
        <v>43738</v>
      </c>
      <c r="B66" s="42" t="s">
        <v>254</v>
      </c>
      <c r="C66" s="42" t="s">
        <v>455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85" si="5">G66/F66</f>
        <v>0.55555555555555558</v>
      </c>
    </row>
    <row r="67" spans="1:8" x14ac:dyDescent="0.25">
      <c r="A67" s="265">
        <v>43739</v>
      </c>
      <c r="B67" s="42" t="s">
        <v>456</v>
      </c>
      <c r="C67" s="42" t="s">
        <v>254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265">
        <v>43742</v>
      </c>
      <c r="B68" s="42" t="s">
        <v>254</v>
      </c>
      <c r="C68" s="42" t="s">
        <v>457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265">
        <v>43743</v>
      </c>
      <c r="B69" s="42" t="s">
        <v>456</v>
      </c>
      <c r="C69" s="42" t="s">
        <v>254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265">
        <v>43745</v>
      </c>
      <c r="B70" s="42" t="s">
        <v>458</v>
      </c>
      <c r="C70" s="42" t="s">
        <v>254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265">
        <v>43745</v>
      </c>
      <c r="B71" s="42" t="s">
        <v>459</v>
      </c>
      <c r="C71" s="42" t="s">
        <v>254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265">
        <v>43745</v>
      </c>
      <c r="B72" s="42" t="s">
        <v>254</v>
      </c>
      <c r="C72" s="42" t="s">
        <v>460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265">
        <v>43745</v>
      </c>
      <c r="B73" s="42" t="s">
        <v>254</v>
      </c>
      <c r="C73" s="42" t="s">
        <v>461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265">
        <v>43746</v>
      </c>
      <c r="B74" s="42" t="s">
        <v>462</v>
      </c>
      <c r="C74" s="42" t="s">
        <v>254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265">
        <v>43746</v>
      </c>
      <c r="B75" s="42" t="s">
        <v>463</v>
      </c>
      <c r="C75" s="42" t="s">
        <v>254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265">
        <v>43747</v>
      </c>
      <c r="B76" s="42" t="s">
        <v>464</v>
      </c>
      <c r="C76" s="42" t="s">
        <v>254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265">
        <v>43748</v>
      </c>
      <c r="B77" s="42" t="s">
        <v>254</v>
      </c>
      <c r="C77" s="42" t="s">
        <v>465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265">
        <v>43748</v>
      </c>
      <c r="B78" s="42" t="s">
        <v>254</v>
      </c>
      <c r="C78" s="42" t="s">
        <v>466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265">
        <v>43748</v>
      </c>
      <c r="B79" s="42" t="s">
        <v>254</v>
      </c>
      <c r="C79" s="42" t="s">
        <v>467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265">
        <v>43753</v>
      </c>
      <c r="B80" s="42" t="s">
        <v>468</v>
      </c>
      <c r="C80" s="42" t="s">
        <v>254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265">
        <v>43753</v>
      </c>
      <c r="B81" s="42" t="s">
        <v>469</v>
      </c>
      <c r="C81" s="42" t="s">
        <v>254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265">
        <v>43753</v>
      </c>
      <c r="B82" s="42" t="s">
        <v>470</v>
      </c>
      <c r="C82" s="42" t="s">
        <v>254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265">
        <v>43754</v>
      </c>
      <c r="B83" s="42" t="s">
        <v>254</v>
      </c>
      <c r="C83" s="42" t="s">
        <v>471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265">
        <v>43754</v>
      </c>
      <c r="B84" s="42" t="s">
        <v>472</v>
      </c>
      <c r="C84" s="42" t="s">
        <v>254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265">
        <v>43754</v>
      </c>
      <c r="B85" s="42" t="s">
        <v>254</v>
      </c>
      <c r="C85" s="42" t="s">
        <v>473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265">
        <v>43755</v>
      </c>
      <c r="B86" s="42" t="s">
        <v>254</v>
      </c>
      <c r="C86" s="42" t="s">
        <v>474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265">
        <v>43764</v>
      </c>
      <c r="B87" s="42" t="s">
        <v>254</v>
      </c>
      <c r="C87" s="42" t="s">
        <v>260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265">
        <v>43771</v>
      </c>
      <c r="B88" s="42" t="s">
        <v>268</v>
      </c>
      <c r="C88" s="42" t="s">
        <v>254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265">
        <v>43773</v>
      </c>
      <c r="B89" s="42" t="s">
        <v>677</v>
      </c>
      <c r="C89" s="42" t="s">
        <v>254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265">
        <v>43775</v>
      </c>
      <c r="B90" s="42" t="s">
        <v>678</v>
      </c>
      <c r="C90" s="42" t="s">
        <v>254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265">
        <v>43781</v>
      </c>
      <c r="B91" s="42" t="s">
        <v>679</v>
      </c>
      <c r="C91" s="42" t="s">
        <v>254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265">
        <v>43782</v>
      </c>
      <c r="B92" s="42" t="s">
        <v>254</v>
      </c>
      <c r="C92" s="42" t="s">
        <v>680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265">
        <v>43785</v>
      </c>
      <c r="B93" s="42" t="s">
        <v>275</v>
      </c>
      <c r="C93" s="42" t="s">
        <v>254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265">
        <v>43787</v>
      </c>
      <c r="B94" s="42" t="s">
        <v>449</v>
      </c>
      <c r="C94" s="42" t="s">
        <v>254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265">
        <v>43789</v>
      </c>
      <c r="B95" s="42" t="s">
        <v>254</v>
      </c>
      <c r="C95" s="42" t="s">
        <v>681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265">
        <v>43792</v>
      </c>
      <c r="B96" s="42" t="s">
        <v>254</v>
      </c>
      <c r="C96" s="42" t="s">
        <v>280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265">
        <v>43794</v>
      </c>
      <c r="B97" s="42" t="s">
        <v>254</v>
      </c>
      <c r="C97" s="42" t="s">
        <v>682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265">
        <v>43796</v>
      </c>
      <c r="B98" s="42" t="s">
        <v>254</v>
      </c>
      <c r="C98" s="42" t="s">
        <v>683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265">
        <v>43796</v>
      </c>
      <c r="B99" s="42" t="s">
        <v>679</v>
      </c>
      <c r="C99" s="42" t="s">
        <v>254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265">
        <v>43799</v>
      </c>
      <c r="B100" s="42" t="s">
        <v>270</v>
      </c>
      <c r="C100" s="42" t="s">
        <v>254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265">
        <v>43800</v>
      </c>
      <c r="B101" s="42" t="s">
        <v>684</v>
      </c>
      <c r="C101" s="42" t="s">
        <v>254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265">
        <v>43803</v>
      </c>
      <c r="B102" s="42" t="s">
        <v>685</v>
      </c>
      <c r="C102" s="42" t="s">
        <v>254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265">
        <v>43804</v>
      </c>
      <c r="B103" s="42" t="s">
        <v>686</v>
      </c>
      <c r="C103" s="42" t="s">
        <v>254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265">
        <v>43806</v>
      </c>
      <c r="B104" s="42" t="s">
        <v>254</v>
      </c>
      <c r="C104" s="42" t="s">
        <v>264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265">
        <v>43810</v>
      </c>
      <c r="B105" s="42" t="s">
        <v>254</v>
      </c>
      <c r="C105" s="42" t="s">
        <v>687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265">
        <v>43820</v>
      </c>
      <c r="B106" s="42" t="s">
        <v>254</v>
      </c>
      <c r="C106" s="42" t="s">
        <v>270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265">
        <v>43827</v>
      </c>
      <c r="B107" s="42" t="s">
        <v>280</v>
      </c>
      <c r="C107" s="42" t="s">
        <v>254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265">
        <v>43837</v>
      </c>
      <c r="B108" s="42" t="s">
        <v>424</v>
      </c>
      <c r="C108" s="42" t="s">
        <v>254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265">
        <v>43841</v>
      </c>
      <c r="B109" s="42" t="s">
        <v>285</v>
      </c>
      <c r="C109" s="42" t="s">
        <v>254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265">
        <v>43841</v>
      </c>
      <c r="B110" s="42" t="s">
        <v>688</v>
      </c>
      <c r="C110" s="42" t="s">
        <v>254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265">
        <v>43848</v>
      </c>
      <c r="B111" s="42" t="s">
        <v>254</v>
      </c>
      <c r="C111" s="42" t="s">
        <v>268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265">
        <v>43854</v>
      </c>
      <c r="B112" s="42" t="s">
        <v>689</v>
      </c>
      <c r="C112" s="42" t="s">
        <v>254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265">
        <v>43855</v>
      </c>
      <c r="B113" s="42" t="s">
        <v>260</v>
      </c>
      <c r="C113" s="42" t="s">
        <v>254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265">
        <v>43862</v>
      </c>
      <c r="B114" s="42" t="s">
        <v>690</v>
      </c>
      <c r="C114" s="42" t="s">
        <v>254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265">
        <v>43880</v>
      </c>
      <c r="B115" s="42" t="s">
        <v>691</v>
      </c>
      <c r="C115" s="42" t="s">
        <v>254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265">
        <v>43883</v>
      </c>
      <c r="B116" s="42" t="s">
        <v>692</v>
      </c>
      <c r="C116" s="42" t="s">
        <v>254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265">
        <v>43887</v>
      </c>
      <c r="B117" s="42" t="s">
        <v>693</v>
      </c>
      <c r="C117" s="42" t="s">
        <v>254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265">
        <v>43890</v>
      </c>
      <c r="B118" s="42" t="s">
        <v>694</v>
      </c>
      <c r="C118" s="42" t="s">
        <v>254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265">
        <v>43897</v>
      </c>
      <c r="B119" s="42" t="s">
        <v>254</v>
      </c>
      <c r="C119" s="42" t="s">
        <v>695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265">
        <v>43901</v>
      </c>
      <c r="B120" s="42" t="s">
        <v>696</v>
      </c>
      <c r="C120" s="42" t="s">
        <v>254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265">
        <v>43904</v>
      </c>
      <c r="B121" s="42" t="s">
        <v>697</v>
      </c>
      <c r="C121" s="42" t="s">
        <v>254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265">
        <v>43908</v>
      </c>
      <c r="B122" s="42" t="s">
        <v>254</v>
      </c>
      <c r="C122" s="42" t="s">
        <v>698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265">
        <v>43910</v>
      </c>
      <c r="B123" s="42" t="s">
        <v>254</v>
      </c>
      <c r="C123" s="42" t="s">
        <v>699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265">
        <v>43911</v>
      </c>
      <c r="B124" s="42" t="s">
        <v>254</v>
      </c>
      <c r="C124" s="42" t="s">
        <v>700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265">
        <v>43911</v>
      </c>
      <c r="B125" s="42" t="s">
        <v>254</v>
      </c>
      <c r="C125" s="42" t="s">
        <v>701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265">
        <v>43913</v>
      </c>
      <c r="B126" s="42" t="s">
        <v>254</v>
      </c>
      <c r="C126" s="42" t="s">
        <v>702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265">
        <v>43915</v>
      </c>
      <c r="B127" s="42" t="s">
        <v>703</v>
      </c>
      <c r="C127" s="42" t="s">
        <v>254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265">
        <v>43916</v>
      </c>
      <c r="B128" s="42" t="s">
        <v>254</v>
      </c>
      <c r="C128" s="42" t="s">
        <v>704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265">
        <v>43916</v>
      </c>
      <c r="B129" s="42" t="s">
        <v>254</v>
      </c>
      <c r="C129" s="42" t="s">
        <v>705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265">
        <v>43918</v>
      </c>
      <c r="B130" s="42" t="s">
        <v>706</v>
      </c>
      <c r="C130" s="42" t="s">
        <v>254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265">
        <v>43925</v>
      </c>
      <c r="B131" s="42" t="s">
        <v>254</v>
      </c>
      <c r="C131" s="42" t="s">
        <v>706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265">
        <v>43929</v>
      </c>
      <c r="B132" s="42" t="s">
        <v>707</v>
      </c>
      <c r="C132" s="42" t="s">
        <v>254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265">
        <v>43932</v>
      </c>
      <c r="B133" s="42" t="s">
        <v>700</v>
      </c>
      <c r="C133" s="42" t="s">
        <v>254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265">
        <v>43939</v>
      </c>
      <c r="B134" s="42" t="s">
        <v>254</v>
      </c>
      <c r="C134" s="42" t="s">
        <v>708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265">
        <v>43943</v>
      </c>
      <c r="B135" s="42" t="s">
        <v>709</v>
      </c>
      <c r="C135" s="42" t="s">
        <v>254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265">
        <v>43946</v>
      </c>
      <c r="B136" s="42" t="s">
        <v>695</v>
      </c>
      <c r="C136" s="42" t="s">
        <v>254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265">
        <v>43949</v>
      </c>
      <c r="B137" s="42" t="s">
        <v>709</v>
      </c>
      <c r="C137" s="42" t="s">
        <v>254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265">
        <v>43953</v>
      </c>
      <c r="B138" s="42" t="s">
        <v>254</v>
      </c>
      <c r="C138" s="42" t="s">
        <v>694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265">
        <v>43960</v>
      </c>
      <c r="B139" s="42" t="s">
        <v>254</v>
      </c>
      <c r="C139" s="42" t="s">
        <v>692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265">
        <v>43967</v>
      </c>
      <c r="B140" s="42" t="s">
        <v>710</v>
      </c>
      <c r="C140" s="42" t="s">
        <v>254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265">
        <v>43969</v>
      </c>
      <c r="B141" s="42" t="s">
        <v>254</v>
      </c>
      <c r="C141" s="42" t="s">
        <v>711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265">
        <v>43970</v>
      </c>
      <c r="B142" s="42" t="s">
        <v>712</v>
      </c>
      <c r="C142" s="42" t="s">
        <v>254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265">
        <v>43970</v>
      </c>
      <c r="B143" s="42" t="s">
        <v>713</v>
      </c>
      <c r="C143" s="42" t="s">
        <v>254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265">
        <v>43971</v>
      </c>
      <c r="B144" s="42" t="s">
        <v>254</v>
      </c>
      <c r="C144" s="42" t="s">
        <v>714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265">
        <v>43971</v>
      </c>
      <c r="B145" s="42" t="s">
        <v>715</v>
      </c>
      <c r="C145" s="42" t="s">
        <v>254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265">
        <v>43972</v>
      </c>
      <c r="B146" s="42" t="s">
        <v>716</v>
      </c>
      <c r="C146" s="42" t="s">
        <v>254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265">
        <v>43972</v>
      </c>
      <c r="B147" s="42" t="s">
        <v>254</v>
      </c>
      <c r="C147" s="42" t="s">
        <v>717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265">
        <v>43972</v>
      </c>
      <c r="B148" s="42" t="s">
        <v>718</v>
      </c>
      <c r="C148" s="42" t="s">
        <v>254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265">
        <v>43973</v>
      </c>
      <c r="B149" s="42" t="s">
        <v>719</v>
      </c>
      <c r="C149" s="42" t="s">
        <v>254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265">
        <v>43976</v>
      </c>
      <c r="B150" s="42" t="s">
        <v>254</v>
      </c>
      <c r="C150" s="42" t="s">
        <v>720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265">
        <v>43977</v>
      </c>
      <c r="B151" s="42" t="s">
        <v>254</v>
      </c>
      <c r="C151" s="42" t="s">
        <v>721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265">
        <v>43977</v>
      </c>
      <c r="B152" s="42" t="s">
        <v>722</v>
      </c>
      <c r="C152" s="42" t="s">
        <v>254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265">
        <v>43977</v>
      </c>
      <c r="B153" s="42" t="s">
        <v>723</v>
      </c>
      <c r="C153" s="42" t="s">
        <v>254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265">
        <v>43978</v>
      </c>
      <c r="B154" s="42" t="s">
        <v>254</v>
      </c>
      <c r="C154" s="42" t="s">
        <v>724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265">
        <v>43978</v>
      </c>
      <c r="B155" s="42" t="s">
        <v>725</v>
      </c>
      <c r="C155" s="42" t="s">
        <v>254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265">
        <v>43978</v>
      </c>
      <c r="B156" s="42" t="s">
        <v>254</v>
      </c>
      <c r="C156" s="42" t="s">
        <v>726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265">
        <v>43979</v>
      </c>
      <c r="B157" s="42" t="s">
        <v>254</v>
      </c>
      <c r="C157" s="42" t="s">
        <v>727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265">
        <v>43979</v>
      </c>
      <c r="B158" s="42" t="s">
        <v>254</v>
      </c>
      <c r="C158" s="42" t="s">
        <v>728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265">
        <v>43979</v>
      </c>
      <c r="B159" s="42" t="s">
        <v>729</v>
      </c>
      <c r="C159" s="42" t="s">
        <v>254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265">
        <v>43988</v>
      </c>
      <c r="B160" s="42" t="s">
        <v>706</v>
      </c>
      <c r="C160" s="42" t="s">
        <v>254</v>
      </c>
      <c r="D160" s="42">
        <v>23</v>
      </c>
      <c r="F160" s="42">
        <v>7</v>
      </c>
      <c r="G160" s="42">
        <v>3</v>
      </c>
      <c r="H160" s="38">
        <f t="shared" si="5"/>
        <v>0.42857142857142855</v>
      </c>
    </row>
    <row r="161" spans="1:8" x14ac:dyDescent="0.25">
      <c r="A161" s="265">
        <v>43992</v>
      </c>
      <c r="B161" s="42" t="s">
        <v>731</v>
      </c>
      <c r="C161" s="42" t="s">
        <v>254</v>
      </c>
      <c r="D161" s="42">
        <v>17</v>
      </c>
      <c r="F161" s="42">
        <v>5</v>
      </c>
      <c r="G161" s="42">
        <v>1</v>
      </c>
      <c r="H161" s="38">
        <f t="shared" si="5"/>
        <v>0.2</v>
      </c>
    </row>
    <row r="162" spans="1:8" x14ac:dyDescent="0.25">
      <c r="A162" s="265">
        <v>43995</v>
      </c>
      <c r="C162" s="42" t="s">
        <v>732</v>
      </c>
      <c r="D162" s="42">
        <v>22</v>
      </c>
      <c r="F162" s="42">
        <v>7</v>
      </c>
      <c r="G162" s="42">
        <v>3</v>
      </c>
      <c r="H162" s="38">
        <f t="shared" si="5"/>
        <v>0.42857142857142855</v>
      </c>
    </row>
    <row r="163" spans="1:8" x14ac:dyDescent="0.25">
      <c r="A163" s="265">
        <v>43999</v>
      </c>
      <c r="B163" s="42" t="s">
        <v>733</v>
      </c>
      <c r="D163" s="42">
        <v>21</v>
      </c>
      <c r="F163" s="42">
        <v>5</v>
      </c>
      <c r="G163" s="42">
        <v>2</v>
      </c>
      <c r="H163" s="38">
        <f t="shared" si="5"/>
        <v>0.4</v>
      </c>
    </row>
    <row r="164" spans="1:8" x14ac:dyDescent="0.25">
      <c r="A164" s="265">
        <v>44002</v>
      </c>
      <c r="B164" s="42" t="s">
        <v>697</v>
      </c>
      <c r="D164" s="42">
        <v>23</v>
      </c>
      <c r="F164" s="42">
        <v>9</v>
      </c>
      <c r="G164" s="42">
        <v>4</v>
      </c>
      <c r="H164" s="38">
        <f t="shared" si="5"/>
        <v>0.44444444444444442</v>
      </c>
    </row>
    <row r="165" spans="1:8" x14ac:dyDescent="0.25">
      <c r="A165" s="265">
        <v>44006</v>
      </c>
      <c r="B165" s="42" t="s">
        <v>734</v>
      </c>
      <c r="D165" s="42">
        <v>22</v>
      </c>
      <c r="F165" s="42">
        <v>9</v>
      </c>
      <c r="G165" s="42">
        <v>5</v>
      </c>
      <c r="H165" s="38">
        <f t="shared" si="5"/>
        <v>0.55555555555555558</v>
      </c>
    </row>
    <row r="166" spans="1:8" x14ac:dyDescent="0.25">
      <c r="A166" s="265">
        <v>44007</v>
      </c>
      <c r="B166" s="42" t="s">
        <v>735</v>
      </c>
      <c r="D166" s="42">
        <v>23</v>
      </c>
      <c r="F166" s="42">
        <v>8</v>
      </c>
      <c r="G166" s="42">
        <v>5</v>
      </c>
      <c r="H166" s="38">
        <f t="shared" si="5"/>
        <v>0.625</v>
      </c>
    </row>
    <row r="167" spans="1:8" x14ac:dyDescent="0.25">
      <c r="A167" s="265">
        <v>44008</v>
      </c>
      <c r="B167" s="42" t="s">
        <v>736</v>
      </c>
      <c r="D167" s="42">
        <v>24</v>
      </c>
      <c r="F167" s="42">
        <v>7</v>
      </c>
      <c r="G167" s="42">
        <v>3</v>
      </c>
      <c r="H167" s="38">
        <f t="shared" si="5"/>
        <v>0.42857142857142855</v>
      </c>
    </row>
    <row r="168" spans="1:8" x14ac:dyDescent="0.25">
      <c r="A168" s="265">
        <v>44010</v>
      </c>
      <c r="C168" s="42" t="s">
        <v>737</v>
      </c>
      <c r="D168" s="42">
        <v>24</v>
      </c>
      <c r="F168" s="42">
        <v>7</v>
      </c>
      <c r="G168" s="42">
        <v>2</v>
      </c>
      <c r="H168" s="38">
        <f t="shared" si="5"/>
        <v>0.2857142857142857</v>
      </c>
    </row>
    <row r="169" spans="1:8" x14ac:dyDescent="0.25">
      <c r="A169" s="265">
        <v>44012</v>
      </c>
      <c r="B169" s="42" t="s">
        <v>738</v>
      </c>
      <c r="D169" s="42">
        <v>24</v>
      </c>
      <c r="F169" s="42">
        <v>7</v>
      </c>
      <c r="G169" s="42">
        <v>4</v>
      </c>
      <c r="H169" s="38">
        <f t="shared" si="5"/>
        <v>0.5714285714285714</v>
      </c>
    </row>
    <row r="170" spans="1:8" x14ac:dyDescent="0.25">
      <c r="A170" s="265">
        <v>44013</v>
      </c>
      <c r="B170" s="42" t="s">
        <v>739</v>
      </c>
      <c r="D170" s="42">
        <v>23</v>
      </c>
      <c r="F170" s="42">
        <v>7</v>
      </c>
      <c r="G170" s="42">
        <v>2</v>
      </c>
      <c r="H170" s="38">
        <f t="shared" si="5"/>
        <v>0.2857142857142857</v>
      </c>
    </row>
    <row r="171" spans="1:8" x14ac:dyDescent="0.25">
      <c r="A171" s="265">
        <v>44014</v>
      </c>
      <c r="C171" s="42" t="s">
        <v>740</v>
      </c>
      <c r="D171" s="42">
        <v>24</v>
      </c>
      <c r="F171" s="42">
        <v>9</v>
      </c>
      <c r="G171" s="42">
        <v>6</v>
      </c>
      <c r="H171" s="38">
        <f t="shared" si="5"/>
        <v>0.66666666666666663</v>
      </c>
    </row>
    <row r="172" spans="1:8" x14ac:dyDescent="0.25">
      <c r="A172" s="265">
        <v>44015</v>
      </c>
      <c r="B172" s="42" t="s">
        <v>741</v>
      </c>
      <c r="D172" s="42">
        <v>24</v>
      </c>
      <c r="F172" s="42">
        <v>7</v>
      </c>
      <c r="G172" s="42">
        <v>2</v>
      </c>
      <c r="H172" s="38">
        <f t="shared" si="5"/>
        <v>0.2857142857142857</v>
      </c>
    </row>
    <row r="173" spans="1:8" x14ac:dyDescent="0.25">
      <c r="A173" s="265">
        <v>44017</v>
      </c>
      <c r="B173" s="42" t="s">
        <v>742</v>
      </c>
      <c r="D173" s="42">
        <v>24</v>
      </c>
      <c r="F173" s="42">
        <v>9</v>
      </c>
      <c r="G173" s="42">
        <v>5</v>
      </c>
      <c r="H173" s="38">
        <f t="shared" si="5"/>
        <v>0.55555555555555558</v>
      </c>
    </row>
    <row r="174" spans="1:8" x14ac:dyDescent="0.25">
      <c r="A174" s="265">
        <v>44019</v>
      </c>
      <c r="C174" s="42" t="s">
        <v>743</v>
      </c>
      <c r="D174" s="42">
        <v>24</v>
      </c>
      <c r="F174" s="42">
        <v>9</v>
      </c>
      <c r="G174" s="42">
        <v>5</v>
      </c>
      <c r="H174" s="38">
        <f t="shared" si="5"/>
        <v>0.55555555555555558</v>
      </c>
    </row>
    <row r="175" spans="1:8" x14ac:dyDescent="0.25">
      <c r="A175" s="265">
        <v>44020</v>
      </c>
      <c r="B175" s="42" t="s">
        <v>744</v>
      </c>
      <c r="D175" s="42">
        <v>23</v>
      </c>
      <c r="F175" s="42">
        <v>8</v>
      </c>
      <c r="G175" s="42">
        <v>2</v>
      </c>
      <c r="H175" s="38">
        <f t="shared" si="5"/>
        <v>0.25</v>
      </c>
    </row>
    <row r="176" spans="1:8" x14ac:dyDescent="0.25">
      <c r="A176" s="265">
        <v>44023</v>
      </c>
      <c r="B176" s="42" t="s">
        <v>745</v>
      </c>
      <c r="D176" s="42">
        <v>24</v>
      </c>
      <c r="F176" s="42">
        <v>8</v>
      </c>
      <c r="G176" s="42">
        <v>5</v>
      </c>
      <c r="H176" s="38">
        <f t="shared" si="5"/>
        <v>0.625</v>
      </c>
    </row>
    <row r="177" spans="1:8" x14ac:dyDescent="0.25">
      <c r="A177" s="265">
        <v>44026</v>
      </c>
      <c r="B177" s="42" t="s">
        <v>746</v>
      </c>
      <c r="D177" s="42">
        <v>24</v>
      </c>
      <c r="F177" s="42">
        <v>9</v>
      </c>
      <c r="G177" s="42">
        <v>5</v>
      </c>
      <c r="H177" s="38">
        <f t="shared" si="5"/>
        <v>0.55555555555555558</v>
      </c>
    </row>
    <row r="178" spans="1:8" x14ac:dyDescent="0.25">
      <c r="A178" s="265">
        <v>44027</v>
      </c>
      <c r="B178" s="42" t="s">
        <v>747</v>
      </c>
      <c r="D178" s="42">
        <v>22</v>
      </c>
      <c r="F178" s="42">
        <v>9</v>
      </c>
      <c r="G178" s="42">
        <v>4</v>
      </c>
      <c r="H178" s="38">
        <f t="shared" si="5"/>
        <v>0.44444444444444442</v>
      </c>
    </row>
    <row r="179" spans="1:8" x14ac:dyDescent="0.25">
      <c r="A179" s="265">
        <v>44028</v>
      </c>
      <c r="C179" s="42" t="s">
        <v>748</v>
      </c>
      <c r="D179" s="42">
        <v>23</v>
      </c>
      <c r="F179" s="42">
        <v>9</v>
      </c>
      <c r="G179" s="42">
        <v>4</v>
      </c>
      <c r="H179" s="38">
        <f t="shared" si="5"/>
        <v>0.44444444444444442</v>
      </c>
    </row>
    <row r="180" spans="1:8" x14ac:dyDescent="0.25">
      <c r="A180" s="265">
        <v>44029</v>
      </c>
      <c r="B180" s="42" t="s">
        <v>749</v>
      </c>
      <c r="D180" s="42">
        <v>24</v>
      </c>
      <c r="F180" s="42">
        <v>8</v>
      </c>
      <c r="G180" s="42">
        <v>3</v>
      </c>
      <c r="H180" s="38">
        <f t="shared" si="5"/>
        <v>0.375</v>
      </c>
    </row>
    <row r="181" spans="1:8" x14ac:dyDescent="0.25">
      <c r="A181" s="265">
        <v>44030</v>
      </c>
      <c r="C181" s="42" t="s">
        <v>750</v>
      </c>
      <c r="D181" s="42">
        <v>23</v>
      </c>
      <c r="F181" s="42">
        <v>10</v>
      </c>
      <c r="G181" s="42">
        <v>4</v>
      </c>
      <c r="H181" s="38">
        <f t="shared" si="5"/>
        <v>0.4</v>
      </c>
    </row>
    <row r="182" spans="1:8" x14ac:dyDescent="0.25">
      <c r="A182" s="265">
        <v>44031</v>
      </c>
      <c r="B182" s="42" t="s">
        <v>751</v>
      </c>
      <c r="D182" s="42">
        <v>23</v>
      </c>
      <c r="F182" s="42">
        <v>8</v>
      </c>
      <c r="G182" s="42">
        <v>3</v>
      </c>
      <c r="H182" s="38">
        <f t="shared" si="5"/>
        <v>0.375</v>
      </c>
    </row>
    <row r="183" spans="1:8" x14ac:dyDescent="0.25">
      <c r="A183" s="265">
        <v>44033</v>
      </c>
      <c r="C183" s="42" t="s">
        <v>752</v>
      </c>
      <c r="D183" s="42">
        <v>24</v>
      </c>
      <c r="F183" s="42">
        <v>7</v>
      </c>
      <c r="G183" s="42">
        <v>3</v>
      </c>
      <c r="H183" s="38">
        <f t="shared" si="5"/>
        <v>0.42857142857142855</v>
      </c>
    </row>
    <row r="184" spans="1:8" x14ac:dyDescent="0.25">
      <c r="A184" s="265">
        <v>44034</v>
      </c>
      <c r="C184" s="42" t="s">
        <v>753</v>
      </c>
      <c r="D184" s="42">
        <v>23</v>
      </c>
      <c r="F184" s="42">
        <v>3</v>
      </c>
      <c r="G184" s="42">
        <v>2</v>
      </c>
      <c r="H184" s="38">
        <f t="shared" si="5"/>
        <v>0.66666666666666663</v>
      </c>
    </row>
    <row r="185" spans="1:8" x14ac:dyDescent="0.25">
      <c r="A185" s="265">
        <v>44035</v>
      </c>
      <c r="C185" s="42" t="s">
        <v>754</v>
      </c>
      <c r="D185" s="42">
        <v>23</v>
      </c>
      <c r="F185" s="42">
        <v>7</v>
      </c>
      <c r="G185" s="42">
        <v>4</v>
      </c>
      <c r="H185" s="38">
        <f t="shared" si="5"/>
        <v>0.5714285714285714</v>
      </c>
    </row>
    <row r="186" spans="1:8" x14ac:dyDescent="0.25">
      <c r="A186" s="265"/>
      <c r="H186" s="38"/>
    </row>
    <row r="187" spans="1:8" x14ac:dyDescent="0.25">
      <c r="A187" s="265"/>
      <c r="H187" s="38"/>
    </row>
    <row r="188" spans="1:8" x14ac:dyDescent="0.25">
      <c r="A188" s="265"/>
      <c r="H188" s="38"/>
    </row>
    <row r="189" spans="1:8" x14ac:dyDescent="0.25">
      <c r="A189" s="265"/>
      <c r="H189" s="38"/>
    </row>
    <row r="190" spans="1:8" x14ac:dyDescent="0.25">
      <c r="A190" s="265"/>
      <c r="H190" s="38"/>
    </row>
    <row r="191" spans="1:8" x14ac:dyDescent="0.25">
      <c r="A191" s="265"/>
      <c r="H191" s="38"/>
    </row>
    <row r="192" spans="1:8" x14ac:dyDescent="0.25">
      <c r="A192" s="265"/>
    </row>
    <row r="193" spans="1:1" x14ac:dyDescent="0.25">
      <c r="A193" s="265"/>
    </row>
    <row r="194" spans="1:1" x14ac:dyDescent="0.25">
      <c r="A194" s="265"/>
    </row>
    <row r="195" spans="1:1" x14ac:dyDescent="0.25">
      <c r="A195" s="265"/>
    </row>
    <row r="196" spans="1:1" x14ac:dyDescent="0.25">
      <c r="A196" s="265"/>
    </row>
    <row r="197" spans="1:1" x14ac:dyDescent="0.25">
      <c r="A197" s="265"/>
    </row>
    <row r="198" spans="1:1" x14ac:dyDescent="0.25">
      <c r="A198" s="265"/>
    </row>
    <row r="199" spans="1:1" x14ac:dyDescent="0.25">
      <c r="A199" s="265"/>
    </row>
    <row r="200" spans="1:1" x14ac:dyDescent="0.25">
      <c r="A200" s="265"/>
    </row>
    <row r="201" spans="1:1" x14ac:dyDescent="0.25">
      <c r="A201" s="265"/>
    </row>
    <row r="202" spans="1:1" x14ac:dyDescent="0.25">
      <c r="A202" s="265"/>
    </row>
    <row r="203" spans="1:1" x14ac:dyDescent="0.25">
      <c r="A203" s="265"/>
    </row>
    <row r="204" spans="1:1" x14ac:dyDescent="0.25">
      <c r="A204" s="265"/>
    </row>
    <row r="205" spans="1:1" x14ac:dyDescent="0.25">
      <c r="A205" s="265"/>
    </row>
    <row r="206" spans="1:1" x14ac:dyDescent="0.25">
      <c r="A206" s="265"/>
    </row>
    <row r="207" spans="1:1" x14ac:dyDescent="0.25">
      <c r="A207" s="265"/>
    </row>
    <row r="208" spans="1:1" x14ac:dyDescent="0.25">
      <c r="A208" s="265"/>
    </row>
    <row r="209" spans="1:1" x14ac:dyDescent="0.25">
      <c r="A209" s="265"/>
    </row>
    <row r="210" spans="1:1" x14ac:dyDescent="0.25">
      <c r="A210" s="265"/>
    </row>
    <row r="211" spans="1:1" x14ac:dyDescent="0.25">
      <c r="A211" s="265"/>
    </row>
    <row r="212" spans="1:1" x14ac:dyDescent="0.25">
      <c r="A212" s="265"/>
    </row>
    <row r="213" spans="1:1" x14ac:dyDescent="0.25">
      <c r="A213" s="265"/>
    </row>
    <row r="214" spans="1:1" x14ac:dyDescent="0.25">
      <c r="A214" s="265"/>
    </row>
    <row r="215" spans="1:1" x14ac:dyDescent="0.25">
      <c r="A215" s="265"/>
    </row>
    <row r="216" spans="1:1" x14ac:dyDescent="0.25">
      <c r="A216" s="265"/>
    </row>
    <row r="217" spans="1:1" x14ac:dyDescent="0.25">
      <c r="A217" s="265"/>
    </row>
    <row r="218" spans="1:1" x14ac:dyDescent="0.25">
      <c r="A218" s="265"/>
    </row>
    <row r="219" spans="1:1" x14ac:dyDescent="0.25">
      <c r="A219" s="265"/>
    </row>
    <row r="220" spans="1:1" x14ac:dyDescent="0.25">
      <c r="A220" s="265"/>
    </row>
    <row r="221" spans="1:1" x14ac:dyDescent="0.25">
      <c r="A221" s="265"/>
    </row>
    <row r="222" spans="1:1" x14ac:dyDescent="0.25">
      <c r="A222" s="265"/>
    </row>
    <row r="223" spans="1:1" x14ac:dyDescent="0.25">
      <c r="A223" s="265"/>
    </row>
    <row r="224" spans="1:1" x14ac:dyDescent="0.25">
      <c r="A224" s="265"/>
    </row>
    <row r="225" spans="1:1" x14ac:dyDescent="0.25">
      <c r="A225" s="265"/>
    </row>
    <row r="226" spans="1:1" x14ac:dyDescent="0.25">
      <c r="A226" s="265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68"/>
  <sheetViews>
    <sheetView topLeftCell="A37" zoomScale="90" workbookViewId="0">
      <selection activeCell="P59" sqref="P59"/>
    </sheetView>
  </sheetViews>
  <sheetFormatPr baseColWidth="10" defaultColWidth="10.7109375" defaultRowHeight="15" x14ac:dyDescent="0.25"/>
  <cols>
    <col min="1" max="1" width="30.5703125" customWidth="1"/>
    <col min="2" max="2" width="12.7109375" bestFit="1" customWidth="1"/>
    <col min="3" max="5" width="12.42578125" customWidth="1"/>
    <col min="6" max="6" width="12.7109375" bestFit="1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.7109375" bestFit="1" customWidth="1"/>
    <col min="17" max="17" width="12.42578125" customWidth="1"/>
    <col min="18" max="18" width="12.7109375" bestFit="1" customWidth="1"/>
    <col min="19" max="19" width="11.5703125" bestFit="1" customWidth="1"/>
    <col min="20" max="20" width="12.7109375" bestFit="1" customWidth="1"/>
    <col min="21" max="21" width="12.42578125" bestFit="1" customWidth="1"/>
    <col min="22" max="22" width="12.7109375" bestFit="1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196" t="s">
        <v>475</v>
      </c>
      <c r="N1" s="196" t="s">
        <v>476</v>
      </c>
      <c r="O1" s="196" t="s">
        <v>477</v>
      </c>
      <c r="P1" s="196" t="s">
        <v>478</v>
      </c>
      <c r="Q1" s="196" t="s">
        <v>479</v>
      </c>
      <c r="R1" s="196" t="s">
        <v>480</v>
      </c>
      <c r="S1" s="196" t="s">
        <v>481</v>
      </c>
      <c r="U1" s="196" t="s">
        <v>482</v>
      </c>
    </row>
    <row r="2" spans="1:36" x14ac:dyDescent="0.25">
      <c r="C2" s="197" t="s">
        <v>483</v>
      </c>
      <c r="D2" s="516" t="s">
        <v>484</v>
      </c>
      <c r="E2" s="516"/>
      <c r="F2" s="517" t="s">
        <v>485</v>
      </c>
      <c r="G2" s="517"/>
      <c r="H2" s="518" t="s">
        <v>486</v>
      </c>
      <c r="I2" s="518"/>
      <c r="K2" s="54"/>
      <c r="M2" s="198">
        <v>11</v>
      </c>
      <c r="N2" s="199">
        <v>14.98</v>
      </c>
      <c r="O2" s="199">
        <v>5.95</v>
      </c>
      <c r="P2" s="200">
        <f t="shared" ref="P2:P12" si="0">U2*0.97</f>
        <v>5.3253000000000004</v>
      </c>
      <c r="Q2" s="199">
        <v>0.68000000000000016</v>
      </c>
      <c r="R2" s="201">
        <v>27.09</v>
      </c>
      <c r="U2" s="199">
        <v>5.49</v>
      </c>
    </row>
    <row r="3" spans="1:36" x14ac:dyDescent="0.25">
      <c r="A3" s="202" t="s">
        <v>487</v>
      </c>
      <c r="B3" s="203">
        <f>B4+B5+B6+B7</f>
        <v>68746</v>
      </c>
      <c r="C3" s="204">
        <f>C4+C5+C6+C7</f>
        <v>73555</v>
      </c>
      <c r="D3" s="18" t="s">
        <v>488</v>
      </c>
      <c r="E3" s="18" t="s">
        <v>489</v>
      </c>
      <c r="F3" s="18" t="s">
        <v>488</v>
      </c>
      <c r="G3" s="18" t="s">
        <v>490</v>
      </c>
      <c r="H3" s="18" t="s">
        <v>488</v>
      </c>
      <c r="I3" s="205" t="s">
        <v>491</v>
      </c>
      <c r="J3" s="18" t="s">
        <v>492</v>
      </c>
      <c r="K3" s="18" t="s">
        <v>493</v>
      </c>
      <c r="M3" s="198">
        <v>10</v>
      </c>
      <c r="N3" s="206">
        <v>14.23</v>
      </c>
      <c r="O3" s="206">
        <v>5.59</v>
      </c>
      <c r="P3" s="200">
        <f t="shared" si="0"/>
        <v>4.9179000000000004</v>
      </c>
      <c r="Q3" s="206">
        <v>0.62</v>
      </c>
      <c r="R3" s="207">
        <v>25.52</v>
      </c>
      <c r="U3" s="206">
        <v>5.07</v>
      </c>
    </row>
    <row r="4" spans="1:36" x14ac:dyDescent="0.25">
      <c r="A4" s="202" t="s">
        <v>494</v>
      </c>
      <c r="B4" s="450">
        <v>39341</v>
      </c>
      <c r="C4" s="208">
        <v>41656</v>
      </c>
      <c r="D4" s="209">
        <v>45</v>
      </c>
      <c r="E4" s="210">
        <f>D4*(C4-B4)</f>
        <v>104175</v>
      </c>
      <c r="F4" s="211">
        <v>0.5</v>
      </c>
      <c r="G4" s="210">
        <f>(C4-B4)*F4</f>
        <v>1157.5</v>
      </c>
      <c r="H4" s="211">
        <v>7</v>
      </c>
      <c r="I4" s="212">
        <f>(C4-B4)*H4</f>
        <v>16205</v>
      </c>
      <c r="J4" s="210">
        <f>H4*C4</f>
        <v>291592</v>
      </c>
      <c r="K4" s="18">
        <f>B4*F4</f>
        <v>19670.5</v>
      </c>
      <c r="L4" s="27">
        <f>5000*N13*F4</f>
        <v>1382.4289405684756</v>
      </c>
      <c r="M4" s="198">
        <v>9</v>
      </c>
      <c r="N4" s="199">
        <v>13.49</v>
      </c>
      <c r="O4" s="199">
        <v>5.24</v>
      </c>
      <c r="P4" s="200">
        <f t="shared" si="0"/>
        <v>4.5202</v>
      </c>
      <c r="Q4" s="199">
        <v>0.56999999999999995</v>
      </c>
      <c r="R4" s="201">
        <v>23.95</v>
      </c>
      <c r="U4" s="199">
        <v>4.66</v>
      </c>
    </row>
    <row r="5" spans="1:36" x14ac:dyDescent="0.25">
      <c r="A5" s="202" t="s">
        <v>495</v>
      </c>
      <c r="B5" s="450">
        <v>15100</v>
      </c>
      <c r="C5" s="213">
        <v>16181</v>
      </c>
      <c r="D5" s="214">
        <v>75</v>
      </c>
      <c r="E5" s="210">
        <f>D5*(C5-B5)</f>
        <v>81075</v>
      </c>
      <c r="F5" s="215">
        <v>0.7</v>
      </c>
      <c r="G5" s="210">
        <f>(C5-B5)*F5</f>
        <v>756.69999999999993</v>
      </c>
      <c r="H5" s="215">
        <v>10</v>
      </c>
      <c r="I5" s="212">
        <f>(C5-B5)*H5</f>
        <v>10810</v>
      </c>
      <c r="J5" s="210">
        <f>H5*C5</f>
        <v>161810</v>
      </c>
      <c r="K5" s="18">
        <f>B5*F5</f>
        <v>10570</v>
      </c>
      <c r="L5" s="27">
        <f>5000*O13*F5</f>
        <v>768.73385012919903</v>
      </c>
      <c r="M5" s="198">
        <v>8</v>
      </c>
      <c r="N5" s="206">
        <v>12.74</v>
      </c>
      <c r="O5" s="206">
        <v>4.8899999999999997</v>
      </c>
      <c r="P5" s="200">
        <f t="shared" si="0"/>
        <v>4.1224999999999996</v>
      </c>
      <c r="Q5" s="206">
        <v>0.51</v>
      </c>
      <c r="R5" s="207">
        <v>22.39</v>
      </c>
      <c r="U5" s="206">
        <v>4.25</v>
      </c>
    </row>
    <row r="6" spans="1:36" x14ac:dyDescent="0.25">
      <c r="A6" s="202" t="s">
        <v>496</v>
      </c>
      <c r="B6" s="450">
        <v>12730</v>
      </c>
      <c r="C6" s="213">
        <v>13958</v>
      </c>
      <c r="D6" s="209">
        <v>90</v>
      </c>
      <c r="E6" s="210">
        <f>D6*(C6-B6)</f>
        <v>110520</v>
      </c>
      <c r="F6" s="211">
        <v>1</v>
      </c>
      <c r="G6" s="210">
        <f>(C6-B6)*F6</f>
        <v>1228</v>
      </c>
      <c r="H6" s="211">
        <v>19</v>
      </c>
      <c r="I6" s="212">
        <f>(C6-B6)*H6</f>
        <v>23332</v>
      </c>
      <c r="J6" s="210">
        <f>H6*C6</f>
        <v>265202</v>
      </c>
      <c r="K6" s="18">
        <f>B6*F6</f>
        <v>12730</v>
      </c>
      <c r="L6" s="27">
        <f>5000*P13*F6</f>
        <v>982.89036544850512</v>
      </c>
      <c r="M6" s="198">
        <v>7</v>
      </c>
      <c r="N6" s="199">
        <v>12</v>
      </c>
      <c r="O6" s="199">
        <v>4.53</v>
      </c>
      <c r="P6" s="200">
        <f t="shared" si="0"/>
        <v>3.7247999999999997</v>
      </c>
      <c r="Q6" s="199">
        <v>0.46000000000000008</v>
      </c>
      <c r="R6" s="201">
        <v>20.83</v>
      </c>
      <c r="U6" s="199">
        <v>3.84</v>
      </c>
    </row>
    <row r="7" spans="1:36" x14ac:dyDescent="0.25">
      <c r="A7" s="202" t="s">
        <v>497</v>
      </c>
      <c r="B7" s="450">
        <v>1575</v>
      </c>
      <c r="C7" s="216">
        <v>1760</v>
      </c>
      <c r="D7" s="214">
        <v>300</v>
      </c>
      <c r="E7" s="210">
        <f>D7*(C7-B7)</f>
        <v>55500</v>
      </c>
      <c r="F7" s="215">
        <v>2.5</v>
      </c>
      <c r="G7" s="210">
        <f>(C7-B7)*F7</f>
        <v>462.5</v>
      </c>
      <c r="H7" s="215">
        <v>35</v>
      </c>
      <c r="I7" s="212">
        <f>(C7-B7)*H7</f>
        <v>6475</v>
      </c>
      <c r="J7" s="210">
        <f>H7*C7</f>
        <v>61600</v>
      </c>
      <c r="K7" s="18">
        <f>B7*F7</f>
        <v>3937.5</v>
      </c>
      <c r="L7" s="27">
        <f>5000*Q13*F7</f>
        <v>313.76891842008126</v>
      </c>
      <c r="M7" s="198">
        <v>6</v>
      </c>
      <c r="N7" s="206">
        <v>11.26</v>
      </c>
      <c r="O7" s="206">
        <v>4.17</v>
      </c>
      <c r="P7" s="200">
        <f t="shared" si="0"/>
        <v>3.3367999999999998</v>
      </c>
      <c r="Q7" s="206">
        <v>0.41</v>
      </c>
      <c r="R7" s="207">
        <v>19.27</v>
      </c>
      <c r="U7" s="206">
        <v>3.44</v>
      </c>
    </row>
    <row r="8" spans="1:36" x14ac:dyDescent="0.25">
      <c r="C8" s="217">
        <f>C4/$C$3</f>
        <v>0.56632451906736458</v>
      </c>
      <c r="J8" s="210">
        <f>J7+J6+J5+J4</f>
        <v>780204</v>
      </c>
      <c r="K8" s="18">
        <f>K7+K6+K5+K4</f>
        <v>46908</v>
      </c>
      <c r="L8" s="18">
        <f>L7+L6+L5+L4</f>
        <v>3447.8220745662611</v>
      </c>
      <c r="M8" s="198">
        <v>5</v>
      </c>
      <c r="N8" s="199">
        <v>10.52</v>
      </c>
      <c r="O8" s="199">
        <v>3.81</v>
      </c>
      <c r="P8" s="200">
        <f t="shared" si="0"/>
        <v>2.9390999999999998</v>
      </c>
      <c r="Q8" s="199">
        <v>0.35</v>
      </c>
      <c r="R8" s="201">
        <v>17.719999999999995</v>
      </c>
      <c r="U8" s="199">
        <v>3.03</v>
      </c>
    </row>
    <row r="9" spans="1:36" x14ac:dyDescent="0.25">
      <c r="C9" s="218">
        <f>C5/$C$3</f>
        <v>0.21998504520426893</v>
      </c>
      <c r="E9" s="25">
        <f>C4-B4</f>
        <v>2315</v>
      </c>
      <c r="F9">
        <f>D4*C4</f>
        <v>1874520</v>
      </c>
      <c r="H9">
        <f>H10+H11+H12+H13</f>
        <v>73556.777600000001</v>
      </c>
      <c r="M9" s="198">
        <v>4</v>
      </c>
      <c r="N9" s="206">
        <v>9.8000000000000007</v>
      </c>
      <c r="O9" s="206">
        <v>3.46</v>
      </c>
      <c r="P9" s="200">
        <f t="shared" si="0"/>
        <v>2.5510999999999999</v>
      </c>
      <c r="Q9" s="206">
        <v>0.3</v>
      </c>
      <c r="R9" s="207">
        <v>16.170000000000002</v>
      </c>
      <c r="U9" s="206">
        <v>2.63</v>
      </c>
    </row>
    <row r="10" spans="1:36" x14ac:dyDescent="0.25">
      <c r="B10" s="219">
        <f>B11/B13</f>
        <v>2.7680128435795943E-2</v>
      </c>
      <c r="C10" s="218">
        <f>C6/$C$3</f>
        <v>0.18976276255862959</v>
      </c>
      <c r="E10" s="25">
        <f>C5-B5</f>
        <v>1081</v>
      </c>
      <c r="F10">
        <f t="shared" ref="F10:F12" si="1">D5*C5</f>
        <v>1213575</v>
      </c>
      <c r="H10">
        <v>41657.120000000003</v>
      </c>
      <c r="I10" s="58">
        <f>H10/$H$9</f>
        <v>0.56632605939496727</v>
      </c>
      <c r="M10" s="198">
        <v>3</v>
      </c>
      <c r="N10" s="199">
        <v>9.09</v>
      </c>
      <c r="O10" s="199">
        <v>3.1</v>
      </c>
      <c r="P10" s="200">
        <f t="shared" si="0"/>
        <v>2.1436999999999999</v>
      </c>
      <c r="Q10" s="199">
        <v>0.24</v>
      </c>
      <c r="R10" s="201">
        <v>14.63</v>
      </c>
      <c r="U10" s="199">
        <v>2.21</v>
      </c>
    </row>
    <row r="11" spans="1:36" x14ac:dyDescent="0.25">
      <c r="A11" s="189" t="s">
        <v>498</v>
      </c>
      <c r="B11" s="220">
        <v>10000</v>
      </c>
      <c r="C11" s="218">
        <f>C7/$C$3</f>
        <v>2.3927673169736933E-2</v>
      </c>
      <c r="E11" s="25">
        <f>C6-B6</f>
        <v>1228</v>
      </c>
      <c r="F11">
        <f t="shared" si="1"/>
        <v>1256220</v>
      </c>
      <c r="H11">
        <v>16181.12</v>
      </c>
      <c r="I11" s="58">
        <f>H11/$H$9</f>
        <v>0.21998136035801547</v>
      </c>
      <c r="M11" s="198">
        <v>2</v>
      </c>
      <c r="N11" s="206">
        <v>8.42</v>
      </c>
      <c r="O11" s="206">
        <v>2.73</v>
      </c>
      <c r="P11" s="200">
        <f t="shared" si="0"/>
        <v>1.7168999999999999</v>
      </c>
      <c r="Q11" s="206">
        <v>0.17999999999999997</v>
      </c>
      <c r="R11" s="207">
        <v>13.090000000000002</v>
      </c>
      <c r="U11" s="206">
        <v>1.77</v>
      </c>
    </row>
    <row r="12" spans="1:36" x14ac:dyDescent="0.25">
      <c r="A12" s="189" t="s">
        <v>499</v>
      </c>
      <c r="B12" s="221">
        <f>E7+E6+E5+E4</f>
        <v>351270</v>
      </c>
      <c r="E12" s="25">
        <f>C7-B7</f>
        <v>185</v>
      </c>
      <c r="F12">
        <f t="shared" si="1"/>
        <v>528000</v>
      </c>
      <c r="H12">
        <v>13958.3776</v>
      </c>
      <c r="I12" s="58">
        <f>H12/$H$9</f>
        <v>0.18976331013173692</v>
      </c>
      <c r="M12" s="198">
        <v>1</v>
      </c>
      <c r="N12" s="199">
        <v>7.8499999999999988</v>
      </c>
      <c r="O12" s="199">
        <v>2.34</v>
      </c>
      <c r="P12" s="200">
        <f t="shared" si="0"/>
        <v>1.1931</v>
      </c>
      <c r="Q12" s="199">
        <v>0.1</v>
      </c>
      <c r="R12" s="201">
        <v>11.53</v>
      </c>
      <c r="U12" s="199">
        <v>1.23</v>
      </c>
    </row>
    <row r="13" spans="1:36" x14ac:dyDescent="0.25">
      <c r="A13" s="222" t="s">
        <v>368</v>
      </c>
      <c r="B13" s="223">
        <f>B11+B12</f>
        <v>361270</v>
      </c>
      <c r="H13">
        <v>1760.1599999999999</v>
      </c>
      <c r="I13" s="58">
        <f>H13/$H$9</f>
        <v>2.3929270115280305E-2</v>
      </c>
      <c r="N13">
        <f>N2/R2</f>
        <v>0.55297157622739024</v>
      </c>
      <c r="O13">
        <f>O2/R2</f>
        <v>0.21963824289405687</v>
      </c>
      <c r="P13" s="200">
        <f>P2/R2</f>
        <v>0.19657807308970102</v>
      </c>
      <c r="Q13">
        <f>Q2/R2</f>
        <v>2.5101513473606504E-2</v>
      </c>
    </row>
    <row r="15" spans="1:36" x14ac:dyDescent="0.25">
      <c r="A15" s="43"/>
      <c r="B15" s="224" t="s">
        <v>322</v>
      </c>
      <c r="C15" s="224" t="s">
        <v>323</v>
      </c>
      <c r="D15" s="224" t="s">
        <v>324</v>
      </c>
      <c r="E15" s="224" t="s">
        <v>325</v>
      </c>
      <c r="F15" s="224" t="s">
        <v>326</v>
      </c>
      <c r="G15" s="224" t="s">
        <v>327</v>
      </c>
      <c r="H15" s="224" t="s">
        <v>328</v>
      </c>
      <c r="I15" s="224" t="s">
        <v>329</v>
      </c>
      <c r="J15" s="224" t="s">
        <v>330</v>
      </c>
      <c r="K15" s="224" t="s">
        <v>331</v>
      </c>
      <c r="L15" s="224" t="s">
        <v>332</v>
      </c>
      <c r="M15" s="224" t="s">
        <v>333</v>
      </c>
      <c r="N15" s="224" t="s">
        <v>334</v>
      </c>
      <c r="O15" s="224" t="s">
        <v>335</v>
      </c>
      <c r="P15" s="224" t="s">
        <v>336</v>
      </c>
      <c r="Q15" s="224" t="s">
        <v>337</v>
      </c>
      <c r="R15" s="224" t="s">
        <v>322</v>
      </c>
      <c r="S15" s="224" t="s">
        <v>323</v>
      </c>
      <c r="T15" s="224" t="s">
        <v>324</v>
      </c>
      <c r="U15" s="224" t="s">
        <v>325</v>
      </c>
      <c r="V15" s="224" t="s">
        <v>326</v>
      </c>
      <c r="W15" s="224" t="s">
        <v>327</v>
      </c>
      <c r="X15" s="224" t="s">
        <v>328</v>
      </c>
      <c r="Y15" s="224" t="s">
        <v>329</v>
      </c>
      <c r="Z15" s="224" t="s">
        <v>330</v>
      </c>
      <c r="AA15" s="224" t="s">
        <v>331</v>
      </c>
      <c r="AB15" s="224" t="s">
        <v>332</v>
      </c>
      <c r="AC15" s="224" t="s">
        <v>333</v>
      </c>
      <c r="AD15" s="224" t="s">
        <v>334</v>
      </c>
      <c r="AE15" s="224" t="s">
        <v>335</v>
      </c>
      <c r="AF15" s="224" t="s">
        <v>336</v>
      </c>
      <c r="AG15" s="224" t="s">
        <v>337</v>
      </c>
      <c r="AH15" s="224"/>
      <c r="AI15" s="224"/>
    </row>
    <row r="16" spans="1:36" x14ac:dyDescent="0.25">
      <c r="A16" s="225" t="s">
        <v>500</v>
      </c>
      <c r="B16" s="226">
        <v>3088</v>
      </c>
      <c r="C16" s="226">
        <f>B16</f>
        <v>3088</v>
      </c>
      <c r="D16" s="226">
        <f t="shared" ref="D16:AJ16" si="2">C16</f>
        <v>3088</v>
      </c>
      <c r="E16" s="226">
        <f t="shared" si="2"/>
        <v>3088</v>
      </c>
      <c r="F16" s="226">
        <f t="shared" si="2"/>
        <v>3088</v>
      </c>
      <c r="G16" s="226">
        <f t="shared" si="2"/>
        <v>3088</v>
      </c>
      <c r="H16" s="226">
        <f t="shared" si="2"/>
        <v>3088</v>
      </c>
      <c r="I16" s="226">
        <f t="shared" si="2"/>
        <v>3088</v>
      </c>
      <c r="J16" s="226">
        <f t="shared" si="2"/>
        <v>3088</v>
      </c>
      <c r="K16" s="226">
        <f t="shared" si="2"/>
        <v>3088</v>
      </c>
      <c r="L16" s="226">
        <f t="shared" si="2"/>
        <v>3088</v>
      </c>
      <c r="M16" s="226">
        <f t="shared" si="2"/>
        <v>3088</v>
      </c>
      <c r="N16" s="226">
        <f t="shared" si="2"/>
        <v>3088</v>
      </c>
      <c r="O16" s="226">
        <f t="shared" si="2"/>
        <v>3088</v>
      </c>
      <c r="P16" s="226">
        <f t="shared" si="2"/>
        <v>3088</v>
      </c>
      <c r="Q16" s="226">
        <f t="shared" si="2"/>
        <v>3088</v>
      </c>
      <c r="R16" s="226">
        <f t="shared" si="2"/>
        <v>3088</v>
      </c>
      <c r="S16" s="226">
        <f t="shared" si="2"/>
        <v>3088</v>
      </c>
      <c r="T16" s="226">
        <f t="shared" si="2"/>
        <v>3088</v>
      </c>
      <c r="U16" s="226">
        <f t="shared" si="2"/>
        <v>3088</v>
      </c>
      <c r="V16" s="226">
        <f t="shared" si="2"/>
        <v>3088</v>
      </c>
      <c r="W16" s="226">
        <f t="shared" si="2"/>
        <v>3088</v>
      </c>
      <c r="X16" s="226">
        <f t="shared" si="2"/>
        <v>3088</v>
      </c>
      <c r="Y16" s="226">
        <f t="shared" si="2"/>
        <v>3088</v>
      </c>
      <c r="Z16" s="226">
        <f t="shared" si="2"/>
        <v>3088</v>
      </c>
      <c r="AA16" s="226">
        <f t="shared" si="2"/>
        <v>3088</v>
      </c>
      <c r="AB16" s="226">
        <f t="shared" si="2"/>
        <v>3088</v>
      </c>
      <c r="AC16" s="226">
        <f t="shared" si="2"/>
        <v>3088</v>
      </c>
      <c r="AD16" s="226">
        <f t="shared" si="2"/>
        <v>3088</v>
      </c>
      <c r="AE16" s="226">
        <f t="shared" si="2"/>
        <v>3088</v>
      </c>
      <c r="AF16" s="226">
        <f t="shared" si="2"/>
        <v>3088</v>
      </c>
      <c r="AG16" s="226">
        <f t="shared" si="2"/>
        <v>3088</v>
      </c>
      <c r="AH16" s="226">
        <f t="shared" si="2"/>
        <v>3088</v>
      </c>
      <c r="AI16" s="226">
        <f t="shared" si="2"/>
        <v>3088</v>
      </c>
      <c r="AJ16" s="226">
        <f t="shared" si="2"/>
        <v>3088</v>
      </c>
    </row>
    <row r="17" spans="1:48" s="41" customFormat="1" x14ac:dyDescent="0.25">
      <c r="A17" s="236"/>
      <c r="B17" s="237">
        <f t="shared" ref="B17:AD17" si="3">B18+B19+B20+B21</f>
        <v>73556.777600000001</v>
      </c>
      <c r="C17" s="237">
        <f t="shared" si="3"/>
        <v>73556.777600000001</v>
      </c>
      <c r="D17" s="237">
        <f t="shared" si="3"/>
        <v>73556.777600000001</v>
      </c>
      <c r="E17" s="237">
        <f t="shared" si="3"/>
        <v>73556.777600000001</v>
      </c>
      <c r="F17" s="237">
        <f t="shared" si="3"/>
        <v>73556.777600000001</v>
      </c>
      <c r="G17" s="237">
        <f t="shared" si="3"/>
        <v>73556.777600000001</v>
      </c>
      <c r="H17" s="237">
        <f t="shared" si="3"/>
        <v>73556.777600000001</v>
      </c>
      <c r="I17" s="237">
        <f t="shared" si="3"/>
        <v>73556.777600000001</v>
      </c>
      <c r="J17" s="237">
        <f t="shared" si="3"/>
        <v>73556.777600000001</v>
      </c>
      <c r="K17" s="237">
        <f t="shared" si="3"/>
        <v>73556.777600000001</v>
      </c>
      <c r="L17" s="237">
        <f t="shared" si="3"/>
        <v>73556.777600000001</v>
      </c>
      <c r="M17" s="237">
        <f t="shared" si="3"/>
        <v>73556.777600000001</v>
      </c>
      <c r="N17" s="237">
        <f t="shared" si="3"/>
        <v>73556.777600000001</v>
      </c>
      <c r="O17" s="237">
        <f t="shared" si="3"/>
        <v>73556.777600000001</v>
      </c>
      <c r="P17" s="237">
        <f t="shared" si="3"/>
        <v>73556.777600000001</v>
      </c>
      <c r="Q17" s="237">
        <f t="shared" si="3"/>
        <v>73556.777600000001</v>
      </c>
      <c r="R17" s="237">
        <f t="shared" si="3"/>
        <v>68746.600000000006</v>
      </c>
      <c r="S17" s="237">
        <f t="shared" si="3"/>
        <v>68746.600000000006</v>
      </c>
      <c r="T17" s="237">
        <f t="shared" si="3"/>
        <v>68746.600000000006</v>
      </c>
      <c r="U17" s="237">
        <f t="shared" si="3"/>
        <v>68746.600000000006</v>
      </c>
      <c r="V17" s="237">
        <f t="shared" si="3"/>
        <v>68746.600000000006</v>
      </c>
      <c r="W17" s="237">
        <f t="shared" si="3"/>
        <v>68746.600000000006</v>
      </c>
      <c r="X17" s="237">
        <f t="shared" si="3"/>
        <v>68746.600000000006</v>
      </c>
      <c r="Y17" s="237">
        <f t="shared" si="3"/>
        <v>68746.600000000006</v>
      </c>
      <c r="Z17" s="237">
        <f t="shared" si="3"/>
        <v>68746.600000000006</v>
      </c>
      <c r="AA17" s="237">
        <f t="shared" si="3"/>
        <v>68746.600000000006</v>
      </c>
      <c r="AB17" s="237">
        <f t="shared" si="3"/>
        <v>68746.600000000006</v>
      </c>
      <c r="AC17" s="237">
        <f t="shared" si="3"/>
        <v>68746.600000000006</v>
      </c>
      <c r="AD17" s="237">
        <f t="shared" si="3"/>
        <v>68746.600000000006</v>
      </c>
      <c r="AE17" s="237"/>
      <c r="AF17" s="237"/>
      <c r="AG17" s="237"/>
      <c r="AH17" s="237"/>
      <c r="AI17" s="237"/>
    </row>
    <row r="18" spans="1:48" x14ac:dyDescent="0.25">
      <c r="A18" s="227" t="s">
        <v>501</v>
      </c>
      <c r="B18" s="228">
        <f>B16*$N$4</f>
        <v>41657.120000000003</v>
      </c>
      <c r="C18" s="228">
        <f t="shared" ref="C18:Q18" si="4">C16*$N$4</f>
        <v>41657.120000000003</v>
      </c>
      <c r="D18" s="228">
        <f t="shared" si="4"/>
        <v>41657.120000000003</v>
      </c>
      <c r="E18" s="228">
        <f t="shared" si="4"/>
        <v>41657.120000000003</v>
      </c>
      <c r="F18" s="228">
        <f t="shared" si="4"/>
        <v>41657.120000000003</v>
      </c>
      <c r="G18" s="228">
        <f t="shared" si="4"/>
        <v>41657.120000000003</v>
      </c>
      <c r="H18" s="228">
        <f t="shared" si="4"/>
        <v>41657.120000000003</v>
      </c>
      <c r="I18" s="228">
        <f t="shared" si="4"/>
        <v>41657.120000000003</v>
      </c>
      <c r="J18" s="228">
        <f t="shared" si="4"/>
        <v>41657.120000000003</v>
      </c>
      <c r="K18" s="228">
        <f t="shared" si="4"/>
        <v>41657.120000000003</v>
      </c>
      <c r="L18" s="228">
        <f t="shared" si="4"/>
        <v>41657.120000000003</v>
      </c>
      <c r="M18" s="228">
        <f t="shared" si="4"/>
        <v>41657.120000000003</v>
      </c>
      <c r="N18" s="228">
        <f t="shared" si="4"/>
        <v>41657.120000000003</v>
      </c>
      <c r="O18" s="228">
        <f t="shared" si="4"/>
        <v>41657.120000000003</v>
      </c>
      <c r="P18" s="228">
        <f t="shared" si="4"/>
        <v>41657.120000000003</v>
      </c>
      <c r="Q18" s="228">
        <f t="shared" si="4"/>
        <v>41657.120000000003</v>
      </c>
      <c r="R18" s="228">
        <f t="shared" ref="R18:AK18" si="5">R16*$N$5</f>
        <v>39341.120000000003</v>
      </c>
      <c r="S18" s="228">
        <f t="shared" si="5"/>
        <v>39341.120000000003</v>
      </c>
      <c r="T18" s="228">
        <f t="shared" si="5"/>
        <v>39341.120000000003</v>
      </c>
      <c r="U18" s="228">
        <f t="shared" si="5"/>
        <v>39341.120000000003</v>
      </c>
      <c r="V18" s="228">
        <f t="shared" si="5"/>
        <v>39341.120000000003</v>
      </c>
      <c r="W18" s="228">
        <f t="shared" si="5"/>
        <v>39341.120000000003</v>
      </c>
      <c r="X18" s="228">
        <f t="shared" si="5"/>
        <v>39341.120000000003</v>
      </c>
      <c r="Y18" s="228">
        <f t="shared" si="5"/>
        <v>39341.120000000003</v>
      </c>
      <c r="Z18" s="228">
        <f t="shared" si="5"/>
        <v>39341.120000000003</v>
      </c>
      <c r="AA18" s="228">
        <f t="shared" si="5"/>
        <v>39341.120000000003</v>
      </c>
      <c r="AB18" s="228">
        <f t="shared" si="5"/>
        <v>39341.120000000003</v>
      </c>
      <c r="AC18" s="228">
        <f t="shared" si="5"/>
        <v>39341.120000000003</v>
      </c>
      <c r="AD18" s="228">
        <f t="shared" si="5"/>
        <v>39341.120000000003</v>
      </c>
      <c r="AE18" s="228">
        <f t="shared" si="5"/>
        <v>39341.120000000003</v>
      </c>
      <c r="AF18" s="228">
        <f t="shared" si="5"/>
        <v>39341.120000000003</v>
      </c>
      <c r="AG18" s="228">
        <f t="shared" si="5"/>
        <v>39341.120000000003</v>
      </c>
      <c r="AH18" s="228">
        <f t="shared" si="5"/>
        <v>39341.120000000003</v>
      </c>
      <c r="AI18" s="228">
        <f t="shared" si="5"/>
        <v>39341.120000000003</v>
      </c>
      <c r="AJ18" s="228">
        <f t="shared" si="5"/>
        <v>39341.120000000003</v>
      </c>
      <c r="AK18" s="228">
        <f t="shared" si="5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227" t="s">
        <v>502</v>
      </c>
      <c r="B19" s="228">
        <f>B16*$O$4</f>
        <v>16181.12</v>
      </c>
      <c r="C19" s="228">
        <f t="shared" ref="C19:Q19" si="6">C16*$O$4</f>
        <v>16181.12</v>
      </c>
      <c r="D19" s="228">
        <f t="shared" si="6"/>
        <v>16181.12</v>
      </c>
      <c r="E19" s="228">
        <f t="shared" si="6"/>
        <v>16181.12</v>
      </c>
      <c r="F19" s="228">
        <f t="shared" si="6"/>
        <v>16181.12</v>
      </c>
      <c r="G19" s="228">
        <f t="shared" si="6"/>
        <v>16181.12</v>
      </c>
      <c r="H19" s="228">
        <f t="shared" si="6"/>
        <v>16181.12</v>
      </c>
      <c r="I19" s="228">
        <f t="shared" si="6"/>
        <v>16181.12</v>
      </c>
      <c r="J19" s="228">
        <f t="shared" si="6"/>
        <v>16181.12</v>
      </c>
      <c r="K19" s="228">
        <f t="shared" si="6"/>
        <v>16181.12</v>
      </c>
      <c r="L19" s="228">
        <f t="shared" si="6"/>
        <v>16181.12</v>
      </c>
      <c r="M19" s="228">
        <f t="shared" si="6"/>
        <v>16181.12</v>
      </c>
      <c r="N19" s="228">
        <f t="shared" si="6"/>
        <v>16181.12</v>
      </c>
      <c r="O19" s="228">
        <f t="shared" si="6"/>
        <v>16181.12</v>
      </c>
      <c r="P19" s="228">
        <f t="shared" si="6"/>
        <v>16181.12</v>
      </c>
      <c r="Q19" s="228">
        <f t="shared" si="6"/>
        <v>16181.12</v>
      </c>
      <c r="R19" s="228">
        <f t="shared" ref="R19:AK19" si="7">R16*$O$5</f>
        <v>15100.32</v>
      </c>
      <c r="S19" s="228">
        <f t="shared" si="7"/>
        <v>15100.32</v>
      </c>
      <c r="T19" s="228">
        <f t="shared" si="7"/>
        <v>15100.32</v>
      </c>
      <c r="U19" s="228">
        <f t="shared" si="7"/>
        <v>15100.32</v>
      </c>
      <c r="V19" s="228">
        <f t="shared" si="7"/>
        <v>15100.32</v>
      </c>
      <c r="W19" s="228">
        <f t="shared" si="7"/>
        <v>15100.32</v>
      </c>
      <c r="X19" s="228">
        <f t="shared" si="7"/>
        <v>15100.32</v>
      </c>
      <c r="Y19" s="228">
        <f t="shared" si="7"/>
        <v>15100.32</v>
      </c>
      <c r="Z19" s="228">
        <f t="shared" si="7"/>
        <v>15100.32</v>
      </c>
      <c r="AA19" s="228">
        <f t="shared" si="7"/>
        <v>15100.32</v>
      </c>
      <c r="AB19" s="228">
        <f t="shared" si="7"/>
        <v>15100.32</v>
      </c>
      <c r="AC19" s="228">
        <f t="shared" si="7"/>
        <v>15100.32</v>
      </c>
      <c r="AD19" s="228">
        <f t="shared" si="7"/>
        <v>15100.32</v>
      </c>
      <c r="AE19" s="228">
        <f t="shared" si="7"/>
        <v>15100.32</v>
      </c>
      <c r="AF19" s="228">
        <f t="shared" si="7"/>
        <v>15100.32</v>
      </c>
      <c r="AG19" s="228">
        <f t="shared" si="7"/>
        <v>15100.32</v>
      </c>
      <c r="AH19" s="228">
        <f t="shared" si="7"/>
        <v>15100.32</v>
      </c>
      <c r="AI19" s="228">
        <f t="shared" si="7"/>
        <v>15100.32</v>
      </c>
      <c r="AJ19" s="228">
        <f t="shared" si="7"/>
        <v>15100.32</v>
      </c>
      <c r="AK19" s="228">
        <f t="shared" si="7"/>
        <v>0</v>
      </c>
    </row>
    <row r="20" spans="1:48" x14ac:dyDescent="0.25">
      <c r="A20" s="227" t="s">
        <v>503</v>
      </c>
      <c r="B20" s="228">
        <f>B16*$P$4</f>
        <v>13958.3776</v>
      </c>
      <c r="C20" s="228">
        <f t="shared" ref="C20:Q20" si="8">C16*$P$4</f>
        <v>13958.3776</v>
      </c>
      <c r="D20" s="228">
        <f t="shared" si="8"/>
        <v>13958.3776</v>
      </c>
      <c r="E20" s="228">
        <f t="shared" si="8"/>
        <v>13958.3776</v>
      </c>
      <c r="F20" s="228">
        <f t="shared" si="8"/>
        <v>13958.3776</v>
      </c>
      <c r="G20" s="228">
        <f t="shared" si="8"/>
        <v>13958.3776</v>
      </c>
      <c r="H20" s="228">
        <f t="shared" si="8"/>
        <v>13958.3776</v>
      </c>
      <c r="I20" s="228">
        <f t="shared" si="8"/>
        <v>13958.3776</v>
      </c>
      <c r="J20" s="228">
        <f t="shared" si="8"/>
        <v>13958.3776</v>
      </c>
      <c r="K20" s="228">
        <f t="shared" si="8"/>
        <v>13958.3776</v>
      </c>
      <c r="L20" s="228">
        <f t="shared" si="8"/>
        <v>13958.3776</v>
      </c>
      <c r="M20" s="228">
        <f t="shared" si="8"/>
        <v>13958.3776</v>
      </c>
      <c r="N20" s="228">
        <f t="shared" si="8"/>
        <v>13958.3776</v>
      </c>
      <c r="O20" s="228">
        <f t="shared" si="8"/>
        <v>13958.3776</v>
      </c>
      <c r="P20" s="228">
        <f t="shared" si="8"/>
        <v>13958.3776</v>
      </c>
      <c r="Q20" s="228">
        <f t="shared" si="8"/>
        <v>13958.3776</v>
      </c>
      <c r="R20" s="228">
        <f t="shared" ref="R20:AK20" si="9">R16*$P$5</f>
        <v>12730.279999999999</v>
      </c>
      <c r="S20" s="228">
        <f t="shared" si="9"/>
        <v>12730.279999999999</v>
      </c>
      <c r="T20" s="228">
        <f t="shared" si="9"/>
        <v>12730.279999999999</v>
      </c>
      <c r="U20" s="228">
        <f t="shared" si="9"/>
        <v>12730.279999999999</v>
      </c>
      <c r="V20" s="228">
        <f t="shared" si="9"/>
        <v>12730.279999999999</v>
      </c>
      <c r="W20" s="228">
        <f t="shared" si="9"/>
        <v>12730.279999999999</v>
      </c>
      <c r="X20" s="228">
        <f t="shared" si="9"/>
        <v>12730.279999999999</v>
      </c>
      <c r="Y20" s="228">
        <f t="shared" si="9"/>
        <v>12730.279999999999</v>
      </c>
      <c r="Z20" s="228">
        <f t="shared" si="9"/>
        <v>12730.279999999999</v>
      </c>
      <c r="AA20" s="228">
        <f t="shared" si="9"/>
        <v>12730.279999999999</v>
      </c>
      <c r="AB20" s="228">
        <f t="shared" si="9"/>
        <v>12730.279999999999</v>
      </c>
      <c r="AC20" s="228">
        <f t="shared" si="9"/>
        <v>12730.279999999999</v>
      </c>
      <c r="AD20" s="228">
        <f t="shared" si="9"/>
        <v>12730.279999999999</v>
      </c>
      <c r="AE20" s="228">
        <f t="shared" si="9"/>
        <v>12730.279999999999</v>
      </c>
      <c r="AF20" s="228">
        <f t="shared" si="9"/>
        <v>12730.279999999999</v>
      </c>
      <c r="AG20" s="228">
        <f t="shared" si="9"/>
        <v>12730.279999999999</v>
      </c>
      <c r="AH20" s="228">
        <f t="shared" si="9"/>
        <v>12730.279999999999</v>
      </c>
      <c r="AI20" s="228">
        <f t="shared" si="9"/>
        <v>12730.279999999999</v>
      </c>
      <c r="AJ20" s="228">
        <f t="shared" si="9"/>
        <v>12730.279999999999</v>
      </c>
      <c r="AK20" s="228">
        <f t="shared" si="9"/>
        <v>0</v>
      </c>
    </row>
    <row r="21" spans="1:48" x14ac:dyDescent="0.25">
      <c r="A21" s="227" t="s">
        <v>504</v>
      </c>
      <c r="B21" s="228">
        <f>B16*$Q$4</f>
        <v>1760.1599999999999</v>
      </c>
      <c r="C21" s="228">
        <f t="shared" ref="C21:Q21" si="10">C16*$Q$4</f>
        <v>1760.1599999999999</v>
      </c>
      <c r="D21" s="228">
        <f t="shared" si="10"/>
        <v>1760.1599999999999</v>
      </c>
      <c r="E21" s="228">
        <f t="shared" si="10"/>
        <v>1760.1599999999999</v>
      </c>
      <c r="F21" s="228">
        <f t="shared" si="10"/>
        <v>1760.1599999999999</v>
      </c>
      <c r="G21" s="228">
        <f t="shared" si="10"/>
        <v>1760.1599999999999</v>
      </c>
      <c r="H21" s="228">
        <f t="shared" si="10"/>
        <v>1760.1599999999999</v>
      </c>
      <c r="I21" s="228">
        <f t="shared" si="10"/>
        <v>1760.1599999999999</v>
      </c>
      <c r="J21" s="228">
        <f t="shared" si="10"/>
        <v>1760.1599999999999</v>
      </c>
      <c r="K21" s="228">
        <f t="shared" si="10"/>
        <v>1760.1599999999999</v>
      </c>
      <c r="L21" s="228">
        <f t="shared" si="10"/>
        <v>1760.1599999999999</v>
      </c>
      <c r="M21" s="228">
        <f t="shared" si="10"/>
        <v>1760.1599999999999</v>
      </c>
      <c r="N21" s="228">
        <f t="shared" si="10"/>
        <v>1760.1599999999999</v>
      </c>
      <c r="O21" s="228">
        <f t="shared" si="10"/>
        <v>1760.1599999999999</v>
      </c>
      <c r="P21" s="228">
        <f t="shared" si="10"/>
        <v>1760.1599999999999</v>
      </c>
      <c r="Q21" s="228">
        <f t="shared" si="10"/>
        <v>1760.1599999999999</v>
      </c>
      <c r="R21" s="228">
        <f t="shared" ref="R21:AK21" si="11">R16*$Q$5</f>
        <v>1574.88</v>
      </c>
      <c r="S21" s="228">
        <f t="shared" si="11"/>
        <v>1574.88</v>
      </c>
      <c r="T21" s="228">
        <f t="shared" si="11"/>
        <v>1574.88</v>
      </c>
      <c r="U21" s="228">
        <f t="shared" si="11"/>
        <v>1574.88</v>
      </c>
      <c r="V21" s="228">
        <f t="shared" si="11"/>
        <v>1574.88</v>
      </c>
      <c r="W21" s="228">
        <f t="shared" si="11"/>
        <v>1574.88</v>
      </c>
      <c r="X21" s="228">
        <f t="shared" si="11"/>
        <v>1574.88</v>
      </c>
      <c r="Y21" s="228">
        <f t="shared" si="11"/>
        <v>1574.88</v>
      </c>
      <c r="Z21" s="228">
        <f t="shared" si="11"/>
        <v>1574.88</v>
      </c>
      <c r="AA21" s="228">
        <f t="shared" si="11"/>
        <v>1574.88</v>
      </c>
      <c r="AB21" s="228">
        <f t="shared" si="11"/>
        <v>1574.88</v>
      </c>
      <c r="AC21" s="228">
        <f t="shared" si="11"/>
        <v>1574.88</v>
      </c>
      <c r="AD21" s="228">
        <f t="shared" si="11"/>
        <v>1574.88</v>
      </c>
      <c r="AE21" s="228">
        <f t="shared" si="11"/>
        <v>1574.88</v>
      </c>
      <c r="AF21" s="228">
        <f t="shared" si="11"/>
        <v>1574.88</v>
      </c>
      <c r="AG21" s="228">
        <f t="shared" si="11"/>
        <v>1574.88</v>
      </c>
      <c r="AH21" s="228">
        <f t="shared" si="11"/>
        <v>1574.88</v>
      </c>
      <c r="AI21" s="228">
        <f t="shared" si="11"/>
        <v>1574.88</v>
      </c>
      <c r="AJ21" s="228">
        <f t="shared" si="11"/>
        <v>1574.88</v>
      </c>
      <c r="AK21" s="228">
        <f t="shared" si="11"/>
        <v>0</v>
      </c>
    </row>
    <row r="22" spans="1:48" x14ac:dyDescent="0.25">
      <c r="A22" s="227" t="s">
        <v>505</v>
      </c>
      <c r="B22" s="228">
        <f t="shared" ref="B22:AD22" si="12">MIN(B$18,$C$4)</f>
        <v>41656</v>
      </c>
      <c r="C22" s="228">
        <f t="shared" si="12"/>
        <v>41656</v>
      </c>
      <c r="D22" s="228">
        <f t="shared" si="12"/>
        <v>41656</v>
      </c>
      <c r="E22" s="228">
        <f t="shared" si="12"/>
        <v>41656</v>
      </c>
      <c r="F22" s="228">
        <f t="shared" si="12"/>
        <v>41656</v>
      </c>
      <c r="G22" s="228">
        <f t="shared" si="12"/>
        <v>41656</v>
      </c>
      <c r="H22" s="228">
        <f t="shared" si="12"/>
        <v>41656</v>
      </c>
      <c r="I22" s="228">
        <f t="shared" si="12"/>
        <v>41656</v>
      </c>
      <c r="J22" s="228">
        <f t="shared" si="12"/>
        <v>41656</v>
      </c>
      <c r="K22" s="228">
        <f t="shared" si="12"/>
        <v>41656</v>
      </c>
      <c r="L22" s="228">
        <f t="shared" si="12"/>
        <v>41656</v>
      </c>
      <c r="M22" s="228">
        <f t="shared" si="12"/>
        <v>41656</v>
      </c>
      <c r="N22" s="228">
        <f t="shared" si="12"/>
        <v>41656</v>
      </c>
      <c r="O22" s="228">
        <f t="shared" si="12"/>
        <v>41656</v>
      </c>
      <c r="P22" s="228">
        <f t="shared" si="12"/>
        <v>41656</v>
      </c>
      <c r="Q22" s="228">
        <f t="shared" si="12"/>
        <v>41656</v>
      </c>
      <c r="R22" s="228">
        <f t="shared" si="12"/>
        <v>39341.120000000003</v>
      </c>
      <c r="S22" s="228">
        <f t="shared" si="12"/>
        <v>39341.120000000003</v>
      </c>
      <c r="T22" s="228">
        <f t="shared" si="12"/>
        <v>39341.120000000003</v>
      </c>
      <c r="U22" s="228">
        <f t="shared" si="12"/>
        <v>39341.120000000003</v>
      </c>
      <c r="V22" s="228">
        <f t="shared" si="12"/>
        <v>39341.120000000003</v>
      </c>
      <c r="W22" s="228">
        <f t="shared" si="12"/>
        <v>39341.120000000003</v>
      </c>
      <c r="X22" s="228">
        <f t="shared" si="12"/>
        <v>39341.120000000003</v>
      </c>
      <c r="Y22" s="228">
        <f t="shared" si="12"/>
        <v>39341.120000000003</v>
      </c>
      <c r="Z22" s="228">
        <f t="shared" si="12"/>
        <v>39341.120000000003</v>
      </c>
      <c r="AA22" s="228">
        <f t="shared" si="12"/>
        <v>39341.120000000003</v>
      </c>
      <c r="AB22" s="228">
        <f t="shared" si="12"/>
        <v>39341.120000000003</v>
      </c>
      <c r="AC22" s="228">
        <f t="shared" si="12"/>
        <v>39341.120000000003</v>
      </c>
      <c r="AD22" s="228">
        <f t="shared" si="12"/>
        <v>39341.120000000003</v>
      </c>
      <c r="AE22" s="228"/>
      <c r="AF22" s="228"/>
      <c r="AG22" s="228"/>
      <c r="AH22" s="228"/>
      <c r="AI22" s="228"/>
    </row>
    <row r="23" spans="1:48" x14ac:dyDescent="0.25">
      <c r="A23" s="227" t="s">
        <v>506</v>
      </c>
      <c r="B23" s="228">
        <f t="shared" ref="B23:AD23" si="13">MIN(B$19,$C$5)</f>
        <v>16181</v>
      </c>
      <c r="C23" s="228">
        <f t="shared" si="13"/>
        <v>16181</v>
      </c>
      <c r="D23" s="228">
        <f t="shared" si="13"/>
        <v>16181</v>
      </c>
      <c r="E23" s="228">
        <f t="shared" si="13"/>
        <v>16181</v>
      </c>
      <c r="F23" s="228">
        <f t="shared" si="13"/>
        <v>16181</v>
      </c>
      <c r="G23" s="228">
        <f t="shared" si="13"/>
        <v>16181</v>
      </c>
      <c r="H23" s="228">
        <f t="shared" si="13"/>
        <v>16181</v>
      </c>
      <c r="I23" s="228">
        <f t="shared" si="13"/>
        <v>16181</v>
      </c>
      <c r="J23" s="228">
        <f t="shared" si="13"/>
        <v>16181</v>
      </c>
      <c r="K23" s="228">
        <f t="shared" si="13"/>
        <v>16181</v>
      </c>
      <c r="L23" s="228">
        <f t="shared" si="13"/>
        <v>16181</v>
      </c>
      <c r="M23" s="228">
        <f t="shared" si="13"/>
        <v>16181</v>
      </c>
      <c r="N23" s="228">
        <f t="shared" si="13"/>
        <v>16181</v>
      </c>
      <c r="O23" s="228">
        <f t="shared" si="13"/>
        <v>16181</v>
      </c>
      <c r="P23" s="228">
        <f t="shared" si="13"/>
        <v>16181</v>
      </c>
      <c r="Q23" s="228">
        <f t="shared" si="13"/>
        <v>16181</v>
      </c>
      <c r="R23" s="228">
        <f t="shared" si="13"/>
        <v>15100.32</v>
      </c>
      <c r="S23" s="228">
        <f t="shared" si="13"/>
        <v>15100.32</v>
      </c>
      <c r="T23" s="228">
        <f t="shared" si="13"/>
        <v>15100.32</v>
      </c>
      <c r="U23" s="228">
        <f t="shared" si="13"/>
        <v>15100.32</v>
      </c>
      <c r="V23" s="228">
        <f t="shared" si="13"/>
        <v>15100.32</v>
      </c>
      <c r="W23" s="228">
        <f t="shared" si="13"/>
        <v>15100.32</v>
      </c>
      <c r="X23" s="228">
        <f t="shared" si="13"/>
        <v>15100.32</v>
      </c>
      <c r="Y23" s="228">
        <f t="shared" si="13"/>
        <v>15100.32</v>
      </c>
      <c r="Z23" s="228">
        <f t="shared" si="13"/>
        <v>15100.32</v>
      </c>
      <c r="AA23" s="228">
        <f t="shared" si="13"/>
        <v>15100.32</v>
      </c>
      <c r="AB23" s="228">
        <f t="shared" si="13"/>
        <v>15100.32</v>
      </c>
      <c r="AC23" s="228">
        <f t="shared" si="13"/>
        <v>15100.32</v>
      </c>
      <c r="AD23" s="228">
        <f t="shared" si="13"/>
        <v>15100.32</v>
      </c>
      <c r="AE23" s="228"/>
      <c r="AF23" s="228"/>
      <c r="AG23" s="228"/>
      <c r="AH23" s="228"/>
      <c r="AI23" s="228"/>
    </row>
    <row r="24" spans="1:48" x14ac:dyDescent="0.25">
      <c r="A24" s="227" t="s">
        <v>507</v>
      </c>
      <c r="B24" s="228">
        <f t="shared" ref="B24:AD24" si="14">MIN(B$20,$C$6)</f>
        <v>13958</v>
      </c>
      <c r="C24" s="228">
        <f t="shared" si="14"/>
        <v>13958</v>
      </c>
      <c r="D24" s="228">
        <f t="shared" si="14"/>
        <v>13958</v>
      </c>
      <c r="E24" s="228">
        <f t="shared" si="14"/>
        <v>13958</v>
      </c>
      <c r="F24" s="228">
        <f t="shared" si="14"/>
        <v>13958</v>
      </c>
      <c r="G24" s="228">
        <f t="shared" si="14"/>
        <v>13958</v>
      </c>
      <c r="H24" s="228">
        <f t="shared" si="14"/>
        <v>13958</v>
      </c>
      <c r="I24" s="228">
        <f t="shared" si="14"/>
        <v>13958</v>
      </c>
      <c r="J24" s="228">
        <f t="shared" si="14"/>
        <v>13958</v>
      </c>
      <c r="K24" s="228">
        <f t="shared" si="14"/>
        <v>13958</v>
      </c>
      <c r="L24" s="228">
        <f t="shared" si="14"/>
        <v>13958</v>
      </c>
      <c r="M24" s="228">
        <f t="shared" si="14"/>
        <v>13958</v>
      </c>
      <c r="N24" s="228">
        <f t="shared" si="14"/>
        <v>13958</v>
      </c>
      <c r="O24" s="228">
        <f t="shared" si="14"/>
        <v>13958</v>
      </c>
      <c r="P24" s="228">
        <f t="shared" si="14"/>
        <v>13958</v>
      </c>
      <c r="Q24" s="228">
        <f t="shared" si="14"/>
        <v>13958</v>
      </c>
      <c r="R24" s="228">
        <f t="shared" si="14"/>
        <v>12730.279999999999</v>
      </c>
      <c r="S24" s="228">
        <f t="shared" si="14"/>
        <v>12730.279999999999</v>
      </c>
      <c r="T24" s="228">
        <f t="shared" si="14"/>
        <v>12730.279999999999</v>
      </c>
      <c r="U24" s="228">
        <f t="shared" si="14"/>
        <v>12730.279999999999</v>
      </c>
      <c r="V24" s="228">
        <f t="shared" si="14"/>
        <v>12730.279999999999</v>
      </c>
      <c r="W24" s="228">
        <f t="shared" si="14"/>
        <v>12730.279999999999</v>
      </c>
      <c r="X24" s="228">
        <f t="shared" si="14"/>
        <v>12730.279999999999</v>
      </c>
      <c r="Y24" s="228">
        <f t="shared" si="14"/>
        <v>12730.279999999999</v>
      </c>
      <c r="Z24" s="228">
        <f t="shared" si="14"/>
        <v>12730.279999999999</v>
      </c>
      <c r="AA24" s="228">
        <f t="shared" si="14"/>
        <v>12730.279999999999</v>
      </c>
      <c r="AB24" s="228">
        <f t="shared" si="14"/>
        <v>12730.279999999999</v>
      </c>
      <c r="AC24" s="228">
        <f t="shared" si="14"/>
        <v>12730.279999999999</v>
      </c>
      <c r="AD24" s="228">
        <f t="shared" si="14"/>
        <v>12730.279999999999</v>
      </c>
      <c r="AE24" s="228"/>
      <c r="AF24" s="228"/>
      <c r="AG24" s="228"/>
      <c r="AH24" s="228"/>
      <c r="AI24" s="228"/>
    </row>
    <row r="25" spans="1:48" x14ac:dyDescent="0.25">
      <c r="A25" s="227" t="s">
        <v>508</v>
      </c>
      <c r="B25" s="228">
        <f t="shared" ref="B25:AD25" si="15">MIN(B$21,$C$7)</f>
        <v>1760</v>
      </c>
      <c r="C25" s="228">
        <f t="shared" si="15"/>
        <v>1760</v>
      </c>
      <c r="D25" s="228">
        <f t="shared" si="15"/>
        <v>1760</v>
      </c>
      <c r="E25" s="228">
        <f t="shared" si="15"/>
        <v>1760</v>
      </c>
      <c r="F25" s="228">
        <f t="shared" si="15"/>
        <v>1760</v>
      </c>
      <c r="G25" s="228">
        <f t="shared" si="15"/>
        <v>1760</v>
      </c>
      <c r="H25" s="228">
        <f t="shared" si="15"/>
        <v>1760</v>
      </c>
      <c r="I25" s="228">
        <f t="shared" si="15"/>
        <v>1760</v>
      </c>
      <c r="J25" s="228">
        <f t="shared" si="15"/>
        <v>1760</v>
      </c>
      <c r="K25" s="228">
        <f t="shared" si="15"/>
        <v>1760</v>
      </c>
      <c r="L25" s="228">
        <f t="shared" si="15"/>
        <v>1760</v>
      </c>
      <c r="M25" s="228">
        <f t="shared" si="15"/>
        <v>1760</v>
      </c>
      <c r="N25" s="228">
        <f t="shared" si="15"/>
        <v>1760</v>
      </c>
      <c r="O25" s="228">
        <f t="shared" si="15"/>
        <v>1760</v>
      </c>
      <c r="P25" s="228">
        <f t="shared" si="15"/>
        <v>1760</v>
      </c>
      <c r="Q25" s="228">
        <f t="shared" si="15"/>
        <v>1760</v>
      </c>
      <c r="R25" s="228">
        <f t="shared" si="15"/>
        <v>1574.88</v>
      </c>
      <c r="S25" s="228">
        <f t="shared" si="15"/>
        <v>1574.88</v>
      </c>
      <c r="T25" s="228">
        <f t="shared" si="15"/>
        <v>1574.88</v>
      </c>
      <c r="U25" s="228">
        <f t="shared" si="15"/>
        <v>1574.88</v>
      </c>
      <c r="V25" s="228">
        <f t="shared" si="15"/>
        <v>1574.88</v>
      </c>
      <c r="W25" s="228">
        <f t="shared" si="15"/>
        <v>1574.88</v>
      </c>
      <c r="X25" s="228">
        <f t="shared" si="15"/>
        <v>1574.88</v>
      </c>
      <c r="Y25" s="228">
        <f t="shared" si="15"/>
        <v>1574.88</v>
      </c>
      <c r="Z25" s="228">
        <f t="shared" si="15"/>
        <v>1574.88</v>
      </c>
      <c r="AA25" s="228">
        <f t="shared" si="15"/>
        <v>1574.88</v>
      </c>
      <c r="AB25" s="228">
        <f t="shared" si="15"/>
        <v>1574.88</v>
      </c>
      <c r="AC25" s="228">
        <f t="shared" si="15"/>
        <v>1574.88</v>
      </c>
      <c r="AD25" s="228">
        <f t="shared" si="15"/>
        <v>1574.88</v>
      </c>
      <c r="AE25" s="228"/>
      <c r="AF25" s="228"/>
      <c r="AG25" s="228"/>
      <c r="AH25" s="228"/>
      <c r="AI25" s="228"/>
    </row>
    <row r="26" spans="1:48" x14ac:dyDescent="0.25">
      <c r="A26" s="229" t="s">
        <v>509</v>
      </c>
      <c r="B26" s="230">
        <f>IF(B22&gt;$B$4,(B22-$B$4)*$H$4,0)</f>
        <v>16205</v>
      </c>
      <c r="C26" s="230">
        <v>0</v>
      </c>
      <c r="D26" s="230">
        <f>IF(D22&gt;$B$4,(D22-$B$4)*$H$4,0)</f>
        <v>16205</v>
      </c>
      <c r="E26" s="230">
        <v>0</v>
      </c>
      <c r="F26" s="230">
        <f>IF(F22&gt;$B$4,(F22-$B$4)*$H$4,0)</f>
        <v>16205</v>
      </c>
      <c r="G26" s="230">
        <v>0</v>
      </c>
      <c r="H26" s="230">
        <f>IF(H22&gt;$B$4,(H22-$B$4)*$H$4,0)</f>
        <v>16205</v>
      </c>
      <c r="I26" s="230">
        <v>0</v>
      </c>
      <c r="J26" s="230">
        <f>IF(J22&gt;$B$4,(J22-$B$4)*$H$4,0)</f>
        <v>16205</v>
      </c>
      <c r="K26" s="230">
        <v>0</v>
      </c>
      <c r="L26" s="230">
        <f>IF(L22&gt;$B$4,(L22-$B$4)*$H$4,0)</f>
        <v>16205</v>
      </c>
      <c r="M26" s="230">
        <v>0</v>
      </c>
      <c r="N26" s="230">
        <f>IF(N22&gt;$B$4,(N22-$B$4)*$H$4,0)</f>
        <v>16205</v>
      </c>
      <c r="O26" s="230">
        <v>0</v>
      </c>
      <c r="P26" s="230">
        <f>IF(P22&gt;$B$4,(P22-$B$4)*$H$4,0)</f>
        <v>16205</v>
      </c>
      <c r="Q26" s="230">
        <v>0</v>
      </c>
      <c r="R26" s="230">
        <f>IF(R22&gt;$B$4,(R22-$B$4)*$H$4,0)</f>
        <v>0.84000000001833541</v>
      </c>
      <c r="S26" s="230">
        <v>0</v>
      </c>
      <c r="T26" s="230">
        <f>IF(T22&gt;$B$4,(T22-$B$4)*$H$4,0)</f>
        <v>0.84000000001833541</v>
      </c>
      <c r="U26" s="230">
        <v>0</v>
      </c>
      <c r="V26" s="230">
        <f>IF(V22&gt;$B$4,(V22-$B$4)*$H$4,0)</f>
        <v>0.84000000001833541</v>
      </c>
      <c r="W26" s="230">
        <v>0</v>
      </c>
      <c r="X26" s="230">
        <f>IF(X22&gt;$B$4,(X22-$B$4)*$H$4,0)</f>
        <v>0.84000000001833541</v>
      </c>
      <c r="Y26" s="230">
        <v>0</v>
      </c>
      <c r="Z26" s="230">
        <f>IF(Z22&gt;$B$4,(Z22-$B$4)*$H$4,0)</f>
        <v>0.84000000001833541</v>
      </c>
      <c r="AA26" s="230">
        <v>0</v>
      </c>
      <c r="AB26" s="230">
        <f>IF(AB22&gt;$B$4,(AB22-$B$4)*$H$4,0)</f>
        <v>0.84000000001833541</v>
      </c>
      <c r="AC26" s="230">
        <v>0</v>
      </c>
      <c r="AD26" s="230">
        <f>IF(AD22&gt;$B$4,(AD22-$B$4)*$H$4,0)</f>
        <v>0.84000000001833541</v>
      </c>
      <c r="AE26" s="230">
        <v>0</v>
      </c>
      <c r="AF26" s="230">
        <f>IF(AF22&gt;$B$4,(AF22-$B$4)*$H$4,0)</f>
        <v>0</v>
      </c>
      <c r="AG26" s="230">
        <v>0</v>
      </c>
      <c r="AH26" s="230">
        <f>IF(AH22&gt;$B$4,(AH22-$B$4)*$H$4,0)</f>
        <v>0</v>
      </c>
      <c r="AI26" s="230">
        <v>0</v>
      </c>
      <c r="AJ26" s="230">
        <f>IF(AJ22&gt;$B$4,(AJ22-$B$4)*$H$4,0)</f>
        <v>0</v>
      </c>
      <c r="AK26" s="230">
        <v>0</v>
      </c>
    </row>
    <row r="27" spans="1:48" x14ac:dyDescent="0.25">
      <c r="A27" s="229" t="s">
        <v>510</v>
      </c>
      <c r="B27" s="230">
        <f>IF(B23&gt;$B$5,(B23-$B$5)*$H$5,0)</f>
        <v>10810</v>
      </c>
      <c r="C27" s="230">
        <v>0</v>
      </c>
      <c r="D27" s="230">
        <f>IF(D23&gt;$B$5,(D23-$B$5)*$H$5,0)</f>
        <v>10810</v>
      </c>
      <c r="E27" s="230">
        <v>0</v>
      </c>
      <c r="F27" s="230">
        <f>IF(F23&gt;$B$5,(F23-$B$5)*$H$5,0)</f>
        <v>10810</v>
      </c>
      <c r="G27" s="230">
        <v>0</v>
      </c>
      <c r="H27" s="230">
        <f>IF(H23&gt;$B$5,(H23-$B$5)*$H$5,0)</f>
        <v>10810</v>
      </c>
      <c r="I27" s="230">
        <v>0</v>
      </c>
      <c r="J27" s="230">
        <f>IF(J23&gt;$B$5,(J23-$B$5)*$H$5,0)</f>
        <v>10810</v>
      </c>
      <c r="K27" s="230">
        <v>0</v>
      </c>
      <c r="L27" s="230">
        <f>IF(L23&gt;$B$5,(L23-$B$5)*$H$5,0)</f>
        <v>10810</v>
      </c>
      <c r="M27" s="230">
        <v>0</v>
      </c>
      <c r="N27" s="230">
        <f>IF(N23&gt;$B$5,(N23-$B$5)*$H$5,0)</f>
        <v>10810</v>
      </c>
      <c r="O27" s="230">
        <v>0</v>
      </c>
      <c r="P27" s="230">
        <f>IF(P23&gt;$B$5,(P23-$B$5)*$H$5,0)</f>
        <v>10810</v>
      </c>
      <c r="Q27" s="230">
        <v>0</v>
      </c>
      <c r="R27" s="230">
        <f>IF(R23&gt;$B$5,(R23-$B$5)*$H$5,0)</f>
        <v>3.1999999999970896</v>
      </c>
      <c r="S27" s="230">
        <v>0</v>
      </c>
      <c r="T27" s="230">
        <f>IF(T23&gt;$B$5,(T23-$B$5)*$H$5,0)</f>
        <v>3.1999999999970896</v>
      </c>
      <c r="U27" s="230">
        <v>0</v>
      </c>
      <c r="V27" s="230">
        <f>IF(V23&gt;$B$5,(V23-$B$5)*$H$5,0)</f>
        <v>3.1999999999970896</v>
      </c>
      <c r="W27" s="230">
        <v>0</v>
      </c>
      <c r="X27" s="230">
        <f>IF(X23&gt;$B$5,(X23-$B$5)*$H$5,0)</f>
        <v>3.1999999999970896</v>
      </c>
      <c r="Y27" s="230">
        <v>0</v>
      </c>
      <c r="Z27" s="230">
        <f>IF(Z23&gt;$B$5,(Z23-$B$5)*$H$5,0)</f>
        <v>3.1999999999970896</v>
      </c>
      <c r="AA27" s="230">
        <v>0</v>
      </c>
      <c r="AB27" s="230">
        <f>IF(AB23&gt;$B$5,(AB23-$B$5)*$H$5,0)</f>
        <v>3.1999999999970896</v>
      </c>
      <c r="AC27" s="230">
        <v>0</v>
      </c>
      <c r="AD27" s="230">
        <f>IF(AD23&gt;$B$5,(AD23-$B$5)*$H$5,0)</f>
        <v>3.1999999999970896</v>
      </c>
      <c r="AE27" s="230">
        <v>0</v>
      </c>
      <c r="AF27" s="230">
        <f>IF(AF23&gt;$B$5,(AF23-$B$5)*$H$5,0)</f>
        <v>0</v>
      </c>
      <c r="AG27" s="230">
        <v>0</v>
      </c>
      <c r="AH27" s="230">
        <f>IF(AH23&gt;$B$5,(AH23-$B$5)*$H$5,0)</f>
        <v>0</v>
      </c>
      <c r="AI27" s="230">
        <v>0</v>
      </c>
      <c r="AJ27" s="230">
        <f>IF(AJ23&gt;$B$5,(AJ23-$B$5)*$H$5,0)</f>
        <v>0</v>
      </c>
      <c r="AK27" s="230">
        <v>0</v>
      </c>
    </row>
    <row r="28" spans="1:48" x14ac:dyDescent="0.25">
      <c r="A28" s="229" t="s">
        <v>511</v>
      </c>
      <c r="B28" s="230">
        <f>IF(B24&gt;$B$6,(B24-$B$6)*$H$6,0)</f>
        <v>23332</v>
      </c>
      <c r="C28" s="230">
        <v>0</v>
      </c>
      <c r="D28" s="230">
        <f>IF(D24&gt;$B$6,(D24-$B$6)*$H$6,0)</f>
        <v>23332</v>
      </c>
      <c r="E28" s="230">
        <v>0</v>
      </c>
      <c r="F28" s="230">
        <f>IF(F24&gt;$B$6,(F24-$B$6)*$H$6,0)</f>
        <v>23332</v>
      </c>
      <c r="G28" s="230">
        <v>0</v>
      </c>
      <c r="H28" s="230">
        <f>IF(H24&gt;$B$6,(H24-$B$6)*$H$6,0)</f>
        <v>23332</v>
      </c>
      <c r="I28" s="230">
        <v>0</v>
      </c>
      <c r="J28" s="230">
        <f>IF(J24&gt;$B$6,(J24-$B$6)*$H$6,0)</f>
        <v>23332</v>
      </c>
      <c r="K28" s="230">
        <v>0</v>
      </c>
      <c r="L28" s="230">
        <f>IF(L24&gt;$B$6,(L24-$B$6)*$H$6,0)</f>
        <v>23332</v>
      </c>
      <c r="M28" s="230">
        <v>0</v>
      </c>
      <c r="N28" s="230">
        <f>IF(N24&gt;$B$6,(N24-$B$6)*$H$6,0)</f>
        <v>23332</v>
      </c>
      <c r="O28" s="230">
        <v>0</v>
      </c>
      <c r="P28" s="230">
        <f>IF(P24&gt;$B$6,(P24-$B$6)*$H$6,0)</f>
        <v>23332</v>
      </c>
      <c r="Q28" s="230">
        <v>0</v>
      </c>
      <c r="R28" s="230">
        <f>IF(R24&gt;$B$6,(R24-$B$6)*$H$6,0)</f>
        <v>5.3199999999778811</v>
      </c>
      <c r="S28" s="230">
        <v>0</v>
      </c>
      <c r="T28" s="230">
        <f>IF(T24&gt;$B$6,(T24-$B$6)*$H$6,0)</f>
        <v>5.3199999999778811</v>
      </c>
      <c r="U28" s="230">
        <v>0</v>
      </c>
      <c r="V28" s="230">
        <f>IF(V24&gt;$B$6,(V24-$B$6)*$H$6,0)</f>
        <v>5.3199999999778811</v>
      </c>
      <c r="W28" s="230">
        <v>0</v>
      </c>
      <c r="X28" s="230">
        <f>IF(X24&gt;$B$6,(X24-$B$6)*$H$6,0)</f>
        <v>5.3199999999778811</v>
      </c>
      <c r="Y28" s="230">
        <v>0</v>
      </c>
      <c r="Z28" s="230">
        <f>IF(Z24&gt;$B$6,(Z24-$B$6)*$H$6,0)</f>
        <v>5.3199999999778811</v>
      </c>
      <c r="AA28" s="230">
        <v>0</v>
      </c>
      <c r="AB28" s="230">
        <f>IF(AB24&gt;$B$6,(AB24-$B$6)*$H$6,0)</f>
        <v>5.3199999999778811</v>
      </c>
      <c r="AC28" s="230">
        <v>0</v>
      </c>
      <c r="AD28" s="230">
        <f>IF(AD24&gt;$B$6,(AD24-$B$6)*$H$6,0)</f>
        <v>5.3199999999778811</v>
      </c>
      <c r="AE28" s="230">
        <v>0</v>
      </c>
      <c r="AF28" s="230">
        <f>IF(AF24&gt;$B$6,(AF24-$B$6)*$H$6,0)</f>
        <v>0</v>
      </c>
      <c r="AG28" s="230">
        <v>0</v>
      </c>
      <c r="AH28" s="230">
        <f>IF(AH24&gt;$B$6,(AH24-$B$6)*$H$6,0)</f>
        <v>0</v>
      </c>
      <c r="AI28" s="230">
        <v>0</v>
      </c>
      <c r="AJ28" s="230">
        <f>IF(AJ24&gt;$B$6,(AJ24-$B$6)*$H$6,0)</f>
        <v>0</v>
      </c>
      <c r="AK28" s="230">
        <v>0</v>
      </c>
    </row>
    <row r="29" spans="1:48" x14ac:dyDescent="0.25">
      <c r="A29" s="229" t="s">
        <v>512</v>
      </c>
      <c r="B29" s="230">
        <f>IF(B25&gt;$B$7,(B25-$B$7)*$H$7,0)</f>
        <v>6475</v>
      </c>
      <c r="C29" s="230">
        <v>0</v>
      </c>
      <c r="D29" s="230">
        <f>IF(D25&gt;$B$7,(D25-$B$7)*$H$7,0)</f>
        <v>6475</v>
      </c>
      <c r="E29" s="230">
        <v>0</v>
      </c>
      <c r="F29" s="230">
        <f>IF(F25&gt;$B$7,(F25-$B$7)*$H$7,0)</f>
        <v>6475</v>
      </c>
      <c r="G29" s="230">
        <v>0</v>
      </c>
      <c r="H29" s="230">
        <f>IF(H25&gt;$B$7,(H25-$B$7)*$H$7,0)</f>
        <v>6475</v>
      </c>
      <c r="I29" s="230">
        <v>0</v>
      </c>
      <c r="J29" s="230">
        <f>IF(J25&gt;$B$7,(J25-$B$7)*$H$7,0)</f>
        <v>6475</v>
      </c>
      <c r="K29" s="230">
        <v>0</v>
      </c>
      <c r="L29" s="230">
        <f>IF(L25&gt;$B$7,(L25-$B$7)*$H$7,0)</f>
        <v>6475</v>
      </c>
      <c r="M29" s="230">
        <v>0</v>
      </c>
      <c r="N29" s="230">
        <f>IF(N25&gt;$B$7,(N25-$B$7)*$H$7,0)</f>
        <v>6475</v>
      </c>
      <c r="O29" s="230">
        <v>0</v>
      </c>
      <c r="P29" s="230">
        <f>IF(P25&gt;$B$7,(P25-$B$7)*$H$7,0)</f>
        <v>6475</v>
      </c>
      <c r="Q29" s="230">
        <v>0</v>
      </c>
      <c r="R29" s="230">
        <f>IF(R25&gt;$B$7,(R25-$B$7)*$H$7,0)</f>
        <v>0</v>
      </c>
      <c r="S29" s="230">
        <v>0</v>
      </c>
      <c r="T29" s="230">
        <f>IF(T25&gt;$B$7,(T25-$B$7)*$H$7,0)</f>
        <v>0</v>
      </c>
      <c r="U29" s="230">
        <v>0</v>
      </c>
      <c r="V29" s="230">
        <f>IF(V25&gt;$B$7,(V25-$B$7)*$H$7,0)</f>
        <v>0</v>
      </c>
      <c r="W29" s="230">
        <v>0</v>
      </c>
      <c r="X29" s="230">
        <f>IF(X25&gt;$B$7,(X25-$B$7)*$H$7,0)</f>
        <v>0</v>
      </c>
      <c r="Y29" s="230">
        <v>0</v>
      </c>
      <c r="Z29" s="230">
        <f>IF(Z25&gt;$B$7,(Z25-$B$7)*$H$7,0)</f>
        <v>0</v>
      </c>
      <c r="AA29" s="230">
        <v>0</v>
      </c>
      <c r="AB29" s="230">
        <f>IF(AB25&gt;$B$7,(AB25-$B$7)*$H$7,0)</f>
        <v>0</v>
      </c>
      <c r="AC29" s="230">
        <v>0</v>
      </c>
      <c r="AD29" s="230">
        <f>IF(AD25&gt;$B$7,(AD25-$B$7)*$H$7,0)</f>
        <v>0</v>
      </c>
      <c r="AE29" s="230">
        <v>0</v>
      </c>
      <c r="AF29" s="230">
        <f>IF(AF25&gt;$B$7,(AF25-$B$7)*$H$7,0)</f>
        <v>0</v>
      </c>
      <c r="AG29" s="230">
        <v>0</v>
      </c>
      <c r="AH29" s="230">
        <f>IF(AH25&gt;$B$7,(AH25-$B$7)*$H$7,0)</f>
        <v>0</v>
      </c>
      <c r="AI29" s="230">
        <v>0</v>
      </c>
      <c r="AJ29" s="230">
        <f>IF(AJ25&gt;$B$7,(AJ25-$B$7)*$H$7,0)</f>
        <v>0</v>
      </c>
      <c r="AK29" s="230">
        <v>0</v>
      </c>
    </row>
    <row r="30" spans="1:48" x14ac:dyDescent="0.25">
      <c r="A30" s="231" t="s">
        <v>513</v>
      </c>
      <c r="B30" s="232">
        <f>G4+G5+G6+G7</f>
        <v>3604.7</v>
      </c>
      <c r="C30" s="232">
        <f t="shared" ref="C30:AD30" si="16">B30</f>
        <v>3604.7</v>
      </c>
      <c r="D30" s="232">
        <f t="shared" si="16"/>
        <v>3604.7</v>
      </c>
      <c r="E30" s="232">
        <f t="shared" si="16"/>
        <v>3604.7</v>
      </c>
      <c r="F30" s="232">
        <f t="shared" si="16"/>
        <v>3604.7</v>
      </c>
      <c r="G30" s="232">
        <f t="shared" si="16"/>
        <v>3604.7</v>
      </c>
      <c r="H30" s="232">
        <f t="shared" si="16"/>
        <v>3604.7</v>
      </c>
      <c r="I30" s="232">
        <f t="shared" si="16"/>
        <v>3604.7</v>
      </c>
      <c r="J30" s="232">
        <f t="shared" si="16"/>
        <v>3604.7</v>
      </c>
      <c r="K30" s="232">
        <f t="shared" si="16"/>
        <v>3604.7</v>
      </c>
      <c r="L30" s="232">
        <f t="shared" si="16"/>
        <v>3604.7</v>
      </c>
      <c r="M30" s="232">
        <f t="shared" si="16"/>
        <v>3604.7</v>
      </c>
      <c r="N30" s="232">
        <f t="shared" si="16"/>
        <v>3604.7</v>
      </c>
      <c r="O30" s="232">
        <f t="shared" si="16"/>
        <v>3604.7</v>
      </c>
      <c r="P30" s="232">
        <f t="shared" si="16"/>
        <v>3604.7</v>
      </c>
      <c r="Q30" s="232">
        <f t="shared" si="16"/>
        <v>3604.7</v>
      </c>
      <c r="R30" s="232">
        <f t="shared" si="16"/>
        <v>3604.7</v>
      </c>
      <c r="S30" s="232">
        <f t="shared" si="16"/>
        <v>3604.7</v>
      </c>
      <c r="T30" s="232">
        <f t="shared" si="16"/>
        <v>3604.7</v>
      </c>
      <c r="U30" s="232">
        <f t="shared" si="16"/>
        <v>3604.7</v>
      </c>
      <c r="V30" s="232">
        <f t="shared" si="16"/>
        <v>3604.7</v>
      </c>
      <c r="W30" s="232">
        <f t="shared" si="16"/>
        <v>3604.7</v>
      </c>
      <c r="X30" s="232">
        <f t="shared" si="16"/>
        <v>3604.7</v>
      </c>
      <c r="Y30" s="232">
        <f t="shared" si="16"/>
        <v>3604.7</v>
      </c>
      <c r="Z30" s="232">
        <f t="shared" si="16"/>
        <v>3604.7</v>
      </c>
      <c r="AA30" s="232">
        <f t="shared" si="16"/>
        <v>3604.7</v>
      </c>
      <c r="AB30" s="232">
        <f t="shared" si="16"/>
        <v>3604.7</v>
      </c>
      <c r="AC30" s="232">
        <f t="shared" si="16"/>
        <v>3604.7</v>
      </c>
      <c r="AD30" s="232">
        <f t="shared" si="16"/>
        <v>3604.7</v>
      </c>
      <c r="AE30" s="232"/>
      <c r="AF30" s="232"/>
      <c r="AG30" s="232"/>
      <c r="AH30" s="232"/>
      <c r="AI30" s="232"/>
    </row>
    <row r="31" spans="1:48" x14ac:dyDescent="0.25">
      <c r="A31" s="233" t="s">
        <v>514</v>
      </c>
      <c r="B31" s="234">
        <f t="shared" ref="B31:AD31" si="17">B26+B27+B28+B29-B30</f>
        <v>53217.3</v>
      </c>
      <c r="C31" s="234">
        <f t="shared" si="17"/>
        <v>-3604.7</v>
      </c>
      <c r="D31" s="234">
        <f t="shared" si="17"/>
        <v>53217.3</v>
      </c>
      <c r="E31" s="234">
        <f t="shared" si="17"/>
        <v>-3604.7</v>
      </c>
      <c r="F31" s="234">
        <f t="shared" si="17"/>
        <v>53217.3</v>
      </c>
      <c r="G31" s="234">
        <f t="shared" si="17"/>
        <v>-3604.7</v>
      </c>
      <c r="H31" s="234">
        <f t="shared" si="17"/>
        <v>53217.3</v>
      </c>
      <c r="I31" s="234">
        <f t="shared" si="17"/>
        <v>-3604.7</v>
      </c>
      <c r="J31" s="234">
        <f t="shared" si="17"/>
        <v>53217.3</v>
      </c>
      <c r="K31" s="234">
        <f t="shared" si="17"/>
        <v>-3604.7</v>
      </c>
      <c r="L31" s="234">
        <f t="shared" si="17"/>
        <v>53217.3</v>
      </c>
      <c r="M31" s="234">
        <f t="shared" si="17"/>
        <v>-3604.7</v>
      </c>
      <c r="N31" s="234">
        <f t="shared" si="17"/>
        <v>53217.3</v>
      </c>
      <c r="O31" s="234">
        <f t="shared" si="17"/>
        <v>-3604.7</v>
      </c>
      <c r="P31" s="234">
        <f t="shared" si="17"/>
        <v>53217.3</v>
      </c>
      <c r="Q31" s="234">
        <f t="shared" si="17"/>
        <v>-3604.7</v>
      </c>
      <c r="R31" s="234">
        <f t="shared" si="17"/>
        <v>-3595.3400000000065</v>
      </c>
      <c r="S31" s="234">
        <f t="shared" si="17"/>
        <v>-3604.7</v>
      </c>
      <c r="T31" s="234">
        <f t="shared" si="17"/>
        <v>-3595.3400000000065</v>
      </c>
      <c r="U31" s="234">
        <f t="shared" si="17"/>
        <v>-3604.7</v>
      </c>
      <c r="V31" s="234">
        <f t="shared" si="17"/>
        <v>-3595.3400000000065</v>
      </c>
      <c r="W31" s="234">
        <f t="shared" si="17"/>
        <v>-3604.7</v>
      </c>
      <c r="X31" s="234">
        <f t="shared" si="17"/>
        <v>-3595.3400000000065</v>
      </c>
      <c r="Y31" s="234">
        <f t="shared" si="17"/>
        <v>-3604.7</v>
      </c>
      <c r="Z31" s="234">
        <f t="shared" si="17"/>
        <v>-3595.3400000000065</v>
      </c>
      <c r="AA31" s="234">
        <f t="shared" si="17"/>
        <v>-3604.7</v>
      </c>
      <c r="AB31" s="234">
        <f t="shared" si="17"/>
        <v>-3595.3400000000065</v>
      </c>
      <c r="AC31" s="234">
        <f t="shared" si="17"/>
        <v>-3604.7</v>
      </c>
      <c r="AD31" s="234">
        <f t="shared" si="17"/>
        <v>-3595.3400000000065</v>
      </c>
      <c r="AE31" s="234"/>
      <c r="AF31" s="234"/>
      <c r="AG31" s="234"/>
      <c r="AH31" s="234"/>
      <c r="AI31" s="234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235" t="s">
        <v>515</v>
      </c>
      <c r="B32" s="234">
        <f>-B12-B11+B31</f>
        <v>-308052.7</v>
      </c>
      <c r="C32" s="234">
        <f t="shared" ref="C32:AD32" si="18">B32+C31</f>
        <v>-311657.40000000002</v>
      </c>
      <c r="D32" s="234">
        <f t="shared" si="18"/>
        <v>-258440.10000000003</v>
      </c>
      <c r="E32" s="234">
        <f t="shared" si="18"/>
        <v>-262044.80000000005</v>
      </c>
      <c r="F32" s="234">
        <f t="shared" si="18"/>
        <v>-208827.50000000006</v>
      </c>
      <c r="G32" s="234">
        <f t="shared" si="18"/>
        <v>-212432.20000000007</v>
      </c>
      <c r="H32" s="234">
        <f t="shared" si="18"/>
        <v>-159214.90000000008</v>
      </c>
      <c r="I32" s="234">
        <f t="shared" si="18"/>
        <v>-162819.60000000009</v>
      </c>
      <c r="J32" s="234">
        <f t="shared" si="18"/>
        <v>-109602.30000000009</v>
      </c>
      <c r="K32" s="234">
        <f t="shared" si="18"/>
        <v>-113207.00000000009</v>
      </c>
      <c r="L32" s="234">
        <f t="shared" si="18"/>
        <v>-59989.700000000084</v>
      </c>
      <c r="M32" s="234">
        <f t="shared" si="18"/>
        <v>-63594.400000000081</v>
      </c>
      <c r="N32" s="234">
        <f t="shared" si="18"/>
        <v>-10377.100000000079</v>
      </c>
      <c r="O32" s="234">
        <f t="shared" si="18"/>
        <v>-13981.800000000079</v>
      </c>
      <c r="P32" s="234">
        <f t="shared" si="18"/>
        <v>39235.499999999927</v>
      </c>
      <c r="Q32" s="234">
        <f t="shared" si="18"/>
        <v>35630.79999999993</v>
      </c>
      <c r="R32" s="234">
        <f t="shared" si="18"/>
        <v>32035.459999999923</v>
      </c>
      <c r="S32" s="234">
        <f t="shared" si="18"/>
        <v>28430.759999999922</v>
      </c>
      <c r="T32" s="234">
        <f t="shared" si="18"/>
        <v>24835.419999999915</v>
      </c>
      <c r="U32" s="234">
        <f t="shared" si="18"/>
        <v>21230.719999999914</v>
      </c>
      <c r="V32" s="234">
        <f t="shared" si="18"/>
        <v>17635.379999999906</v>
      </c>
      <c r="W32" s="234">
        <f t="shared" si="18"/>
        <v>14030.679999999906</v>
      </c>
      <c r="X32" s="234">
        <f t="shared" si="18"/>
        <v>10435.339999999898</v>
      </c>
      <c r="Y32" s="234">
        <f t="shared" si="18"/>
        <v>6830.6399999998985</v>
      </c>
      <c r="Z32" s="234">
        <f t="shared" si="18"/>
        <v>3235.299999999892</v>
      </c>
      <c r="AA32" s="234">
        <f t="shared" si="18"/>
        <v>-369.40000000010787</v>
      </c>
      <c r="AB32" s="234">
        <f t="shared" si="18"/>
        <v>-3964.7400000001144</v>
      </c>
      <c r="AC32" s="234">
        <f t="shared" si="18"/>
        <v>-7569.4400000001142</v>
      </c>
      <c r="AD32" s="234">
        <f t="shared" si="18"/>
        <v>-11164.780000000121</v>
      </c>
      <c r="AE32" s="234"/>
      <c r="AF32" s="234"/>
      <c r="AG32" s="234"/>
      <c r="AH32" s="234"/>
      <c r="AI32" s="234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1:35" x14ac:dyDescent="0.25">
      <c r="B33" s="58">
        <f t="shared" ref="B33:AD33" si="19">B32/$B$13</f>
        <v>-0.85269383009937172</v>
      </c>
      <c r="C33" s="58">
        <f t="shared" si="19"/>
        <v>-0.86267168599662314</v>
      </c>
      <c r="D33" s="58">
        <f t="shared" si="19"/>
        <v>-0.71536551609599475</v>
      </c>
      <c r="E33" s="58">
        <f t="shared" si="19"/>
        <v>-0.72534337199324617</v>
      </c>
      <c r="F33" s="58">
        <f t="shared" si="19"/>
        <v>-0.57803720209261789</v>
      </c>
      <c r="G33" s="58">
        <f t="shared" si="19"/>
        <v>-0.58801505798986931</v>
      </c>
      <c r="H33" s="58">
        <f t="shared" si="19"/>
        <v>-0.44070888808924097</v>
      </c>
      <c r="I33" s="58">
        <f t="shared" si="19"/>
        <v>-0.45068674398649233</v>
      </c>
      <c r="J33" s="58">
        <f t="shared" si="19"/>
        <v>-0.303380574085864</v>
      </c>
      <c r="K33" s="58">
        <f t="shared" si="19"/>
        <v>-0.31335842998311536</v>
      </c>
      <c r="L33" s="58">
        <f t="shared" si="19"/>
        <v>-0.16605226008248702</v>
      </c>
      <c r="M33" s="58">
        <f t="shared" si="19"/>
        <v>-0.17603011597973836</v>
      </c>
      <c r="N33" s="58">
        <f t="shared" si="19"/>
        <v>-2.8723946079110024E-2</v>
      </c>
      <c r="O33" s="58">
        <f t="shared" si="19"/>
        <v>-3.8701801976361389E-2</v>
      </c>
      <c r="P33" s="58">
        <f t="shared" si="19"/>
        <v>0.10860436792426696</v>
      </c>
      <c r="Q33" s="58">
        <f t="shared" si="19"/>
        <v>9.8626512027015611E-2</v>
      </c>
      <c r="R33" s="58">
        <f t="shared" si="19"/>
        <v>8.8674564729980129E-2</v>
      </c>
      <c r="S33" s="58">
        <f t="shared" si="19"/>
        <v>7.8696708832728765E-2</v>
      </c>
      <c r="T33" s="58">
        <f t="shared" si="19"/>
        <v>6.8744761535693283E-2</v>
      </c>
      <c r="U33" s="58">
        <f t="shared" si="19"/>
        <v>5.8766905638441926E-2</v>
      </c>
      <c r="V33" s="58">
        <f t="shared" si="19"/>
        <v>4.8814958341406443E-2</v>
      </c>
      <c r="W33" s="58">
        <f t="shared" si="19"/>
        <v>3.8837102444155079E-2</v>
      </c>
      <c r="X33" s="58">
        <f t="shared" si="19"/>
        <v>2.88851551471196E-2</v>
      </c>
      <c r="Y33" s="58">
        <f t="shared" si="19"/>
        <v>1.890729924986824E-2</v>
      </c>
      <c r="Z33" s="58">
        <f t="shared" si="19"/>
        <v>8.9553519528327626E-3</v>
      </c>
      <c r="AA33" s="58">
        <f t="shared" si="19"/>
        <v>-1.0225039444186007E-3</v>
      </c>
      <c r="AB33" s="58">
        <f t="shared" si="19"/>
        <v>-1.0974451241454077E-2</v>
      </c>
      <c r="AC33" s="58">
        <f t="shared" si="19"/>
        <v>-2.0952307138705439E-2</v>
      </c>
      <c r="AD33" s="58">
        <f t="shared" si="19"/>
        <v>-3.0904254435740915E-2</v>
      </c>
      <c r="AE33" s="58"/>
      <c r="AF33" s="58"/>
      <c r="AG33" s="58"/>
      <c r="AH33" s="58"/>
      <c r="AI33" s="58"/>
    </row>
    <row r="36" spans="1:35" x14ac:dyDescent="0.25">
      <c r="A36" s="278" t="s">
        <v>1532</v>
      </c>
      <c r="B36" s="449">
        <v>44344</v>
      </c>
      <c r="K36" s="58"/>
    </row>
    <row r="37" spans="1:35" x14ac:dyDescent="0.25">
      <c r="A37" s="450" t="s">
        <v>487</v>
      </c>
      <c r="B37" s="450">
        <f>B38+B39+B40+B41</f>
        <v>68746</v>
      </c>
      <c r="C37" s="42" t="s">
        <v>1538</v>
      </c>
      <c r="D37" t="s">
        <v>1553</v>
      </c>
      <c r="K37" s="61"/>
      <c r="Q37" s="42" t="s">
        <v>1538</v>
      </c>
      <c r="R37" t="s">
        <v>1553</v>
      </c>
    </row>
    <row r="38" spans="1:35" x14ac:dyDescent="0.25">
      <c r="A38" s="450" t="s">
        <v>494</v>
      </c>
      <c r="B38" s="450">
        <v>39341</v>
      </c>
      <c r="C38" s="37">
        <v>2464.1200000000026</v>
      </c>
      <c r="D38" s="25">
        <f>B38-C38</f>
        <v>36876.879999999997</v>
      </c>
      <c r="K38" s="61"/>
      <c r="L38" s="44"/>
      <c r="Q38" s="37">
        <v>1434</v>
      </c>
      <c r="R38">
        <f>B38</f>
        <v>39341</v>
      </c>
    </row>
    <row r="39" spans="1:35" x14ac:dyDescent="0.25">
      <c r="A39" s="450" t="s">
        <v>495</v>
      </c>
      <c r="B39" s="450">
        <v>15100</v>
      </c>
      <c r="C39" s="37">
        <v>1179.3199999999997</v>
      </c>
      <c r="D39" s="25">
        <f t="shared" ref="D39:D41" si="20">B39-C39</f>
        <v>13920.68</v>
      </c>
      <c r="K39" s="61"/>
      <c r="L39" s="44"/>
      <c r="Q39" s="37">
        <v>739</v>
      </c>
      <c r="R39">
        <f t="shared" ref="R39:R41" si="21">B39</f>
        <v>15100</v>
      </c>
    </row>
    <row r="40" spans="1:35" x14ac:dyDescent="0.25">
      <c r="A40" s="450" t="s">
        <v>496</v>
      </c>
      <c r="B40" s="450">
        <v>12730</v>
      </c>
      <c r="C40" s="37">
        <v>1282.2799999999988</v>
      </c>
      <c r="D40" s="25">
        <f t="shared" si="20"/>
        <v>11447.720000000001</v>
      </c>
      <c r="K40" s="61"/>
      <c r="L40" s="44"/>
      <c r="Q40" s="37">
        <v>933</v>
      </c>
      <c r="R40">
        <f t="shared" si="21"/>
        <v>12730</v>
      </c>
    </row>
    <row r="41" spans="1:35" x14ac:dyDescent="0.25">
      <c r="A41" s="450" t="s">
        <v>497</v>
      </c>
      <c r="B41" s="450">
        <v>1575</v>
      </c>
      <c r="C41" s="37">
        <v>160.88000000000011</v>
      </c>
      <c r="D41" s="25">
        <f t="shared" si="20"/>
        <v>1414.12</v>
      </c>
      <c r="K41" s="61"/>
      <c r="L41" s="44"/>
      <c r="Q41" s="37">
        <v>148</v>
      </c>
      <c r="R41">
        <f t="shared" si="21"/>
        <v>1575</v>
      </c>
    </row>
    <row r="44" spans="1:35" s="456" customFormat="1" x14ac:dyDescent="0.25">
      <c r="A44" s="451" t="s">
        <v>193</v>
      </c>
      <c r="B44" s="455">
        <v>44345</v>
      </c>
      <c r="C44" s="455">
        <v>44349</v>
      </c>
      <c r="D44" s="455">
        <v>44359</v>
      </c>
      <c r="F44" s="455">
        <v>44373</v>
      </c>
      <c r="H44" s="455">
        <v>44387</v>
      </c>
      <c r="J44" s="455">
        <v>44401</v>
      </c>
      <c r="L44" s="455">
        <v>44415</v>
      </c>
      <c r="O44" s="455">
        <v>44436</v>
      </c>
      <c r="Q44" s="455">
        <v>44450</v>
      </c>
      <c r="S44" s="455">
        <v>44464</v>
      </c>
    </row>
    <row r="45" spans="1:35" s="456" customFormat="1" x14ac:dyDescent="0.25">
      <c r="A45" s="451" t="s">
        <v>1539</v>
      </c>
      <c r="B45" s="456">
        <v>5</v>
      </c>
      <c r="C45" s="456">
        <v>6</v>
      </c>
      <c r="D45" s="456">
        <v>7</v>
      </c>
      <c r="E45" s="456">
        <v>8</v>
      </c>
      <c r="F45" s="456">
        <v>9</v>
      </c>
      <c r="G45" s="456">
        <v>10</v>
      </c>
      <c r="H45" s="456">
        <v>11</v>
      </c>
      <c r="I45" s="456">
        <v>12</v>
      </c>
      <c r="J45" s="456">
        <v>13</v>
      </c>
      <c r="K45" s="456">
        <v>14</v>
      </c>
      <c r="L45" s="456">
        <v>15</v>
      </c>
      <c r="M45" s="456">
        <v>16</v>
      </c>
      <c r="N45" s="456">
        <v>1</v>
      </c>
      <c r="O45" s="456">
        <v>2</v>
      </c>
      <c r="P45" s="456">
        <v>3</v>
      </c>
      <c r="Q45" s="456">
        <v>4</v>
      </c>
      <c r="R45" s="456">
        <v>5</v>
      </c>
      <c r="S45" s="456">
        <v>6</v>
      </c>
    </row>
    <row r="46" spans="1:35" s="456" customFormat="1" x14ac:dyDescent="0.25">
      <c r="A46" s="451" t="s">
        <v>1536</v>
      </c>
      <c r="B46" s="456" t="s">
        <v>1554</v>
      </c>
      <c r="C46" s="456" t="s">
        <v>1555</v>
      </c>
      <c r="D46" s="456" t="s">
        <v>1555</v>
      </c>
      <c r="F46" s="456" t="s">
        <v>1555</v>
      </c>
      <c r="H46" s="456" t="s">
        <v>1557</v>
      </c>
      <c r="J46" s="456" t="s">
        <v>1555</v>
      </c>
      <c r="L46" s="456" t="s">
        <v>1560</v>
      </c>
      <c r="O46" s="456" t="s">
        <v>1554</v>
      </c>
      <c r="Q46" s="456" t="s">
        <v>1557</v>
      </c>
      <c r="S46" s="456" t="s">
        <v>1557</v>
      </c>
    </row>
    <row r="47" spans="1:35" s="456" customFormat="1" x14ac:dyDescent="0.25">
      <c r="A47" s="451" t="s">
        <v>1537</v>
      </c>
      <c r="B47" s="456" t="s">
        <v>807</v>
      </c>
      <c r="C47" s="456" t="s">
        <v>1562</v>
      </c>
      <c r="D47" s="456" t="s">
        <v>1556</v>
      </c>
      <c r="F47" s="456" t="s">
        <v>815</v>
      </c>
      <c r="H47" s="456" t="s">
        <v>1558</v>
      </c>
      <c r="J47" s="456" t="s">
        <v>1559</v>
      </c>
      <c r="L47" s="456" t="s">
        <v>1561</v>
      </c>
      <c r="O47" s="456" t="s">
        <v>815</v>
      </c>
      <c r="Q47" s="456" t="s">
        <v>1558</v>
      </c>
      <c r="S47" s="456" t="s">
        <v>1580</v>
      </c>
    </row>
    <row r="48" spans="1:35" s="457" customFormat="1" x14ac:dyDescent="0.25">
      <c r="A48" s="452" t="s">
        <v>476</v>
      </c>
      <c r="B48" s="457">
        <v>0</v>
      </c>
      <c r="C48" s="457">
        <v>0</v>
      </c>
      <c r="D48" s="457">
        <v>0</v>
      </c>
      <c r="F48" s="462">
        <v>2464</v>
      </c>
      <c r="H48" s="462">
        <v>2464</v>
      </c>
      <c r="J48" s="462">
        <v>2464</v>
      </c>
      <c r="L48" s="457">
        <v>0</v>
      </c>
      <c r="O48" s="457">
        <v>0</v>
      </c>
      <c r="Q48" s="457">
        <v>0</v>
      </c>
      <c r="S48" s="462">
        <v>2464</v>
      </c>
    </row>
    <row r="49" spans="1:19" s="457" customFormat="1" x14ac:dyDescent="0.25">
      <c r="A49" s="452" t="s">
        <v>1533</v>
      </c>
      <c r="B49" s="457">
        <v>0</v>
      </c>
      <c r="C49" s="457">
        <v>0</v>
      </c>
      <c r="D49" s="457">
        <v>0</v>
      </c>
      <c r="F49" s="462">
        <v>1179</v>
      </c>
      <c r="H49" s="462">
        <v>1179</v>
      </c>
      <c r="J49" s="462">
        <v>1179</v>
      </c>
      <c r="L49" s="457">
        <v>0</v>
      </c>
      <c r="O49" s="457">
        <v>0</v>
      </c>
      <c r="Q49" s="462">
        <v>1179</v>
      </c>
      <c r="S49" s="462">
        <v>1179</v>
      </c>
    </row>
    <row r="50" spans="1:19" s="457" customFormat="1" x14ac:dyDescent="0.25">
      <c r="A50" s="452" t="s">
        <v>1534</v>
      </c>
      <c r="B50" s="457">
        <v>0</v>
      </c>
      <c r="C50" s="457">
        <v>0</v>
      </c>
      <c r="D50" s="457">
        <v>0</v>
      </c>
      <c r="F50" s="457">
        <v>0</v>
      </c>
      <c r="H50" s="457">
        <v>0</v>
      </c>
      <c r="J50" s="457">
        <v>0</v>
      </c>
      <c r="L50" s="457">
        <v>0</v>
      </c>
      <c r="O50" s="462">
        <v>1282</v>
      </c>
      <c r="Q50" s="457">
        <v>0</v>
      </c>
      <c r="S50" s="457">
        <v>0</v>
      </c>
    </row>
    <row r="51" spans="1:19" s="457" customFormat="1" x14ac:dyDescent="0.25">
      <c r="A51" s="452" t="s">
        <v>1535</v>
      </c>
      <c r="B51" s="457">
        <v>0</v>
      </c>
      <c r="C51" s="457">
        <v>0</v>
      </c>
      <c r="D51" s="457">
        <v>0</v>
      </c>
      <c r="F51" s="462">
        <v>161</v>
      </c>
      <c r="H51" s="462">
        <v>161</v>
      </c>
      <c r="J51" s="462">
        <v>161</v>
      </c>
      <c r="L51" s="457">
        <v>0</v>
      </c>
      <c r="O51" s="462">
        <v>161</v>
      </c>
      <c r="Q51" s="457">
        <f>1494-1414</f>
        <v>80</v>
      </c>
      <c r="S51" s="462">
        <v>161</v>
      </c>
    </row>
    <row r="52" spans="1:19" s="459" customFormat="1" x14ac:dyDescent="0.25">
      <c r="A52" s="453" t="s">
        <v>1546</v>
      </c>
      <c r="B52" s="458">
        <f>B48*$H$4</f>
        <v>0</v>
      </c>
      <c r="C52" s="458">
        <f t="shared" ref="C52:Q52" si="22">C48*$H$4</f>
        <v>0</v>
      </c>
      <c r="D52" s="458">
        <f t="shared" si="22"/>
        <v>0</v>
      </c>
      <c r="E52" s="458">
        <f t="shared" si="22"/>
        <v>0</v>
      </c>
      <c r="F52" s="458">
        <f t="shared" si="22"/>
        <v>17248</v>
      </c>
      <c r="G52" s="458">
        <f t="shared" si="22"/>
        <v>0</v>
      </c>
      <c r="H52" s="458">
        <f t="shared" si="22"/>
        <v>17248</v>
      </c>
      <c r="I52" s="458">
        <f t="shared" si="22"/>
        <v>0</v>
      </c>
      <c r="J52" s="458">
        <f t="shared" si="22"/>
        <v>17248</v>
      </c>
      <c r="K52" s="458">
        <f t="shared" si="22"/>
        <v>0</v>
      </c>
      <c r="L52" s="458">
        <f t="shared" si="22"/>
        <v>0</v>
      </c>
      <c r="M52" s="458">
        <f t="shared" si="22"/>
        <v>0</v>
      </c>
      <c r="N52" s="458">
        <f t="shared" si="22"/>
        <v>0</v>
      </c>
      <c r="O52" s="458">
        <f t="shared" si="22"/>
        <v>0</v>
      </c>
      <c r="P52" s="458">
        <f t="shared" si="22"/>
        <v>0</v>
      </c>
      <c r="Q52" s="458">
        <f t="shared" si="22"/>
        <v>0</v>
      </c>
      <c r="R52" s="458">
        <f t="shared" ref="R52:S52" si="23">R48*$H$4</f>
        <v>0</v>
      </c>
      <c r="S52" s="458">
        <f t="shared" si="23"/>
        <v>17248</v>
      </c>
    </row>
    <row r="53" spans="1:19" s="459" customFormat="1" x14ac:dyDescent="0.25">
      <c r="A53" s="453" t="s">
        <v>1547</v>
      </c>
      <c r="B53" s="458">
        <f>B49*$H$5</f>
        <v>0</v>
      </c>
      <c r="C53" s="458">
        <f t="shared" ref="C53:Q53" si="24">C49*$H$5</f>
        <v>0</v>
      </c>
      <c r="D53" s="458">
        <f t="shared" si="24"/>
        <v>0</v>
      </c>
      <c r="E53" s="458">
        <f t="shared" si="24"/>
        <v>0</v>
      </c>
      <c r="F53" s="458">
        <f t="shared" si="24"/>
        <v>11790</v>
      </c>
      <c r="G53" s="458">
        <f t="shared" si="24"/>
        <v>0</v>
      </c>
      <c r="H53" s="458">
        <f t="shared" si="24"/>
        <v>11790</v>
      </c>
      <c r="I53" s="458">
        <f t="shared" si="24"/>
        <v>0</v>
      </c>
      <c r="J53" s="458">
        <f t="shared" si="24"/>
        <v>11790</v>
      </c>
      <c r="K53" s="458">
        <f t="shared" si="24"/>
        <v>0</v>
      </c>
      <c r="L53" s="458">
        <f t="shared" si="24"/>
        <v>0</v>
      </c>
      <c r="M53" s="458">
        <f t="shared" si="24"/>
        <v>0</v>
      </c>
      <c r="N53" s="458">
        <f t="shared" si="24"/>
        <v>0</v>
      </c>
      <c r="O53" s="458">
        <f t="shared" si="24"/>
        <v>0</v>
      </c>
      <c r="P53" s="458">
        <f t="shared" si="24"/>
        <v>0</v>
      </c>
      <c r="Q53" s="458">
        <f t="shared" si="24"/>
        <v>11790</v>
      </c>
      <c r="R53" s="458">
        <f t="shared" ref="R53:S53" si="25">R49*$H$5</f>
        <v>0</v>
      </c>
      <c r="S53" s="458">
        <f t="shared" si="25"/>
        <v>11790</v>
      </c>
    </row>
    <row r="54" spans="1:19" s="459" customFormat="1" x14ac:dyDescent="0.25">
      <c r="A54" s="453" t="s">
        <v>1548</v>
      </c>
      <c r="B54" s="458">
        <f>B50*$H$6</f>
        <v>0</v>
      </c>
      <c r="C54" s="458">
        <f t="shared" ref="C54:Q54" si="26">C50*$H$6</f>
        <v>0</v>
      </c>
      <c r="D54" s="458">
        <f t="shared" si="26"/>
        <v>0</v>
      </c>
      <c r="E54" s="458">
        <f t="shared" si="26"/>
        <v>0</v>
      </c>
      <c r="F54" s="458">
        <f t="shared" si="26"/>
        <v>0</v>
      </c>
      <c r="G54" s="458">
        <f t="shared" si="26"/>
        <v>0</v>
      </c>
      <c r="H54" s="458">
        <f t="shared" si="26"/>
        <v>0</v>
      </c>
      <c r="I54" s="458">
        <f t="shared" si="26"/>
        <v>0</v>
      </c>
      <c r="J54" s="458">
        <f t="shared" si="26"/>
        <v>0</v>
      </c>
      <c r="K54" s="458">
        <f t="shared" si="26"/>
        <v>0</v>
      </c>
      <c r="L54" s="458">
        <f t="shared" si="26"/>
        <v>0</v>
      </c>
      <c r="M54" s="458">
        <f t="shared" si="26"/>
        <v>0</v>
      </c>
      <c r="N54" s="458">
        <f t="shared" si="26"/>
        <v>0</v>
      </c>
      <c r="O54" s="458">
        <f t="shared" si="26"/>
        <v>24358</v>
      </c>
      <c r="P54" s="458">
        <f t="shared" si="26"/>
        <v>0</v>
      </c>
      <c r="Q54" s="458">
        <f t="shared" si="26"/>
        <v>0</v>
      </c>
      <c r="R54" s="458">
        <f t="shared" ref="R54:S54" si="27">R50*$H$6</f>
        <v>0</v>
      </c>
      <c r="S54" s="458">
        <f t="shared" si="27"/>
        <v>0</v>
      </c>
    </row>
    <row r="55" spans="1:19" s="459" customFormat="1" x14ac:dyDescent="0.25">
      <c r="A55" s="453" t="s">
        <v>1549</v>
      </c>
      <c r="B55" s="458">
        <f>B51*$H$7</f>
        <v>0</v>
      </c>
      <c r="C55" s="458">
        <f t="shared" ref="C55:Q55" si="28">C51*$H$7</f>
        <v>0</v>
      </c>
      <c r="D55" s="458">
        <f t="shared" si="28"/>
        <v>0</v>
      </c>
      <c r="E55" s="458">
        <f t="shared" si="28"/>
        <v>0</v>
      </c>
      <c r="F55" s="458">
        <f t="shared" si="28"/>
        <v>5635</v>
      </c>
      <c r="G55" s="458">
        <f t="shared" si="28"/>
        <v>0</v>
      </c>
      <c r="H55" s="458">
        <f t="shared" si="28"/>
        <v>5635</v>
      </c>
      <c r="I55" s="458">
        <f t="shared" si="28"/>
        <v>0</v>
      </c>
      <c r="J55" s="458">
        <f t="shared" si="28"/>
        <v>5635</v>
      </c>
      <c r="K55" s="458">
        <f t="shared" si="28"/>
        <v>0</v>
      </c>
      <c r="L55" s="458">
        <f t="shared" si="28"/>
        <v>0</v>
      </c>
      <c r="M55" s="458">
        <f t="shared" si="28"/>
        <v>0</v>
      </c>
      <c r="N55" s="458">
        <f t="shared" si="28"/>
        <v>0</v>
      </c>
      <c r="O55" s="458">
        <f t="shared" si="28"/>
        <v>5635</v>
      </c>
      <c r="P55" s="458">
        <f t="shared" si="28"/>
        <v>0</v>
      </c>
      <c r="Q55" s="458">
        <f t="shared" si="28"/>
        <v>2800</v>
      </c>
      <c r="R55" s="458">
        <f t="shared" ref="R55:S55" si="29">R51*$H$7</f>
        <v>0</v>
      </c>
      <c r="S55" s="458">
        <f t="shared" si="29"/>
        <v>5635</v>
      </c>
    </row>
    <row r="56" spans="1:19" s="461" customFormat="1" ht="15.75" x14ac:dyDescent="0.25">
      <c r="A56" s="454" t="s">
        <v>1545</v>
      </c>
      <c r="B56" s="460">
        <f>B55+B54+B53+B52</f>
        <v>0</v>
      </c>
      <c r="C56" s="460">
        <f t="shared" ref="C56:Q56" si="30">C55+C54+C53+C52</f>
        <v>0</v>
      </c>
      <c r="D56" s="460">
        <f t="shared" si="30"/>
        <v>0</v>
      </c>
      <c r="E56" s="460">
        <f t="shared" si="30"/>
        <v>0</v>
      </c>
      <c r="F56" s="460">
        <f t="shared" si="30"/>
        <v>34673</v>
      </c>
      <c r="G56" s="460">
        <f t="shared" si="30"/>
        <v>0</v>
      </c>
      <c r="H56" s="460">
        <f t="shared" si="30"/>
        <v>34673</v>
      </c>
      <c r="I56" s="460">
        <f t="shared" si="30"/>
        <v>0</v>
      </c>
      <c r="J56" s="460">
        <f t="shared" si="30"/>
        <v>34673</v>
      </c>
      <c r="K56" s="460">
        <f t="shared" si="30"/>
        <v>0</v>
      </c>
      <c r="L56" s="460">
        <f t="shared" si="30"/>
        <v>0</v>
      </c>
      <c r="M56" s="460">
        <f t="shared" si="30"/>
        <v>0</v>
      </c>
      <c r="N56" s="460">
        <f t="shared" si="30"/>
        <v>0</v>
      </c>
      <c r="O56" s="460">
        <f t="shared" si="30"/>
        <v>29993</v>
      </c>
      <c r="P56" s="460">
        <f t="shared" si="30"/>
        <v>0</v>
      </c>
      <c r="Q56" s="460">
        <f t="shared" si="30"/>
        <v>14590</v>
      </c>
      <c r="R56" s="460">
        <f t="shared" ref="R56:S56" si="31">R55+R54+R53+R52</f>
        <v>0</v>
      </c>
      <c r="S56" s="460">
        <f t="shared" si="31"/>
        <v>34673</v>
      </c>
    </row>
    <row r="57" spans="1:19" s="461" customFormat="1" ht="15.75" x14ac:dyDescent="0.25">
      <c r="A57" s="454" t="s">
        <v>1551</v>
      </c>
      <c r="B57" s="472">
        <f>B56</f>
        <v>0</v>
      </c>
      <c r="C57" s="460">
        <f>C56+B57</f>
        <v>0</v>
      </c>
      <c r="D57" s="460">
        <f t="shared" ref="D57:S57" si="32">D56+C57</f>
        <v>0</v>
      </c>
      <c r="E57" s="460">
        <f t="shared" si="32"/>
        <v>0</v>
      </c>
      <c r="F57" s="460">
        <f t="shared" si="32"/>
        <v>34673</v>
      </c>
      <c r="G57" s="460">
        <f t="shared" si="32"/>
        <v>34673</v>
      </c>
      <c r="H57" s="460">
        <f t="shared" si="32"/>
        <v>69346</v>
      </c>
      <c r="I57" s="460">
        <f t="shared" si="32"/>
        <v>69346</v>
      </c>
      <c r="J57" s="460">
        <f t="shared" si="32"/>
        <v>104019</v>
      </c>
      <c r="K57" s="460">
        <f t="shared" si="32"/>
        <v>104019</v>
      </c>
      <c r="L57" s="460">
        <f t="shared" si="32"/>
        <v>104019</v>
      </c>
      <c r="M57" s="460">
        <f t="shared" si="32"/>
        <v>104019</v>
      </c>
      <c r="N57" s="460">
        <f t="shared" si="32"/>
        <v>104019</v>
      </c>
      <c r="O57" s="460">
        <f t="shared" si="32"/>
        <v>134012</v>
      </c>
      <c r="P57" s="460">
        <f t="shared" si="32"/>
        <v>134012</v>
      </c>
      <c r="Q57" s="460">
        <f t="shared" si="32"/>
        <v>148602</v>
      </c>
      <c r="R57" s="460">
        <f t="shared" si="32"/>
        <v>148602</v>
      </c>
      <c r="S57" s="460">
        <f t="shared" si="32"/>
        <v>183275</v>
      </c>
    </row>
    <row r="58" spans="1:19" s="466" customFormat="1" x14ac:dyDescent="0.25">
      <c r="A58" s="463" t="s">
        <v>1563</v>
      </c>
      <c r="B58" s="464">
        <f>C38*D4</f>
        <v>110885.40000000011</v>
      </c>
      <c r="C58" s="465">
        <v>0</v>
      </c>
      <c r="D58" s="465">
        <f t="shared" ref="D58:P58" si="33">C58</f>
        <v>0</v>
      </c>
      <c r="E58" s="465">
        <f t="shared" si="33"/>
        <v>0</v>
      </c>
      <c r="F58" s="465">
        <f t="shared" si="33"/>
        <v>0</v>
      </c>
      <c r="G58" s="465">
        <f t="shared" si="33"/>
        <v>0</v>
      </c>
      <c r="H58" s="465">
        <f t="shared" si="33"/>
        <v>0</v>
      </c>
      <c r="I58" s="465">
        <f t="shared" si="33"/>
        <v>0</v>
      </c>
      <c r="J58" s="465">
        <f t="shared" si="33"/>
        <v>0</v>
      </c>
      <c r="K58" s="465">
        <f t="shared" si="33"/>
        <v>0</v>
      </c>
      <c r="L58" s="465">
        <f t="shared" si="33"/>
        <v>0</v>
      </c>
      <c r="M58" s="465">
        <f t="shared" si="33"/>
        <v>0</v>
      </c>
      <c r="N58" s="465">
        <f t="shared" si="33"/>
        <v>0</v>
      </c>
      <c r="O58" s="465">
        <f t="shared" si="33"/>
        <v>0</v>
      </c>
      <c r="P58" s="465">
        <f t="shared" si="33"/>
        <v>0</v>
      </c>
      <c r="Q58" s="465">
        <f>Q38*D4</f>
        <v>64530</v>
      </c>
      <c r="R58" s="465">
        <v>0</v>
      </c>
      <c r="S58" s="465">
        <v>0</v>
      </c>
    </row>
    <row r="59" spans="1:19" s="466" customFormat="1" x14ac:dyDescent="0.25">
      <c r="A59" s="463" t="s">
        <v>1564</v>
      </c>
      <c r="B59" s="464">
        <f>C39*D5</f>
        <v>88448.999999999971</v>
      </c>
      <c r="C59" s="465">
        <v>0</v>
      </c>
      <c r="D59" s="465">
        <f t="shared" ref="D59:P59" si="34">C59</f>
        <v>0</v>
      </c>
      <c r="E59" s="465">
        <f t="shared" si="34"/>
        <v>0</v>
      </c>
      <c r="F59" s="465">
        <f t="shared" si="34"/>
        <v>0</v>
      </c>
      <c r="G59" s="465">
        <f t="shared" si="34"/>
        <v>0</v>
      </c>
      <c r="H59" s="465">
        <f t="shared" si="34"/>
        <v>0</v>
      </c>
      <c r="I59" s="465">
        <f t="shared" si="34"/>
        <v>0</v>
      </c>
      <c r="J59" s="465">
        <f t="shared" si="34"/>
        <v>0</v>
      </c>
      <c r="K59" s="465">
        <f t="shared" si="34"/>
        <v>0</v>
      </c>
      <c r="L59" s="465">
        <f t="shared" si="34"/>
        <v>0</v>
      </c>
      <c r="M59" s="465">
        <f t="shared" si="34"/>
        <v>0</v>
      </c>
      <c r="N59" s="465">
        <f t="shared" si="34"/>
        <v>0</v>
      </c>
      <c r="O59" s="465">
        <f t="shared" si="34"/>
        <v>0</v>
      </c>
      <c r="P59" s="465">
        <f t="shared" si="34"/>
        <v>0</v>
      </c>
      <c r="Q59" s="465">
        <f t="shared" ref="Q59:Q61" si="35">Q39*D5</f>
        <v>55425</v>
      </c>
      <c r="R59" s="465">
        <v>0</v>
      </c>
      <c r="S59" s="465">
        <v>0</v>
      </c>
    </row>
    <row r="60" spans="1:19" s="466" customFormat="1" x14ac:dyDescent="0.25">
      <c r="A60" s="463" t="s">
        <v>1565</v>
      </c>
      <c r="B60" s="464">
        <f>C40*D6</f>
        <v>115405.1999999999</v>
      </c>
      <c r="C60" s="465">
        <v>0</v>
      </c>
      <c r="D60" s="465">
        <f t="shared" ref="D60:P60" si="36">C60</f>
        <v>0</v>
      </c>
      <c r="E60" s="465">
        <f t="shared" si="36"/>
        <v>0</v>
      </c>
      <c r="F60" s="465">
        <f t="shared" si="36"/>
        <v>0</v>
      </c>
      <c r="G60" s="465">
        <f t="shared" si="36"/>
        <v>0</v>
      </c>
      <c r="H60" s="465">
        <f t="shared" si="36"/>
        <v>0</v>
      </c>
      <c r="I60" s="465">
        <f t="shared" si="36"/>
        <v>0</v>
      </c>
      <c r="J60" s="465">
        <f t="shared" si="36"/>
        <v>0</v>
      </c>
      <c r="K60" s="465">
        <f t="shared" si="36"/>
        <v>0</v>
      </c>
      <c r="L60" s="465">
        <f t="shared" si="36"/>
        <v>0</v>
      </c>
      <c r="M60" s="465">
        <f t="shared" si="36"/>
        <v>0</v>
      </c>
      <c r="N60" s="465">
        <f t="shared" si="36"/>
        <v>0</v>
      </c>
      <c r="O60" s="465">
        <f t="shared" si="36"/>
        <v>0</v>
      </c>
      <c r="P60" s="465">
        <f t="shared" si="36"/>
        <v>0</v>
      </c>
      <c r="Q60" s="465">
        <f t="shared" si="35"/>
        <v>83970</v>
      </c>
      <c r="R60" s="465">
        <v>0</v>
      </c>
      <c r="S60" s="465">
        <v>0</v>
      </c>
    </row>
    <row r="61" spans="1:19" s="466" customFormat="1" x14ac:dyDescent="0.25">
      <c r="A61" s="463" t="s">
        <v>1566</v>
      </c>
      <c r="B61" s="464">
        <f>C41*D7</f>
        <v>48264.000000000029</v>
      </c>
      <c r="C61" s="465">
        <v>0</v>
      </c>
      <c r="D61" s="465">
        <f t="shared" ref="D61:P61" si="37">C61</f>
        <v>0</v>
      </c>
      <c r="E61" s="465">
        <f t="shared" si="37"/>
        <v>0</v>
      </c>
      <c r="F61" s="465">
        <f t="shared" si="37"/>
        <v>0</v>
      </c>
      <c r="G61" s="465">
        <f t="shared" si="37"/>
        <v>0</v>
      </c>
      <c r="H61" s="465">
        <f t="shared" si="37"/>
        <v>0</v>
      </c>
      <c r="I61" s="465">
        <f t="shared" si="37"/>
        <v>0</v>
      </c>
      <c r="J61" s="465">
        <f t="shared" si="37"/>
        <v>0</v>
      </c>
      <c r="K61" s="465">
        <f t="shared" si="37"/>
        <v>0</v>
      </c>
      <c r="L61" s="465">
        <f t="shared" si="37"/>
        <v>0</v>
      </c>
      <c r="M61" s="465">
        <f t="shared" si="37"/>
        <v>0</v>
      </c>
      <c r="N61" s="465">
        <f t="shared" si="37"/>
        <v>0</v>
      </c>
      <c r="O61" s="465">
        <f t="shared" si="37"/>
        <v>0</v>
      </c>
      <c r="P61" s="465">
        <f t="shared" si="37"/>
        <v>0</v>
      </c>
      <c r="Q61" s="465">
        <f t="shared" si="35"/>
        <v>44400</v>
      </c>
      <c r="R61" s="465">
        <v>0</v>
      </c>
      <c r="S61" s="465">
        <v>0</v>
      </c>
    </row>
    <row r="62" spans="1:19" s="466" customFormat="1" x14ac:dyDescent="0.25">
      <c r="A62" s="463" t="s">
        <v>1540</v>
      </c>
      <c r="B62" s="464">
        <f>C38*F4</f>
        <v>1232.0600000000013</v>
      </c>
      <c r="C62" s="465">
        <f>B62</f>
        <v>1232.0600000000013</v>
      </c>
      <c r="D62" s="465">
        <f t="shared" ref="D62:S62" si="38">C62</f>
        <v>1232.0600000000013</v>
      </c>
      <c r="E62" s="465">
        <f t="shared" si="38"/>
        <v>1232.0600000000013</v>
      </c>
      <c r="F62" s="465">
        <f t="shared" si="38"/>
        <v>1232.0600000000013</v>
      </c>
      <c r="G62" s="465">
        <f t="shared" si="38"/>
        <v>1232.0600000000013</v>
      </c>
      <c r="H62" s="465">
        <f t="shared" si="38"/>
        <v>1232.0600000000013</v>
      </c>
      <c r="I62" s="465">
        <f t="shared" si="38"/>
        <v>1232.0600000000013</v>
      </c>
      <c r="J62" s="465">
        <f t="shared" si="38"/>
        <v>1232.0600000000013</v>
      </c>
      <c r="K62" s="465">
        <f t="shared" si="38"/>
        <v>1232.0600000000013</v>
      </c>
      <c r="L62" s="465">
        <f t="shared" si="38"/>
        <v>1232.0600000000013</v>
      </c>
      <c r="M62" s="465">
        <f t="shared" si="38"/>
        <v>1232.0600000000013</v>
      </c>
      <c r="N62" s="465">
        <f t="shared" si="38"/>
        <v>1232.0600000000013</v>
      </c>
      <c r="O62" s="465">
        <f t="shared" si="38"/>
        <v>1232.0600000000013</v>
      </c>
      <c r="P62" s="465">
        <f t="shared" si="38"/>
        <v>1232.0600000000013</v>
      </c>
      <c r="Q62" s="465">
        <f>P62+Q38*F4</f>
        <v>1949.0600000000013</v>
      </c>
      <c r="R62" s="465">
        <f t="shared" si="38"/>
        <v>1949.0600000000013</v>
      </c>
      <c r="S62" s="465">
        <f t="shared" si="38"/>
        <v>1949.0600000000013</v>
      </c>
    </row>
    <row r="63" spans="1:19" s="466" customFormat="1" x14ac:dyDescent="0.25">
      <c r="A63" s="463" t="s">
        <v>1541</v>
      </c>
      <c r="B63" s="464">
        <f>C39*F5</f>
        <v>825.52399999999977</v>
      </c>
      <c r="C63" s="465">
        <f t="shared" ref="C63:S65" si="39">B63</f>
        <v>825.52399999999977</v>
      </c>
      <c r="D63" s="465">
        <f t="shared" si="39"/>
        <v>825.52399999999977</v>
      </c>
      <c r="E63" s="465">
        <f t="shared" si="39"/>
        <v>825.52399999999977</v>
      </c>
      <c r="F63" s="465">
        <f t="shared" si="39"/>
        <v>825.52399999999977</v>
      </c>
      <c r="G63" s="465">
        <f t="shared" si="39"/>
        <v>825.52399999999977</v>
      </c>
      <c r="H63" s="465">
        <f t="shared" si="39"/>
        <v>825.52399999999977</v>
      </c>
      <c r="I63" s="465">
        <f t="shared" si="39"/>
        <v>825.52399999999977</v>
      </c>
      <c r="J63" s="465">
        <f t="shared" si="39"/>
        <v>825.52399999999977</v>
      </c>
      <c r="K63" s="465">
        <f t="shared" si="39"/>
        <v>825.52399999999977</v>
      </c>
      <c r="L63" s="465">
        <f t="shared" si="39"/>
        <v>825.52399999999977</v>
      </c>
      <c r="M63" s="465">
        <f t="shared" si="39"/>
        <v>825.52399999999977</v>
      </c>
      <c r="N63" s="465">
        <f t="shared" si="39"/>
        <v>825.52399999999977</v>
      </c>
      <c r="O63" s="465">
        <f t="shared" si="39"/>
        <v>825.52399999999977</v>
      </c>
      <c r="P63" s="465">
        <f t="shared" si="39"/>
        <v>825.52399999999977</v>
      </c>
      <c r="Q63" s="465">
        <f t="shared" ref="Q63:Q65" si="40">P63+Q39*F5</f>
        <v>1342.8239999999996</v>
      </c>
      <c r="R63" s="465">
        <f t="shared" si="39"/>
        <v>1342.8239999999996</v>
      </c>
      <c r="S63" s="465">
        <f t="shared" si="39"/>
        <v>1342.8239999999996</v>
      </c>
    </row>
    <row r="64" spans="1:19" s="466" customFormat="1" x14ac:dyDescent="0.25">
      <c r="A64" s="463" t="s">
        <v>1542</v>
      </c>
      <c r="B64" s="464">
        <f>C40*F6</f>
        <v>1282.2799999999988</v>
      </c>
      <c r="C64" s="465">
        <f t="shared" si="39"/>
        <v>1282.2799999999988</v>
      </c>
      <c r="D64" s="465">
        <f t="shared" si="39"/>
        <v>1282.2799999999988</v>
      </c>
      <c r="E64" s="465">
        <f t="shared" si="39"/>
        <v>1282.2799999999988</v>
      </c>
      <c r="F64" s="465">
        <f t="shared" si="39"/>
        <v>1282.2799999999988</v>
      </c>
      <c r="G64" s="465">
        <f t="shared" si="39"/>
        <v>1282.2799999999988</v>
      </c>
      <c r="H64" s="465">
        <f t="shared" si="39"/>
        <v>1282.2799999999988</v>
      </c>
      <c r="I64" s="465">
        <f t="shared" si="39"/>
        <v>1282.2799999999988</v>
      </c>
      <c r="J64" s="465">
        <f t="shared" si="39"/>
        <v>1282.2799999999988</v>
      </c>
      <c r="K64" s="465">
        <f t="shared" si="39"/>
        <v>1282.2799999999988</v>
      </c>
      <c r="L64" s="465">
        <f t="shared" si="39"/>
        <v>1282.2799999999988</v>
      </c>
      <c r="M64" s="465">
        <f t="shared" si="39"/>
        <v>1282.2799999999988</v>
      </c>
      <c r="N64" s="465">
        <f t="shared" si="39"/>
        <v>1282.2799999999988</v>
      </c>
      <c r="O64" s="465">
        <f t="shared" si="39"/>
        <v>1282.2799999999988</v>
      </c>
      <c r="P64" s="465">
        <f t="shared" si="39"/>
        <v>1282.2799999999988</v>
      </c>
      <c r="Q64" s="465">
        <f t="shared" si="40"/>
        <v>2215.2799999999988</v>
      </c>
      <c r="R64" s="465">
        <f t="shared" si="39"/>
        <v>2215.2799999999988</v>
      </c>
      <c r="S64" s="465">
        <f t="shared" si="39"/>
        <v>2215.2799999999988</v>
      </c>
    </row>
    <row r="65" spans="1:19" s="466" customFormat="1" x14ac:dyDescent="0.25">
      <c r="A65" s="463" t="s">
        <v>1543</v>
      </c>
      <c r="B65" s="464">
        <f>C41*F7</f>
        <v>402.20000000000027</v>
      </c>
      <c r="C65" s="465">
        <f t="shared" si="39"/>
        <v>402.20000000000027</v>
      </c>
      <c r="D65" s="465">
        <f t="shared" si="39"/>
        <v>402.20000000000027</v>
      </c>
      <c r="E65" s="465">
        <f t="shared" si="39"/>
        <v>402.20000000000027</v>
      </c>
      <c r="F65" s="465">
        <f t="shared" si="39"/>
        <v>402.20000000000027</v>
      </c>
      <c r="G65" s="465">
        <f t="shared" si="39"/>
        <v>402.20000000000027</v>
      </c>
      <c r="H65" s="465">
        <f t="shared" si="39"/>
        <v>402.20000000000027</v>
      </c>
      <c r="I65" s="465">
        <f t="shared" si="39"/>
        <v>402.20000000000027</v>
      </c>
      <c r="J65" s="465">
        <f t="shared" si="39"/>
        <v>402.20000000000027</v>
      </c>
      <c r="K65" s="465">
        <f t="shared" si="39"/>
        <v>402.20000000000027</v>
      </c>
      <c r="L65" s="465">
        <f t="shared" si="39"/>
        <v>402.20000000000027</v>
      </c>
      <c r="M65" s="465">
        <f t="shared" si="39"/>
        <v>402.20000000000027</v>
      </c>
      <c r="N65" s="465">
        <f t="shared" si="39"/>
        <v>402.20000000000027</v>
      </c>
      <c r="O65" s="465">
        <f t="shared" si="39"/>
        <v>402.20000000000027</v>
      </c>
      <c r="P65" s="465">
        <f t="shared" si="39"/>
        <v>402.20000000000027</v>
      </c>
      <c r="Q65" s="465">
        <f t="shared" si="40"/>
        <v>772.20000000000027</v>
      </c>
      <c r="R65" s="465">
        <f t="shared" si="39"/>
        <v>772.20000000000027</v>
      </c>
      <c r="S65" s="465">
        <f t="shared" si="39"/>
        <v>772.20000000000027</v>
      </c>
    </row>
    <row r="66" spans="1:19" s="469" customFormat="1" ht="15.75" x14ac:dyDescent="0.25">
      <c r="A66" s="467" t="s">
        <v>1544</v>
      </c>
      <c r="B66" s="468">
        <f>SUM(B58:B65)</f>
        <v>366745.66399999993</v>
      </c>
      <c r="C66" s="468">
        <f t="shared" ref="C66:Q66" si="41">SUM(C58:C65)</f>
        <v>3742.0640000000003</v>
      </c>
      <c r="D66" s="468">
        <f t="shared" si="41"/>
        <v>3742.0640000000003</v>
      </c>
      <c r="E66" s="468">
        <f t="shared" si="41"/>
        <v>3742.0640000000003</v>
      </c>
      <c r="F66" s="468">
        <f t="shared" si="41"/>
        <v>3742.0640000000003</v>
      </c>
      <c r="G66" s="468">
        <f t="shared" si="41"/>
        <v>3742.0640000000003</v>
      </c>
      <c r="H66" s="468">
        <f t="shared" si="41"/>
        <v>3742.0640000000003</v>
      </c>
      <c r="I66" s="468">
        <f t="shared" si="41"/>
        <v>3742.0640000000003</v>
      </c>
      <c r="J66" s="468">
        <f t="shared" si="41"/>
        <v>3742.0640000000003</v>
      </c>
      <c r="K66" s="468">
        <f t="shared" si="41"/>
        <v>3742.0640000000003</v>
      </c>
      <c r="L66" s="468">
        <f t="shared" si="41"/>
        <v>3742.0640000000003</v>
      </c>
      <c r="M66" s="468">
        <f t="shared" si="41"/>
        <v>3742.0640000000003</v>
      </c>
      <c r="N66" s="468">
        <f t="shared" si="41"/>
        <v>3742.0640000000003</v>
      </c>
      <c r="O66" s="468">
        <f t="shared" si="41"/>
        <v>3742.0640000000003</v>
      </c>
      <c r="P66" s="468">
        <f t="shared" si="41"/>
        <v>3742.0640000000003</v>
      </c>
      <c r="Q66" s="468">
        <f t="shared" si="41"/>
        <v>254604.364</v>
      </c>
      <c r="R66" s="468">
        <f t="shared" ref="R66:S66" si="42">SUM(R58:R65)</f>
        <v>6279.3639999999996</v>
      </c>
      <c r="S66" s="468">
        <f t="shared" si="42"/>
        <v>6279.3639999999996</v>
      </c>
    </row>
    <row r="67" spans="1:19" s="471" customFormat="1" ht="15.75" x14ac:dyDescent="0.25">
      <c r="A67" s="467" t="s">
        <v>1552</v>
      </c>
      <c r="B67" s="470">
        <f>B66</f>
        <v>366745.66399999993</v>
      </c>
      <c r="C67" s="470">
        <f>B67+C66</f>
        <v>370487.72799999994</v>
      </c>
      <c r="D67" s="470">
        <f t="shared" ref="D67:S67" si="43">C67+D66</f>
        <v>374229.79199999996</v>
      </c>
      <c r="E67" s="470">
        <f t="shared" si="43"/>
        <v>377971.85599999997</v>
      </c>
      <c r="F67" s="470">
        <f t="shared" si="43"/>
        <v>381713.91999999998</v>
      </c>
      <c r="G67" s="470">
        <f t="shared" si="43"/>
        <v>385455.984</v>
      </c>
      <c r="H67" s="470">
        <f t="shared" si="43"/>
        <v>389198.04800000001</v>
      </c>
      <c r="I67" s="470">
        <f t="shared" si="43"/>
        <v>392940.11200000002</v>
      </c>
      <c r="J67" s="470">
        <f t="shared" si="43"/>
        <v>396682.17600000004</v>
      </c>
      <c r="K67" s="470">
        <f t="shared" si="43"/>
        <v>400424.24000000005</v>
      </c>
      <c r="L67" s="470">
        <f t="shared" si="43"/>
        <v>404166.30400000006</v>
      </c>
      <c r="M67" s="470">
        <f t="shared" si="43"/>
        <v>407908.36800000007</v>
      </c>
      <c r="N67" s="470">
        <f t="shared" si="43"/>
        <v>411650.43200000009</v>
      </c>
      <c r="O67" s="470">
        <f t="shared" si="43"/>
        <v>415392.4960000001</v>
      </c>
      <c r="P67" s="470">
        <f t="shared" si="43"/>
        <v>419134.56000000011</v>
      </c>
      <c r="Q67" s="470">
        <f t="shared" si="43"/>
        <v>673738.92400000012</v>
      </c>
      <c r="R67" s="470">
        <f t="shared" si="43"/>
        <v>680018.28800000006</v>
      </c>
      <c r="S67" s="470">
        <f t="shared" si="43"/>
        <v>686297.652</v>
      </c>
    </row>
    <row r="68" spans="1:19" s="466" customFormat="1" x14ac:dyDescent="0.25">
      <c r="A68" s="463" t="s">
        <v>1550</v>
      </c>
      <c r="B68" s="465">
        <f t="shared" ref="B68:R68" si="44">B57-B67</f>
        <v>-366745.66399999993</v>
      </c>
      <c r="C68" s="465">
        <f t="shared" si="44"/>
        <v>-370487.72799999994</v>
      </c>
      <c r="D68" s="465">
        <f t="shared" si="44"/>
        <v>-374229.79199999996</v>
      </c>
      <c r="E68" s="465">
        <f t="shared" si="44"/>
        <v>-377971.85599999997</v>
      </c>
      <c r="F68" s="465">
        <f t="shared" si="44"/>
        <v>-347040.92</v>
      </c>
      <c r="G68" s="465">
        <f t="shared" si="44"/>
        <v>-350782.984</v>
      </c>
      <c r="H68" s="465">
        <f t="shared" si="44"/>
        <v>-319852.04800000001</v>
      </c>
      <c r="I68" s="465">
        <f t="shared" si="44"/>
        <v>-323594.11200000002</v>
      </c>
      <c r="J68" s="465">
        <f t="shared" si="44"/>
        <v>-292663.17600000004</v>
      </c>
      <c r="K68" s="465">
        <f t="shared" si="44"/>
        <v>-296405.24000000005</v>
      </c>
      <c r="L68" s="465">
        <f t="shared" si="44"/>
        <v>-300147.30400000006</v>
      </c>
      <c r="M68" s="465">
        <f t="shared" si="44"/>
        <v>-303889.36800000007</v>
      </c>
      <c r="N68" s="465">
        <f t="shared" si="44"/>
        <v>-307631.43200000009</v>
      </c>
      <c r="O68" s="465">
        <f t="shared" si="44"/>
        <v>-281380.4960000001</v>
      </c>
      <c r="P68" s="465">
        <f t="shared" si="44"/>
        <v>-285122.56000000011</v>
      </c>
      <c r="Q68" s="465">
        <f t="shared" si="44"/>
        <v>-525136.92400000012</v>
      </c>
      <c r="R68" s="465">
        <f t="shared" si="44"/>
        <v>-531416.28800000006</v>
      </c>
      <c r="S68" s="465">
        <f t="shared" ref="S68" si="45">S57-S67</f>
        <v>-503022.652</v>
      </c>
    </row>
  </sheetData>
  <mergeCells count="3">
    <mergeCell ref="D2:E2"/>
    <mergeCell ref="F2:G2"/>
    <mergeCell ref="H2:I2"/>
  </mergeCells>
  <conditionalFormatting sqref="B32:AD32">
    <cfRule type="cellIs" dxfId="19" priority="5" operator="lessThan">
      <formula>0</formula>
    </cfRule>
  </conditionalFormatting>
  <conditionalFormatting sqref="B32:AD32">
    <cfRule type="cellIs" dxfId="18" priority="6" operator="greaterThan">
      <formula>0</formula>
    </cfRule>
  </conditionalFormatting>
  <conditionalFormatting sqref="B68:Q68">
    <cfRule type="cellIs" dxfId="17" priority="3" operator="lessThan">
      <formula>0</formula>
    </cfRule>
    <cfRule type="cellIs" dxfId="16" priority="4" operator="greaterThan">
      <formula>0</formula>
    </cfRule>
  </conditionalFormatting>
  <conditionalFormatting sqref="R68:S68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BH3" activePane="bottomRight" state="frozen"/>
      <selection pane="topRight"/>
      <selection pane="bottomLeft"/>
      <selection pane="bottomRight" activeCell="CB19" sqref="CB19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616</v>
      </c>
      <c r="Z1" t="s">
        <v>617</v>
      </c>
      <c r="AD1" t="s">
        <v>618</v>
      </c>
      <c r="AH1" t="s">
        <v>619</v>
      </c>
      <c r="AL1" t="s">
        <v>620</v>
      </c>
      <c r="AP1" t="s">
        <v>621</v>
      </c>
      <c r="AW1" t="s">
        <v>622</v>
      </c>
      <c r="BD1" t="s">
        <v>623</v>
      </c>
      <c r="BI1" t="s">
        <v>624</v>
      </c>
      <c r="BN1" t="s">
        <v>625</v>
      </c>
      <c r="BS1" t="s">
        <v>626</v>
      </c>
      <c r="BX1" t="s">
        <v>627</v>
      </c>
      <c r="CB1" t="s">
        <v>171</v>
      </c>
    </row>
    <row r="2" spans="1:83" x14ac:dyDescent="0.25">
      <c r="A2" s="31" t="s">
        <v>176</v>
      </c>
      <c r="B2" s="31" t="s">
        <v>628</v>
      </c>
      <c r="C2" s="31" t="s">
        <v>109</v>
      </c>
      <c r="D2" s="51" t="s">
        <v>290</v>
      </c>
      <c r="E2" s="31" t="s">
        <v>629</v>
      </c>
      <c r="F2" s="39" t="s">
        <v>630</v>
      </c>
      <c r="G2" s="39" t="s">
        <v>121</v>
      </c>
      <c r="H2" s="39" t="s">
        <v>122</v>
      </c>
      <c r="I2" s="40" t="s">
        <v>117</v>
      </c>
      <c r="J2" s="32" t="s">
        <v>517</v>
      </c>
      <c r="K2" s="32" t="s">
        <v>149</v>
      </c>
      <c r="L2" s="32" t="s">
        <v>182</v>
      </c>
      <c r="M2" s="32" t="s">
        <v>183</v>
      </c>
      <c r="N2" s="32" t="s">
        <v>314</v>
      </c>
      <c r="O2" s="32" t="s">
        <v>185</v>
      </c>
      <c r="P2" s="32" t="s">
        <v>186</v>
      </c>
      <c r="Q2" s="32" t="s">
        <v>187</v>
      </c>
      <c r="R2" s="33" t="s">
        <v>135</v>
      </c>
      <c r="S2" s="33" t="s">
        <v>631</v>
      </c>
      <c r="T2" s="33" t="s">
        <v>632</v>
      </c>
      <c r="U2" s="33" t="s">
        <v>633</v>
      </c>
      <c r="V2" s="33" t="s">
        <v>634</v>
      </c>
      <c r="W2" s="34" t="s">
        <v>635</v>
      </c>
      <c r="X2" s="34" t="s">
        <v>636</v>
      </c>
      <c r="Y2" s="34" t="s">
        <v>635</v>
      </c>
      <c r="Z2" s="35" t="s">
        <v>635</v>
      </c>
      <c r="AA2" s="35" t="s">
        <v>636</v>
      </c>
      <c r="AB2" s="35" t="s">
        <v>635</v>
      </c>
      <c r="AC2" s="35" t="s">
        <v>168</v>
      </c>
      <c r="AD2" s="35" t="s">
        <v>635</v>
      </c>
      <c r="AE2" s="35" t="s">
        <v>636</v>
      </c>
      <c r="AF2" s="35" t="s">
        <v>635</v>
      </c>
      <c r="AG2" s="35" t="s">
        <v>168</v>
      </c>
      <c r="AH2" s="34" t="s">
        <v>635</v>
      </c>
      <c r="AI2" s="34" t="s">
        <v>636</v>
      </c>
      <c r="AJ2" s="34" t="s">
        <v>168</v>
      </c>
      <c r="AK2" s="34" t="s">
        <v>637</v>
      </c>
      <c r="AL2" s="34" t="s">
        <v>635</v>
      </c>
      <c r="AM2" s="34" t="s">
        <v>636</v>
      </c>
      <c r="AN2" s="34" t="s">
        <v>168</v>
      </c>
      <c r="AO2" s="34" t="s">
        <v>637</v>
      </c>
      <c r="AP2" s="34" t="s">
        <v>635</v>
      </c>
      <c r="AQ2" s="34" t="s">
        <v>636</v>
      </c>
      <c r="AR2" s="34" t="s">
        <v>635</v>
      </c>
      <c r="AS2" s="34" t="s">
        <v>168</v>
      </c>
      <c r="AT2" s="34" t="s">
        <v>637</v>
      </c>
      <c r="AU2" s="34" t="s">
        <v>638</v>
      </c>
      <c r="AV2" s="34" t="s">
        <v>637</v>
      </c>
      <c r="AW2" s="34" t="s">
        <v>635</v>
      </c>
      <c r="AX2" s="34" t="s">
        <v>636</v>
      </c>
      <c r="AY2" s="34" t="s">
        <v>635</v>
      </c>
      <c r="AZ2" s="34" t="s">
        <v>168</v>
      </c>
      <c r="BA2" s="34" t="s">
        <v>637</v>
      </c>
      <c r="BB2" s="34" t="s">
        <v>638</v>
      </c>
      <c r="BC2" s="34" t="s">
        <v>637</v>
      </c>
      <c r="BD2" s="35" t="s">
        <v>635</v>
      </c>
      <c r="BE2" s="35" t="s">
        <v>636</v>
      </c>
      <c r="BF2" s="35" t="s">
        <v>168</v>
      </c>
      <c r="BG2" s="35" t="s">
        <v>637</v>
      </c>
      <c r="BH2" s="35" t="s">
        <v>638</v>
      </c>
      <c r="BI2" s="35" t="s">
        <v>635</v>
      </c>
      <c r="BJ2" s="35" t="s">
        <v>636</v>
      </c>
      <c r="BK2" s="35" t="s">
        <v>168</v>
      </c>
      <c r="BL2" s="35" t="s">
        <v>637</v>
      </c>
      <c r="BM2" s="35" t="s">
        <v>638</v>
      </c>
      <c r="BN2" s="34" t="s">
        <v>635</v>
      </c>
      <c r="BO2" s="34" t="s">
        <v>636</v>
      </c>
      <c r="BP2" s="34" t="s">
        <v>168</v>
      </c>
      <c r="BQ2" s="34" t="s">
        <v>637</v>
      </c>
      <c r="BR2" s="34" t="s">
        <v>638</v>
      </c>
      <c r="BS2" s="34" t="s">
        <v>635</v>
      </c>
      <c r="BT2" s="34" t="s">
        <v>636</v>
      </c>
      <c r="BU2" s="34" t="s">
        <v>168</v>
      </c>
      <c r="BV2" s="34" t="s">
        <v>637</v>
      </c>
      <c r="BW2" s="34" t="s">
        <v>638</v>
      </c>
      <c r="BX2" s="35" t="s">
        <v>168</v>
      </c>
      <c r="BY2" s="35" t="s">
        <v>637</v>
      </c>
      <c r="BZ2" s="35" t="s">
        <v>638</v>
      </c>
      <c r="CA2" s="35" t="s">
        <v>637</v>
      </c>
      <c r="CB2" s="34" t="s">
        <v>637</v>
      </c>
      <c r="CC2" s="34" t="s">
        <v>638</v>
      </c>
      <c r="CD2" s="34" t="s">
        <v>637</v>
      </c>
      <c r="CE2" s="34" t="s">
        <v>168</v>
      </c>
    </row>
    <row r="3" spans="1:83" x14ac:dyDescent="0.25">
      <c r="A3" s="440" t="str">
        <f>PLANTILLA!D4</f>
        <v>Cosme Fonteboa</v>
      </c>
      <c r="B3" s="440">
        <f>PLANTILLA!E4</f>
        <v>32</v>
      </c>
      <c r="C3" s="441">
        <f ca="1">PLANTILLA!F4</f>
        <v>2</v>
      </c>
      <c r="D3" s="442">
        <f>PLANTILLA!G4</f>
        <v>0</v>
      </c>
      <c r="E3" s="443">
        <f>PLANTILLA!M4</f>
        <v>43415</v>
      </c>
      <c r="F3" s="444">
        <f>PLANTILLA!Q4</f>
        <v>6</v>
      </c>
      <c r="G3" s="445">
        <f t="shared" ref="G3" si="0">(F3/7)^0.5</f>
        <v>0.92582009977255142</v>
      </c>
      <c r="H3" s="445">
        <f t="shared" ref="H3" si="1">IF(F3=7,1,((F3+0.99)/7)^0.5)</f>
        <v>0.99928545900129484</v>
      </c>
      <c r="I3" s="446">
        <f ca="1">PLANTILLA!N4</f>
        <v>1</v>
      </c>
      <c r="J3" s="29">
        <f>PLANTILLA!I4</f>
        <v>14</v>
      </c>
      <c r="K3" s="36">
        <f>PLANTILLA!X4</f>
        <v>15</v>
      </c>
      <c r="L3" s="36">
        <f>PLANTILLA!Y4</f>
        <v>13.214285714285714</v>
      </c>
      <c r="M3" s="36">
        <f>PLANTILLA!Z4</f>
        <v>0</v>
      </c>
      <c r="N3" s="36">
        <f>PLANTILLA!AA4</f>
        <v>2</v>
      </c>
      <c r="O3" s="36">
        <f>PLANTILLA!AB4</f>
        <v>1</v>
      </c>
      <c r="P3" s="36">
        <f>PLANTILLA!AC4</f>
        <v>1</v>
      </c>
      <c r="Q3" s="36">
        <f>PLANTILLA!AD4</f>
        <v>19</v>
      </c>
      <c r="R3" s="36">
        <f t="shared" ref="R3" si="2">((2*(O3+1))+(L3+1))/8</f>
        <v>2.2767857142857144</v>
      </c>
      <c r="S3" s="36">
        <f t="shared" ref="S3" si="3">(0.5*P3+0.3*Q3)/10</f>
        <v>0.62</v>
      </c>
      <c r="T3" s="36">
        <f t="shared" ref="T3" si="4">(0.4*L3+0.3*Q3)/10</f>
        <v>1.0985714285714285</v>
      </c>
      <c r="U3" s="36">
        <f t="shared" ref="U3" ca="1" si="5">(Q3+I3+(LOG(J3)*4/3))*(F3/7)^0.5</f>
        <v>19.931213158576021</v>
      </c>
      <c r="V3" s="36">
        <f t="shared" ref="V3" ca="1" si="6">IF(F3=7,U3,(Q3+I3+(LOG(J3)*4/3))*((F3+0.99)/7)^0.5)</f>
        <v>21.512787953635204</v>
      </c>
      <c r="W3" s="27">
        <f t="shared" ref="W3" ca="1" si="7">((K3+I3+(LOG(J3)*4/3))*0.597)+((L3+I3+(LOG(J3)*4/3))*0.276)</f>
        <v>14.809235890672326</v>
      </c>
      <c r="X3" s="27">
        <f t="shared" ref="X3" ca="1" si="8">((K3+I3+(LOG(J3)*4/3))*0.866)+((L3+I3+(LOG(J3)*4/3))*0.425)</f>
        <v>21.869939820652235</v>
      </c>
      <c r="Y3" s="27">
        <f t="shared" ref="Y3" ca="1" si="9">W3</f>
        <v>14.809235890672326</v>
      </c>
      <c r="Z3" s="27">
        <f t="shared" ref="Z3" ca="1" si="10">((L3+I3+(LOG(J3)*4/3))*0.516)</f>
        <v>8.123107517118056</v>
      </c>
      <c r="AA3" s="27">
        <f t="shared" ref="AA3" ca="1" si="11">((L3+I3+(LOG(J3)*4/3))*1)</f>
        <v>15.742456428523365</v>
      </c>
      <c r="AB3" s="27">
        <f t="shared" ref="AB3" ca="1" si="12">Z3/2</f>
        <v>4.061553758559028</v>
      </c>
      <c r="AC3" s="27">
        <f t="shared" ref="AC3" ca="1" si="13">((M3+I3+(LOG(J3)*4/3))*0.238)</f>
        <v>0.60170462998856078</v>
      </c>
      <c r="AD3" s="27">
        <f t="shared" ref="AD3" ca="1" si="14">((L3+I3+(LOG(J3)*4/3))*0.378)</f>
        <v>5.9506485299818319</v>
      </c>
      <c r="AE3" s="27">
        <f t="shared" ref="AE3" ca="1" si="15">((L3+I3+(LOG(J3)*4/3))*0.723)</f>
        <v>11.381795997822392</v>
      </c>
      <c r="AF3" s="27">
        <f t="shared" ref="AF3" ca="1" si="16">AD3/2</f>
        <v>2.975324264990916</v>
      </c>
      <c r="AG3" s="27">
        <f t="shared" ref="AG3" ca="1" si="17">((M3+I3+(LOG(J3)*4/3))*0.385)</f>
        <v>0.97334572498149552</v>
      </c>
      <c r="AH3" s="27">
        <f t="shared" ref="AH3" ca="1" si="18">((L3+I3+(LOG(J3)*4/3))*0.92)</f>
        <v>14.483059914241496</v>
      </c>
      <c r="AI3" s="27">
        <f t="shared" ref="AI3" ca="1" si="19">((L3+I3+(LOG(J3)*4/3))*0.414)</f>
        <v>6.5173769614086732</v>
      </c>
      <c r="AJ3" s="27">
        <f t="shared" ref="AJ3" ca="1" si="20">((M3+I3+(LOG(J3)*4/3))*0.167)</f>
        <v>0.42220450927768766</v>
      </c>
      <c r="AK3" s="27">
        <f t="shared" ref="AK3" ca="1" si="21">((N3+I3+(LOG(J3)*4/3))*0.588)</f>
        <v>2.6625643799717382</v>
      </c>
      <c r="AL3" s="27">
        <f t="shared" ref="AL3" ca="1" si="22">((L3+I3+(LOG(J3)*4/3))*0.754)</f>
        <v>11.869812147106618</v>
      </c>
      <c r="AM3" s="27">
        <f t="shared" ref="AM3" ca="1" si="23">((L3+I3+(LOG(J3)*4/3))*0.708)</f>
        <v>11.145659151394542</v>
      </c>
      <c r="AN3" s="27">
        <f t="shared" ref="AN3" ca="1" si="24">((Q3+I3+(LOG(J3)*4/3))*0.167)</f>
        <v>3.5952045092776879</v>
      </c>
      <c r="AO3" s="27">
        <f t="shared" ref="AO3" ca="1" si="25">((R3+I3+(LOG(J3)*4/3))*0.288)</f>
        <v>1.3838274514147291</v>
      </c>
      <c r="AP3" s="27">
        <f t="shared" ref="AP3" ca="1" si="26">((L3+I3+(LOG(J3)*4/3))*0.27)</f>
        <v>4.250463235701309</v>
      </c>
      <c r="AQ3" s="27">
        <f t="shared" ref="AQ3" ca="1" si="27">((L3+I3+(LOG(J3)*4/3))*0.594)</f>
        <v>9.3510191185428777</v>
      </c>
      <c r="AR3" s="27">
        <f t="shared" ref="AR3" ca="1" si="28">AP3/2</f>
        <v>2.1252316178506545</v>
      </c>
      <c r="AS3" s="27">
        <f t="shared" ref="AS3" ca="1" si="29">((M3+I3+(LOG(J3)*4/3))*0.944)</f>
        <v>2.3865931542403422</v>
      </c>
      <c r="AT3" s="27">
        <f t="shared" ref="AT3" ca="1" si="30">((O3+I3+(LOG(J3)*4/3))*0.13)</f>
        <v>0.4586621928508946</v>
      </c>
      <c r="AU3" s="27">
        <f t="shared" ref="AU3" ca="1" si="31">((P3+I3+(LOG(J3)*4/3))*0.173)+((O3+I3+(LOG(J3)*4/3))*0.12)</f>
        <v>1.0337540192716315</v>
      </c>
      <c r="AV3" s="27">
        <f t="shared" ref="AV3" ca="1" si="32">AT3/2</f>
        <v>0.2293310964254473</v>
      </c>
      <c r="AW3" s="27">
        <f t="shared" ref="AW3" ca="1" si="33">((L3+I3+(LOG(J3)*4/3))*0.189)</f>
        <v>2.975324264990916</v>
      </c>
      <c r="AX3" s="27">
        <f t="shared" ref="AX3" ca="1" si="34">((L3+I3+(LOG(J3)*4/3))*0.4)</f>
        <v>6.2969825714093464</v>
      </c>
      <c r="AY3" s="27">
        <f t="shared" ref="AY3" ca="1" si="35">AW3/2</f>
        <v>1.487662132495458</v>
      </c>
      <c r="AZ3" s="27">
        <f t="shared" ref="AZ3" ca="1" si="36">((M3+I3+(LOG(J3)*4/3))*1)</f>
        <v>2.5281707142376506</v>
      </c>
      <c r="BA3" s="27">
        <f t="shared" ref="BA3" ca="1" si="37">((O3+I3+(LOG(J3)*4/3))*0.253)</f>
        <v>0.89262719070212559</v>
      </c>
      <c r="BB3" s="27">
        <f t="shared" ref="BB3" ca="1" si="38">((P3+I3+(LOG(J3)*4/3))*0.21)+((O3+I3+(LOG(J3)*4/3))*0.341)</f>
        <v>1.9440220635449457</v>
      </c>
      <c r="BC3" s="27">
        <f t="shared" ref="BC3" ca="1" si="39">BA3/2</f>
        <v>0.4463135953510628</v>
      </c>
      <c r="BD3" s="27">
        <f t="shared" ref="BD3" ca="1" si="40">((L3+I3+(LOG(J3)*4/3))*0.291)</f>
        <v>4.5810548207002988</v>
      </c>
      <c r="BE3" s="27">
        <f t="shared" ref="BE3" ca="1" si="41">((L3+I3+(LOG(J3)*4/3))*0.348)</f>
        <v>5.4783748371261307</v>
      </c>
      <c r="BF3" s="27">
        <f t="shared" ref="BF3" ca="1" si="42">((M3+I3+(LOG(J3)*4/3))*0.881)</f>
        <v>2.2273183992433703</v>
      </c>
      <c r="BG3" s="27">
        <f t="shared" ref="BG3" ca="1" si="43">((N3+I3+(LOG(J3)*4/3))*0.574)+((O3+I3+(LOG(J3)*4/3))*0.315)</f>
        <v>3.7105437649572712</v>
      </c>
      <c r="BH3" s="27">
        <f t="shared" ref="BH3" ca="1" si="44">((O3+I3+(LOG(J3)*4/3))*0.241)</f>
        <v>0.85028914213127382</v>
      </c>
      <c r="BI3" s="27">
        <f t="shared" ref="BI3" ca="1" si="45">((L3+I3+(LOG(J3)*4/3))*0.485)</f>
        <v>7.6350913678338319</v>
      </c>
      <c r="BJ3" s="27">
        <f t="shared" ref="BJ3" ca="1" si="46">((L3+I3+(LOG(J3)*4/3))*0.264)</f>
        <v>4.156008497130169</v>
      </c>
      <c r="BK3" s="27">
        <f t="shared" ref="BK3" ca="1" si="47">((M3+I3+(LOG(J3)*4/3))*0.381)</f>
        <v>0.96323304212454486</v>
      </c>
      <c r="BL3" s="27">
        <f t="shared" ref="BL3" ca="1" si="48">((N3+I3+(LOG(J3)*4/3))*0.673)+((O3+I3+(LOG(J3)*4/3))*0.201)</f>
        <v>3.7566212042437068</v>
      </c>
      <c r="BM3" s="27">
        <f t="shared" ref="BM3" ca="1" si="49">((O3+I3+(LOG(J3)*4/3))*0.052)</f>
        <v>0.18346487714035783</v>
      </c>
      <c r="BN3" s="27">
        <f t="shared" ref="BN3" ca="1" si="50">((L3+I3+(LOG(J3)*4/3))*0.18)</f>
        <v>2.8336421571342054</v>
      </c>
      <c r="BO3" s="27">
        <f t="shared" ref="BO3" ca="1" si="51">((L3+I3+(LOG(J3)*4/3))*0.068)</f>
        <v>1.0704870371395889</v>
      </c>
      <c r="BP3" s="27">
        <f t="shared" ref="BP3" ca="1" si="52">((M3+I3+(LOG(J3)*4/3))*0.305)</f>
        <v>0.77109206784248341</v>
      </c>
      <c r="BQ3" s="27">
        <f t="shared" ref="BQ3" ca="1" si="53">((N3+I3+(LOG(J3)*4/3))*1)+((O3+I3+(LOG(J3)*4/3))*0.286)</f>
        <v>5.5372275385096188</v>
      </c>
      <c r="BR3" s="27">
        <f t="shared" ref="BR3" ca="1" si="54">((O3+I3+(LOG(J3)*4/3))*0.135)</f>
        <v>0.47630304642208288</v>
      </c>
      <c r="BS3" s="27">
        <f t="shared" ref="BS3" ca="1" si="55">((L3+I3+(LOG(J3)*4/3))*0.284)</f>
        <v>4.4708576257006349</v>
      </c>
      <c r="BT3" s="27">
        <f t="shared" ref="BT3" ca="1" si="56">((L3+I3+(LOG(J3)*4/3))*0.244)</f>
        <v>3.8411593685597012</v>
      </c>
      <c r="BU3" s="27">
        <f t="shared" ref="BU3" ca="1" si="57">((M3+I3+(LOG(J3)*4/3))*0.631)</f>
        <v>1.5952757206839576</v>
      </c>
      <c r="BV3" s="27">
        <f t="shared" ref="BV3" ca="1" si="58">((N3+I3+(LOG(J3)*4/3))*0.702)+((O3+I3+(LOG(J3)*4/3))*0.193)</f>
        <v>3.859712789242697</v>
      </c>
      <c r="BW3" s="27">
        <f t="shared" ref="BW3" ca="1" si="59">((O3+I3+(LOG(J3)*4/3))*0.148)</f>
        <v>0.52216926570717226</v>
      </c>
      <c r="BX3" s="27">
        <f t="shared" ref="BX3" ca="1" si="60">((M3+I3+(LOG(J3)*4/3))*0.406)</f>
        <v>1.0264373099804862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1.9821769421178159</v>
      </c>
      <c r="BZ3" s="27">
        <f t="shared" ref="BZ3" ca="1" si="62">IF(D3="TEC",((O3+I3+(LOG(J3)*4/3))*0.543)+((P3+I3+(LOG(J3)*4/3))*0.583),((O3+I3+(LOG(J3)*4/3))*0.543)+((P3+I3+(LOG(J3)*4/3))*0.583))</f>
        <v>3.9727202242315944</v>
      </c>
      <c r="CA3" s="27">
        <f t="shared" ref="CA3" ca="1" si="63">BY3</f>
        <v>1.9821769421178159</v>
      </c>
      <c r="CB3" s="27">
        <f t="shared" ref="CB3" ca="1" si="64">((P3+I3+(LOG(J3)*4/3))*0.26)+((N3+I3+(LOG(J3)*4/3))*0.221)+((O3+I3+(LOG(J3)*4/3))*0.142)</f>
        <v>2.4190503549700564</v>
      </c>
      <c r="CC3" s="27">
        <f t="shared" ref="CC3" ca="1" si="65">((P3+I3+(LOG(J3)*4/3))*1)+((O3+I3+(LOG(J3)*4/3))*0.369)</f>
        <v>4.8300657077913431</v>
      </c>
      <c r="CD3" s="27">
        <f t="shared" ref="CD3" ca="1" si="66">CB3</f>
        <v>2.4190503549700564</v>
      </c>
      <c r="CE3" s="27">
        <f t="shared" ref="CE3" ca="1" si="67">((M3+I3+(LOG(J3)*4/3))*0.25)</f>
        <v>0.63204267855941265</v>
      </c>
    </row>
    <row r="4" spans="1:83" x14ac:dyDescent="0.25">
      <c r="A4" s="440" t="str">
        <f>PLANTILLA!D5</f>
        <v>Nicolae Hornet</v>
      </c>
      <c r="B4" s="440">
        <f>PLANTILLA!E5</f>
        <v>32</v>
      </c>
      <c r="C4" s="441">
        <f ca="1">PLANTILLA!F5</f>
        <v>27</v>
      </c>
      <c r="D4" s="442">
        <f>PLANTILLA!G5</f>
        <v>0</v>
      </c>
      <c r="E4" s="443">
        <f>PLANTILLA!M5</f>
        <v>43190</v>
      </c>
      <c r="F4" s="444">
        <f>PLANTILLA!Q5</f>
        <v>2</v>
      </c>
      <c r="G4" s="445">
        <f t="shared" ref="G4:G18" si="68">(F4/7)^0.5</f>
        <v>0.53452248382484879</v>
      </c>
      <c r="H4" s="445">
        <f t="shared" ref="H4:H18" si="69">IF(F4=7,1,((F4+0.99)/7)^0.5)</f>
        <v>0.65356167049702141</v>
      </c>
      <c r="I4" s="446">
        <f ca="1">PLANTILLA!N5</f>
        <v>1</v>
      </c>
      <c r="J4" s="29">
        <f>PLANTILLA!I5</f>
        <v>2.2999999999999998</v>
      </c>
      <c r="K4" s="36">
        <f>PLANTILLA!X5</f>
        <v>5.95</v>
      </c>
      <c r="L4" s="36">
        <f>PLANTILLA!Y5</f>
        <v>6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7</v>
      </c>
      <c r="R4" s="36">
        <f t="shared" ref="R4:R18" si="70">((2*(O4+1))+(L4+1))/8</f>
        <v>1.375</v>
      </c>
      <c r="S4" s="36">
        <f t="shared" ref="S4:S18" si="71">(0.5*P4+0.3*Q4)/10</f>
        <v>0.26</v>
      </c>
      <c r="T4" s="36">
        <f t="shared" ref="T4:T18" si="72">(0.4*L4+0.3*Q4)/10</f>
        <v>0.45</v>
      </c>
      <c r="U4" s="36">
        <f t="shared" ref="U4:U18" ca="1" si="73">(Q4+I4+(LOG(J4)*4/3))*(F4/7)^0.5</f>
        <v>4.5339820857677386</v>
      </c>
      <c r="V4" s="36">
        <f t="shared" ref="V4:V18" ca="1" si="74">IF(F4=7,U4,(Q4+I4+(LOG(J4)*4/3))*((F4+0.99)/7)^0.5)</f>
        <v>5.5437086290067459</v>
      </c>
      <c r="W4" s="27">
        <f t="shared" ref="W4:W18" ca="1" si="75">((K4+I4+(LOG(J4)*4/3))*0.597)+((L4+I4+(LOG(J4)*4/3))*0.276)</f>
        <v>6.5022012011244783</v>
      </c>
      <c r="X4" s="27">
        <f t="shared" ref="X4:X18" ca="1" si="76">((K4+I4+(LOG(J4)*4/3))*0.866)+((L4+I4+(LOG(J4)*4/3))*0.425)</f>
        <v>9.6163541817316158</v>
      </c>
      <c r="Y4" s="27">
        <f t="shared" ref="Y4:Y18" ca="1" si="77">W4</f>
        <v>6.5022012011244783</v>
      </c>
      <c r="Z4" s="27">
        <f t="shared" ref="Z4:Z18" ca="1" si="78">((L4+I4+(LOG(J4)*4/3))*0.516)</f>
        <v>3.8608687511801043</v>
      </c>
      <c r="AA4" s="27">
        <f t="shared" ref="AA4:AA18" ca="1" si="79">((L4+I4+(LOG(J4)*4/3))*1)</f>
        <v>7.4823037813567908</v>
      </c>
      <c r="AB4" s="27">
        <f t="shared" ref="AB4:AB18" ca="1" si="80">Z4/2</f>
        <v>1.9304343755900522</v>
      </c>
      <c r="AC4" s="27">
        <f t="shared" ref="AC4:AC18" ca="1" si="81">((M4+I4+(LOG(J4)*4/3))*0.238)</f>
        <v>0.35278829996291611</v>
      </c>
      <c r="AD4" s="27">
        <f t="shared" ref="AD4:AD18" ca="1" si="82">((L4+I4+(LOG(J4)*4/3))*0.378)</f>
        <v>2.8283108293528669</v>
      </c>
      <c r="AE4" s="27">
        <f t="shared" ref="AE4:AE18" ca="1" si="83">((L4+I4+(LOG(J4)*4/3))*0.723)</f>
        <v>5.4097056339209599</v>
      </c>
      <c r="AF4" s="27">
        <f t="shared" ref="AF4:AF18" ca="1" si="84">AD4/2</f>
        <v>1.4141554146764335</v>
      </c>
      <c r="AG4" s="27">
        <f t="shared" ref="AG4:AG18" ca="1" si="85">((M4+I4+(LOG(J4)*4/3))*0.385)</f>
        <v>0.57068695582236439</v>
      </c>
      <c r="AH4" s="27">
        <f t="shared" ref="AH4:AH18" ca="1" si="86">((L4+I4+(LOG(J4)*4/3))*0.92)</f>
        <v>6.8837194788482474</v>
      </c>
      <c r="AI4" s="27">
        <f t="shared" ref="AI4:AI18" ca="1" si="87">((L4+I4+(LOG(J4)*4/3))*0.414)</f>
        <v>3.0976737654817112</v>
      </c>
      <c r="AJ4" s="27">
        <f t="shared" ref="AJ4:AJ18" ca="1" si="88">((M4+I4+(LOG(J4)*4/3))*0.167)</f>
        <v>0.24754473148658404</v>
      </c>
      <c r="AK4" s="27">
        <f t="shared" ref="AK4:AK18" ca="1" si="89">((N4+I4+(LOG(J4)*4/3))*0.588)</f>
        <v>2.6355946234377927</v>
      </c>
      <c r="AL4" s="27">
        <f t="shared" ref="AL4:AL18" ca="1" si="90">((L4+I4+(LOG(J4)*4/3))*0.754)</f>
        <v>5.64165705114302</v>
      </c>
      <c r="AM4" s="27">
        <f t="shared" ref="AM4:AM18" ca="1" si="91">((L4+I4+(LOG(J4)*4/3))*0.708)</f>
        <v>5.2974710772006075</v>
      </c>
      <c r="AN4" s="27">
        <f t="shared" ref="AN4:AN18" ca="1" si="92">((Q4+I4+(LOG(J4)*4/3))*0.167)</f>
        <v>1.4165447314865842</v>
      </c>
      <c r="AO4" s="27">
        <f t="shared" ref="AO4:AO18" ca="1" si="93">((R4+I4+(LOG(J4)*4/3))*0.288)</f>
        <v>0.8229034890307555</v>
      </c>
      <c r="AP4" s="27">
        <f t="shared" ref="AP4:AP18" ca="1" si="94">((L4+I4+(LOG(J4)*4/3))*0.27)</f>
        <v>2.0202220209663335</v>
      </c>
      <c r="AQ4" s="27">
        <f t="shared" ref="AQ4:AQ18" ca="1" si="95">((L4+I4+(LOG(J4)*4/3))*0.594)</f>
        <v>4.4444884461259333</v>
      </c>
      <c r="AR4" s="27">
        <f t="shared" ref="AR4:AR18" ca="1" si="96">AP4/2</f>
        <v>1.0101110104831668</v>
      </c>
      <c r="AS4" s="27">
        <f t="shared" ref="AS4:AS18" ca="1" si="97">((M4+I4+(LOG(J4)*4/3))*0.944)</f>
        <v>1.3992947696008102</v>
      </c>
      <c r="AT4" s="27">
        <f t="shared" ref="AT4:AT18" ca="1" si="98">((O4+I4+(LOG(J4)*4/3))*0.13)</f>
        <v>0.32269949157638272</v>
      </c>
      <c r="AU4" s="27">
        <f t="shared" ref="AU4:AU18" ca="1" si="99">((P4+I4+(LOG(J4)*4/3))*0.173)+((O4+I4+(LOG(J4)*4/3))*0.12)</f>
        <v>0.72731500793753956</v>
      </c>
      <c r="AV4" s="27">
        <f t="shared" ref="AV4:AV18" ca="1" si="100">AT4/2</f>
        <v>0.16134974578819136</v>
      </c>
      <c r="AW4" s="27">
        <f t="shared" ref="AW4:AW18" ca="1" si="101">((L4+I4+(LOG(J4)*4/3))*0.189)</f>
        <v>1.4141554146764335</v>
      </c>
      <c r="AX4" s="27">
        <f t="shared" ref="AX4:AX18" ca="1" si="102">((L4+I4+(LOG(J4)*4/3))*0.4)</f>
        <v>2.9929215125427167</v>
      </c>
      <c r="AY4" s="27">
        <f t="shared" ref="AY4:AY18" ca="1" si="103">AW4/2</f>
        <v>0.70707770733821673</v>
      </c>
      <c r="AZ4" s="27">
        <f t="shared" ref="AZ4:AZ18" ca="1" si="104">((M4+I4+(LOG(J4)*4/3))*1)</f>
        <v>1.4823037813567905</v>
      </c>
      <c r="BA4" s="27">
        <f t="shared" ref="BA4:BA18" ca="1" si="105">((O4+I4+(LOG(J4)*4/3))*0.253)</f>
        <v>0.62802285668326796</v>
      </c>
      <c r="BB4" s="27">
        <f t="shared" ref="BB4:BB18" ca="1" si="106">((P4+I4+(LOG(J4)*4/3))*0.21)+((O4+I4+(LOG(J4)*4/3))*0.341)</f>
        <v>1.3677493835275916</v>
      </c>
      <c r="BC4" s="27">
        <f t="shared" ref="BC4:BC18" ca="1" si="107">BA4/2</f>
        <v>0.31401142834163398</v>
      </c>
      <c r="BD4" s="27">
        <f t="shared" ref="BD4:BD18" ca="1" si="108">((L4+I4+(LOG(J4)*4/3))*0.291)</f>
        <v>2.1773504003748259</v>
      </c>
      <c r="BE4" s="27">
        <f t="shared" ref="BE4:BE18" ca="1" si="109">((L4+I4+(LOG(J4)*4/3))*0.348)</f>
        <v>2.603841715912163</v>
      </c>
      <c r="BF4" s="27">
        <f t="shared" ref="BF4:BF18" ca="1" si="110">((M4+I4+(LOG(J4)*4/3))*0.881)</f>
        <v>1.3059096313753324</v>
      </c>
      <c r="BG4" s="27">
        <f t="shared" ref="BG4:BG18" ca="1" si="111">((N4+I4+(LOG(J4)*4/3))*0.574)+((O4+I4+(LOG(J4)*4/3))*0.315)</f>
        <v>3.3547680616261863</v>
      </c>
      <c r="BH4" s="27">
        <f t="shared" ref="BH4:BH18" ca="1" si="112">((O4+I4+(LOG(J4)*4/3))*0.241)</f>
        <v>0.59823521130698643</v>
      </c>
      <c r="BI4" s="27">
        <f t="shared" ref="BI4:BI18" ca="1" si="113">((L4+I4+(LOG(J4)*4/3))*0.485)</f>
        <v>3.6289173339580434</v>
      </c>
      <c r="BJ4" s="27">
        <f t="shared" ref="BJ4:BJ18" ca="1" si="114">((L4+I4+(LOG(J4)*4/3))*0.264)</f>
        <v>1.9753281982781929</v>
      </c>
      <c r="BK4" s="27">
        <f t="shared" ref="BK4:BK18" ca="1" si="115">((M4+I4+(LOG(J4)*4/3))*0.381)</f>
        <v>0.56475774069693718</v>
      </c>
      <c r="BL4" s="27">
        <f t="shared" ref="BL4:BL18" ca="1" si="116">((N4+I4+(LOG(J4)*4/3))*0.673)+((O4+I4+(LOG(J4)*4/3))*0.201)</f>
        <v>3.5155335049058354</v>
      </c>
      <c r="BM4" s="27">
        <f t="shared" ref="BM4:BM18" ca="1" si="117">((O4+I4+(LOG(J4)*4/3))*0.052)</f>
        <v>0.12907979663055308</v>
      </c>
      <c r="BN4" s="27">
        <f t="shared" ref="BN4:BN18" ca="1" si="118">((L4+I4+(LOG(J4)*4/3))*0.18)</f>
        <v>1.3468146806442223</v>
      </c>
      <c r="BO4" s="27">
        <f t="shared" ref="BO4:BO18" ca="1" si="119">((L4+I4+(LOG(J4)*4/3))*0.068)</f>
        <v>0.50879665713226185</v>
      </c>
      <c r="BP4" s="27">
        <f t="shared" ref="BP4:BP18" ca="1" si="120">((M4+I4+(LOG(J4)*4/3))*0.305)</f>
        <v>0.4521026533138211</v>
      </c>
      <c r="BQ4" s="27">
        <f t="shared" ref="BQ4:BQ18" ca="1" si="121">((N4+I4+(LOG(J4)*4/3))*1)+((O4+I4+(LOG(J4)*4/3))*0.286)</f>
        <v>5.1922426628248326</v>
      </c>
      <c r="BR4" s="27">
        <f t="shared" ref="BR4:BR18" ca="1" si="122">((O4+I4+(LOG(J4)*4/3))*0.135)</f>
        <v>0.33511101048316672</v>
      </c>
      <c r="BS4" s="27">
        <f t="shared" ref="BS4:BS18" ca="1" si="123">((L4+I4+(LOG(J4)*4/3))*0.284)</f>
        <v>2.1249742739053286</v>
      </c>
      <c r="BT4" s="27">
        <f t="shared" ref="BT4:BT18" ca="1" si="124">((L4+I4+(LOG(J4)*4/3))*0.244)</f>
        <v>1.8256821226510569</v>
      </c>
      <c r="BU4" s="27">
        <f t="shared" ref="BU4:BU18" ca="1" si="125">((M4+I4+(LOG(J4)*4/3))*0.631)</f>
        <v>0.93533368603613487</v>
      </c>
      <c r="BV4" s="27">
        <f t="shared" ref="BV4:BV18" ca="1" si="126">((N4+I4+(LOG(J4)*4/3))*0.702)+((O4+I4+(LOG(J4)*4/3))*0.193)</f>
        <v>3.6256618843143276</v>
      </c>
      <c r="BW4" s="27">
        <f t="shared" ref="BW4:BW18" ca="1" si="127">((O4+I4+(LOG(J4)*4/3))*0.148)</f>
        <v>0.36738095964080497</v>
      </c>
      <c r="BX4" s="27">
        <f t="shared" ref="BX4:BX18" ca="1" si="128">((M4+I4+(LOG(J4)*4/3))*0.406)</f>
        <v>0.60181533523085695</v>
      </c>
      <c r="BY4" s="27">
        <f t="shared" ref="BY4:BY18" ca="1" si="129">IF(D4="TEC",((N4+I4+(LOG(J4)*4/3))*0.15)+((O4+I4+(LOG(J4)*4/3))*0.324)+((P4+I4+(LOG(J4)*4/3))*0.127),((N4+I4+(LOG(J4)*4/3))*0.144)+((O4+I4+(LOG(J4)*4/3))*0.25)+((P4+I4+(LOG(J4)*4/3))*0.127))</f>
        <v>1.581280270086888</v>
      </c>
      <c r="BZ4" s="27">
        <f t="shared" ref="BZ4:BZ18" ca="1" si="130">IF(D4="TEC",((O4+I4+(LOG(J4)*4/3))*0.543)+((P4+I4+(LOG(J4)*4/3))*0.583),((O4+I4+(LOG(J4)*4/3))*0.543)+((P4+I4+(LOG(J4)*4/3))*0.583))</f>
        <v>2.7950740578077458</v>
      </c>
      <c r="CA4" s="27">
        <f t="shared" ref="CA4:CA18" ca="1" si="131">BY4</f>
        <v>1.581280270086888</v>
      </c>
      <c r="CB4" s="27">
        <f t="shared" ref="CB4:CB18" ca="1" si="132">((P4+I4+(LOG(J4)*4/3))*0.26)+((N4+I4+(LOG(J4)*4/3))*0.221)+((O4+I4+(LOG(J4)*4/3))*0.142)</f>
        <v>1.9884752557852803</v>
      </c>
      <c r="CC4" s="27">
        <f t="shared" ref="CC4:CC18" ca="1" si="133">((P4+I4+(LOG(J4)*4/3))*1)+((O4+I4+(LOG(J4)*4/3))*0.369)</f>
        <v>3.3982738766774458</v>
      </c>
      <c r="CD4" s="27">
        <f t="shared" ref="CD4:CD18" ca="1" si="134">CB4</f>
        <v>1.9884752557852803</v>
      </c>
      <c r="CE4" s="27">
        <f t="shared" ref="CE4:CE18" ca="1" si="135">((M4+I4+(LOG(J4)*4/3))*0.25)</f>
        <v>0.37057594533919763</v>
      </c>
    </row>
    <row r="5" spans="1:83" x14ac:dyDescent="0.25">
      <c r="A5" s="440" t="str">
        <f>PLANTILLA!D6</f>
        <v>Iván Real Figueroa</v>
      </c>
      <c r="B5" s="440">
        <f>PLANTILLA!E6</f>
        <v>31</v>
      </c>
      <c r="C5" s="441">
        <f ca="1">PLANTILLA!F6</f>
        <v>92</v>
      </c>
      <c r="D5" s="442">
        <f>PLANTILLA!G6</f>
        <v>0</v>
      </c>
      <c r="E5" s="443">
        <f>PLANTILLA!M6</f>
        <v>43410</v>
      </c>
      <c r="F5" s="444">
        <f>PLANTILLA!Q6</f>
        <v>5</v>
      </c>
      <c r="G5" s="445">
        <f t="shared" si="68"/>
        <v>0.84515425472851657</v>
      </c>
      <c r="H5" s="445">
        <f t="shared" si="69"/>
        <v>0.92504826128926143</v>
      </c>
      <c r="I5" s="446">
        <f ca="1">PLANTILLA!N6</f>
        <v>1</v>
      </c>
      <c r="J5" s="29">
        <f>PLANTILLA!I6</f>
        <v>10</v>
      </c>
      <c r="K5" s="36">
        <f>PLANTILLA!X6</f>
        <v>0</v>
      </c>
      <c r="L5" s="36">
        <f>PLANTILLA!Y6</f>
        <v>16.043478260869566</v>
      </c>
      <c r="M5" s="36">
        <f>PLANTILLA!Z6</f>
        <v>5.25</v>
      </c>
      <c r="N5" s="36">
        <f>PLANTILLA!AA6</f>
        <v>9</v>
      </c>
      <c r="O5" s="36">
        <f>PLANTILLA!AB6</f>
        <v>9</v>
      </c>
      <c r="P5" s="36">
        <f>PLANTILLA!AC6</f>
        <v>1</v>
      </c>
      <c r="Q5" s="36">
        <f>PLANTILLA!AD6</f>
        <v>17</v>
      </c>
      <c r="R5" s="36">
        <f t="shared" si="70"/>
        <v>4.6304347826086953</v>
      </c>
      <c r="S5" s="36">
        <f t="shared" si="71"/>
        <v>0.55999999999999994</v>
      </c>
      <c r="T5" s="36">
        <f t="shared" si="72"/>
        <v>1.1517391304347826</v>
      </c>
      <c r="U5" s="36">
        <f t="shared" ca="1" si="73"/>
        <v>16.339648924751319</v>
      </c>
      <c r="V5" s="36">
        <f t="shared" ca="1" si="74"/>
        <v>17.88426638492572</v>
      </c>
      <c r="W5" s="27">
        <f t="shared" ca="1" si="75"/>
        <v>6.4649999999999999</v>
      </c>
      <c r="X5" s="27">
        <f t="shared" ca="1" si="76"/>
        <v>9.8308115942028991</v>
      </c>
      <c r="Y5" s="27">
        <f t="shared" ca="1" si="77"/>
        <v>6.4649999999999999</v>
      </c>
      <c r="Z5" s="27">
        <f t="shared" ca="1" si="78"/>
        <v>9.4824347826086957</v>
      </c>
      <c r="AA5" s="27">
        <f t="shared" ca="1" si="79"/>
        <v>18.376811594202898</v>
      </c>
      <c r="AB5" s="27">
        <f t="shared" ca="1" si="80"/>
        <v>4.7412173913043478</v>
      </c>
      <c r="AC5" s="27">
        <f t="shared" ca="1" si="81"/>
        <v>1.8048333333333333</v>
      </c>
      <c r="AD5" s="27">
        <f t="shared" ca="1" si="82"/>
        <v>6.9464347826086961</v>
      </c>
      <c r="AE5" s="27">
        <f t="shared" ca="1" si="83"/>
        <v>13.286434782608696</v>
      </c>
      <c r="AF5" s="27">
        <f t="shared" ca="1" si="84"/>
        <v>3.473217391304348</v>
      </c>
      <c r="AG5" s="27">
        <f t="shared" ca="1" si="85"/>
        <v>2.9195833333333332</v>
      </c>
      <c r="AH5" s="27">
        <f t="shared" ca="1" si="86"/>
        <v>16.906666666666666</v>
      </c>
      <c r="AI5" s="27">
        <f t="shared" ca="1" si="87"/>
        <v>7.6079999999999997</v>
      </c>
      <c r="AJ5" s="27">
        <f t="shared" ca="1" si="88"/>
        <v>1.2664166666666667</v>
      </c>
      <c r="AK5" s="27">
        <f t="shared" ca="1" si="89"/>
        <v>6.6639999999999997</v>
      </c>
      <c r="AL5" s="27">
        <f t="shared" ca="1" si="90"/>
        <v>13.856115942028985</v>
      </c>
      <c r="AM5" s="27">
        <f t="shared" ca="1" si="91"/>
        <v>13.010782608695651</v>
      </c>
      <c r="AN5" s="27">
        <f t="shared" ca="1" si="92"/>
        <v>3.2286666666666668</v>
      </c>
      <c r="AO5" s="27">
        <f t="shared" ca="1" si="93"/>
        <v>2.0055652173913039</v>
      </c>
      <c r="AP5" s="27">
        <f t="shared" ca="1" si="94"/>
        <v>4.9617391304347827</v>
      </c>
      <c r="AQ5" s="27">
        <f t="shared" ca="1" si="95"/>
        <v>10.915826086956521</v>
      </c>
      <c r="AR5" s="27">
        <f t="shared" ca="1" si="96"/>
        <v>2.4808695652173913</v>
      </c>
      <c r="AS5" s="27">
        <f t="shared" ca="1" si="97"/>
        <v>7.1586666666666661</v>
      </c>
      <c r="AT5" s="27">
        <f t="shared" ca="1" si="98"/>
        <v>1.4733333333333334</v>
      </c>
      <c r="AU5" s="27">
        <f t="shared" ca="1" si="99"/>
        <v>1.9366666666666665</v>
      </c>
      <c r="AV5" s="27">
        <f t="shared" ca="1" si="100"/>
        <v>0.73666666666666669</v>
      </c>
      <c r="AW5" s="27">
        <f t="shared" ca="1" si="101"/>
        <v>3.473217391304348</v>
      </c>
      <c r="AX5" s="27">
        <f t="shared" ca="1" si="102"/>
        <v>7.3507246376811599</v>
      </c>
      <c r="AY5" s="27">
        <f t="shared" ca="1" si="103"/>
        <v>1.736608695652174</v>
      </c>
      <c r="AZ5" s="27">
        <f t="shared" ca="1" si="104"/>
        <v>7.583333333333333</v>
      </c>
      <c r="BA5" s="27">
        <f t="shared" ca="1" si="105"/>
        <v>2.8673333333333337</v>
      </c>
      <c r="BB5" s="27">
        <f t="shared" ca="1" si="106"/>
        <v>4.5646666666666675</v>
      </c>
      <c r="BC5" s="27">
        <f t="shared" ca="1" si="107"/>
        <v>1.4336666666666669</v>
      </c>
      <c r="BD5" s="27">
        <f t="shared" ca="1" si="108"/>
        <v>5.3476521739130431</v>
      </c>
      <c r="BE5" s="27">
        <f t="shared" ca="1" si="109"/>
        <v>6.3951304347826081</v>
      </c>
      <c r="BF5" s="27">
        <f t="shared" ca="1" si="110"/>
        <v>6.6809166666666666</v>
      </c>
      <c r="BG5" s="27">
        <f t="shared" ca="1" si="111"/>
        <v>10.075333333333333</v>
      </c>
      <c r="BH5" s="27">
        <f t="shared" ca="1" si="112"/>
        <v>2.7313333333333332</v>
      </c>
      <c r="BI5" s="27">
        <f t="shared" ca="1" si="113"/>
        <v>8.9127536231884061</v>
      </c>
      <c r="BJ5" s="27">
        <f t="shared" ca="1" si="114"/>
        <v>4.8514782608695652</v>
      </c>
      <c r="BK5" s="27">
        <f t="shared" ca="1" si="115"/>
        <v>2.8892500000000001</v>
      </c>
      <c r="BL5" s="27">
        <f t="shared" ca="1" si="116"/>
        <v>9.9053333333333349</v>
      </c>
      <c r="BM5" s="27">
        <f t="shared" ca="1" si="117"/>
        <v>0.58933333333333338</v>
      </c>
      <c r="BN5" s="27">
        <f t="shared" ca="1" si="118"/>
        <v>3.3078260869565215</v>
      </c>
      <c r="BO5" s="27">
        <f t="shared" ca="1" si="119"/>
        <v>1.2496231884057971</v>
      </c>
      <c r="BP5" s="27">
        <f t="shared" ca="1" si="120"/>
        <v>2.3129166666666667</v>
      </c>
      <c r="BQ5" s="27">
        <f t="shared" ca="1" si="121"/>
        <v>14.574666666666667</v>
      </c>
      <c r="BR5" s="27">
        <f t="shared" ca="1" si="122"/>
        <v>1.5300000000000002</v>
      </c>
      <c r="BS5" s="27">
        <f t="shared" ca="1" si="123"/>
        <v>5.2190144927536224</v>
      </c>
      <c r="BT5" s="27">
        <f t="shared" ca="1" si="124"/>
        <v>4.4839420289855072</v>
      </c>
      <c r="BU5" s="27">
        <f t="shared" ca="1" si="125"/>
        <v>4.7850833333333336</v>
      </c>
      <c r="BV5" s="27">
        <f t="shared" ca="1" si="126"/>
        <v>10.143333333333333</v>
      </c>
      <c r="BW5" s="27">
        <f t="shared" ca="1" si="127"/>
        <v>1.6773333333333333</v>
      </c>
      <c r="BX5" s="27">
        <f t="shared" ca="1" si="128"/>
        <v>3.0788333333333333</v>
      </c>
      <c r="BY5" s="27">
        <f t="shared" ca="1" si="129"/>
        <v>4.8886666666666665</v>
      </c>
      <c r="BZ5" s="27">
        <f t="shared" ca="1" si="130"/>
        <v>8.0973333333333333</v>
      </c>
      <c r="CA5" s="27">
        <f t="shared" ca="1" si="131"/>
        <v>4.8886666666666665</v>
      </c>
      <c r="CB5" s="27">
        <f t="shared" ca="1" si="132"/>
        <v>4.980666666666667</v>
      </c>
      <c r="CC5" s="27">
        <f t="shared" ca="1" si="133"/>
        <v>7.5153333333333334</v>
      </c>
      <c r="CD5" s="27">
        <f t="shared" ca="1" si="134"/>
        <v>4.980666666666667</v>
      </c>
      <c r="CE5" s="27">
        <f t="shared" ca="1" si="135"/>
        <v>1.8958333333333333</v>
      </c>
    </row>
    <row r="6" spans="1:83" x14ac:dyDescent="0.25">
      <c r="A6" s="440" t="str">
        <f>PLANTILLA!D7</f>
        <v>Berto Abandero</v>
      </c>
      <c r="B6" s="440">
        <f>PLANTILLA!E7</f>
        <v>32</v>
      </c>
      <c r="C6" s="441">
        <f ca="1">PLANTILLA!F7</f>
        <v>30</v>
      </c>
      <c r="D6" s="442">
        <f>PLANTILLA!G7</f>
        <v>0</v>
      </c>
      <c r="E6" s="443">
        <f>PLANTILLA!M7</f>
        <v>43383</v>
      </c>
      <c r="F6" s="444">
        <f>PLANTILLA!Q7</f>
        <v>6</v>
      </c>
      <c r="G6" s="445">
        <f t="shared" si="68"/>
        <v>0.92582009977255142</v>
      </c>
      <c r="H6" s="445">
        <f t="shared" si="69"/>
        <v>0.99928545900129484</v>
      </c>
      <c r="I6" s="446">
        <f ca="1">PLANTILLA!N7</f>
        <v>1</v>
      </c>
      <c r="J6" s="29">
        <f>PLANTILLA!I7</f>
        <v>10</v>
      </c>
      <c r="K6" s="36">
        <f>PLANTILLA!X7</f>
        <v>0</v>
      </c>
      <c r="L6" s="36">
        <f>PLANTILLA!Y7</f>
        <v>15</v>
      </c>
      <c r="M6" s="36">
        <f>PLANTILLA!Z7</f>
        <v>3.4569444444444448</v>
      </c>
      <c r="N6" s="36">
        <f>PLANTILLA!AA7</f>
        <v>9.4</v>
      </c>
      <c r="O6" s="36">
        <f>PLANTILLA!AB7</f>
        <v>12</v>
      </c>
      <c r="P6" s="36">
        <f>PLANTILLA!AC7</f>
        <v>3.95</v>
      </c>
      <c r="Q6" s="36">
        <f>PLANTILLA!AD7</f>
        <v>17</v>
      </c>
      <c r="R6" s="36">
        <f t="shared" si="70"/>
        <v>5.25</v>
      </c>
      <c r="S6" s="36">
        <f t="shared" si="71"/>
        <v>0.70749999999999991</v>
      </c>
      <c r="T6" s="36">
        <f t="shared" si="72"/>
        <v>1.1099999999999999</v>
      </c>
      <c r="U6" s="36">
        <f t="shared" ca="1" si="73"/>
        <v>17.899188595602659</v>
      </c>
      <c r="V6" s="36">
        <f t="shared" ca="1" si="74"/>
        <v>19.319518874025032</v>
      </c>
      <c r="W6" s="27">
        <f t="shared" ca="1" si="75"/>
        <v>6.1769999999999996</v>
      </c>
      <c r="X6" s="27">
        <f t="shared" ca="1" si="76"/>
        <v>9.3873333333333324</v>
      </c>
      <c r="Y6" s="27">
        <f t="shared" ca="1" si="77"/>
        <v>6.1769999999999996</v>
      </c>
      <c r="Z6" s="27">
        <f t="shared" ca="1" si="78"/>
        <v>8.9439999999999991</v>
      </c>
      <c r="AA6" s="27">
        <f t="shared" ca="1" si="79"/>
        <v>17.333333333333332</v>
      </c>
      <c r="AB6" s="27">
        <f t="shared" ca="1" si="80"/>
        <v>4.4719999999999995</v>
      </c>
      <c r="AC6" s="27">
        <f t="shared" ca="1" si="81"/>
        <v>1.3780861111111111</v>
      </c>
      <c r="AD6" s="27">
        <f t="shared" ca="1" si="82"/>
        <v>6.5519999999999996</v>
      </c>
      <c r="AE6" s="27">
        <f t="shared" ca="1" si="83"/>
        <v>12.531999999999998</v>
      </c>
      <c r="AF6" s="27">
        <f t="shared" ca="1" si="84"/>
        <v>3.2759999999999998</v>
      </c>
      <c r="AG6" s="27">
        <f t="shared" ca="1" si="85"/>
        <v>2.2292569444444443</v>
      </c>
      <c r="AH6" s="27">
        <f t="shared" ca="1" si="86"/>
        <v>15.946666666666665</v>
      </c>
      <c r="AI6" s="27">
        <f t="shared" ca="1" si="87"/>
        <v>7.1759999999999993</v>
      </c>
      <c r="AJ6" s="27">
        <f t="shared" ca="1" si="88"/>
        <v>0.96697638888888893</v>
      </c>
      <c r="AK6" s="27">
        <f t="shared" ca="1" si="89"/>
        <v>6.8992000000000004</v>
      </c>
      <c r="AL6" s="27">
        <f t="shared" ca="1" si="90"/>
        <v>13.069333333333333</v>
      </c>
      <c r="AM6" s="27">
        <f t="shared" ca="1" si="91"/>
        <v>12.271999999999998</v>
      </c>
      <c r="AN6" s="27">
        <f t="shared" ca="1" si="92"/>
        <v>3.2286666666666668</v>
      </c>
      <c r="AO6" s="27">
        <f t="shared" ca="1" si="93"/>
        <v>2.1839999999999997</v>
      </c>
      <c r="AP6" s="27">
        <f t="shared" ca="1" si="94"/>
        <v>4.68</v>
      </c>
      <c r="AQ6" s="27">
        <f t="shared" ca="1" si="95"/>
        <v>10.295999999999999</v>
      </c>
      <c r="AR6" s="27">
        <f t="shared" ca="1" si="96"/>
        <v>2.34</v>
      </c>
      <c r="AS6" s="27">
        <f t="shared" ca="1" si="97"/>
        <v>5.4660222222222217</v>
      </c>
      <c r="AT6" s="27">
        <f t="shared" ca="1" si="98"/>
        <v>1.8633333333333335</v>
      </c>
      <c r="AU6" s="27">
        <f t="shared" ca="1" si="99"/>
        <v>2.8070166666666667</v>
      </c>
      <c r="AV6" s="27">
        <f t="shared" ca="1" si="100"/>
        <v>0.93166666666666675</v>
      </c>
      <c r="AW6" s="27">
        <f t="shared" ca="1" si="101"/>
        <v>3.2759999999999998</v>
      </c>
      <c r="AX6" s="27">
        <f t="shared" ca="1" si="102"/>
        <v>6.9333333333333336</v>
      </c>
      <c r="AY6" s="27">
        <f t="shared" ca="1" si="103"/>
        <v>1.6379999999999999</v>
      </c>
      <c r="AZ6" s="27">
        <f t="shared" ca="1" si="104"/>
        <v>5.7902777777777779</v>
      </c>
      <c r="BA6" s="27">
        <f t="shared" ca="1" si="105"/>
        <v>3.6263333333333336</v>
      </c>
      <c r="BB6" s="27">
        <f t="shared" ca="1" si="106"/>
        <v>6.2071666666666667</v>
      </c>
      <c r="BC6" s="27">
        <f t="shared" ca="1" si="107"/>
        <v>1.8131666666666668</v>
      </c>
      <c r="BD6" s="27">
        <f t="shared" ca="1" si="108"/>
        <v>5.0439999999999996</v>
      </c>
      <c r="BE6" s="27">
        <f t="shared" ca="1" si="109"/>
        <v>6.0319999999999991</v>
      </c>
      <c r="BF6" s="27">
        <f t="shared" ca="1" si="110"/>
        <v>5.1012347222222223</v>
      </c>
      <c r="BG6" s="27">
        <f t="shared" ca="1" si="111"/>
        <v>11.249933333333335</v>
      </c>
      <c r="BH6" s="27">
        <f t="shared" ca="1" si="112"/>
        <v>3.4543333333333335</v>
      </c>
      <c r="BI6" s="27">
        <f t="shared" ca="1" si="113"/>
        <v>8.4066666666666663</v>
      </c>
      <c r="BJ6" s="27">
        <f t="shared" ca="1" si="114"/>
        <v>4.5759999999999996</v>
      </c>
      <c r="BK6" s="27">
        <f t="shared" ca="1" si="115"/>
        <v>2.2060958333333334</v>
      </c>
      <c r="BL6" s="27">
        <f t="shared" ca="1" si="116"/>
        <v>10.777533333333334</v>
      </c>
      <c r="BM6" s="27">
        <f t="shared" ca="1" si="117"/>
        <v>0.74533333333333329</v>
      </c>
      <c r="BN6" s="27">
        <f t="shared" ca="1" si="118"/>
        <v>3.1199999999999997</v>
      </c>
      <c r="BO6" s="27">
        <f t="shared" ca="1" si="119"/>
        <v>1.1786666666666668</v>
      </c>
      <c r="BP6" s="27">
        <f t="shared" ca="1" si="120"/>
        <v>1.7660347222222221</v>
      </c>
      <c r="BQ6" s="27">
        <f t="shared" ca="1" si="121"/>
        <v>15.832666666666668</v>
      </c>
      <c r="BR6" s="27">
        <f t="shared" ca="1" si="122"/>
        <v>1.9350000000000003</v>
      </c>
      <c r="BS6" s="27">
        <f t="shared" ca="1" si="123"/>
        <v>4.9226666666666663</v>
      </c>
      <c r="BT6" s="27">
        <f t="shared" ca="1" si="124"/>
        <v>4.2293333333333329</v>
      </c>
      <c r="BU6" s="27">
        <f t="shared" ca="1" si="125"/>
        <v>3.6536652777777778</v>
      </c>
      <c r="BV6" s="27">
        <f t="shared" ca="1" si="126"/>
        <v>11.003133333333334</v>
      </c>
      <c r="BW6" s="27">
        <f t="shared" ca="1" si="127"/>
        <v>2.1213333333333333</v>
      </c>
      <c r="BX6" s="27">
        <f t="shared" ca="1" si="128"/>
        <v>2.3508527777777779</v>
      </c>
      <c r="BY6" s="27">
        <f t="shared" ca="1" si="129"/>
        <v>6.0709166666666672</v>
      </c>
      <c r="BZ6" s="27">
        <f t="shared" ca="1" si="130"/>
        <v>11.446183333333334</v>
      </c>
      <c r="CA6" s="27">
        <f t="shared" ca="1" si="131"/>
        <v>6.0709166666666672</v>
      </c>
      <c r="CB6" s="27">
        <f t="shared" ca="1" si="132"/>
        <v>6.2620666666666676</v>
      </c>
      <c r="CC6" s="27">
        <f t="shared" ca="1" si="133"/>
        <v>11.572333333333333</v>
      </c>
      <c r="CD6" s="27">
        <f t="shared" ca="1" si="134"/>
        <v>6.2620666666666676</v>
      </c>
      <c r="CE6" s="27">
        <f t="shared" ca="1" si="135"/>
        <v>1.4475694444444445</v>
      </c>
    </row>
    <row r="7" spans="1:83" x14ac:dyDescent="0.25">
      <c r="A7" s="440" t="str">
        <f>PLANTILLA!D8</f>
        <v>Guillermo Pedrajas</v>
      </c>
      <c r="B7" s="440">
        <f>PLANTILLA!E8</f>
        <v>32</v>
      </c>
      <c r="C7" s="441">
        <f ca="1">PLANTILLA!F8</f>
        <v>15</v>
      </c>
      <c r="D7" s="442">
        <f>PLANTILLA!G8</f>
        <v>0</v>
      </c>
      <c r="E7" s="443">
        <f>PLANTILLA!M8</f>
        <v>43419</v>
      </c>
      <c r="F7" s="444">
        <f>PLANTILLA!Q8</f>
        <v>6</v>
      </c>
      <c r="G7" s="445">
        <f t="shared" si="68"/>
        <v>0.92582009977255142</v>
      </c>
      <c r="H7" s="445">
        <f t="shared" si="69"/>
        <v>0.99928545900129484</v>
      </c>
      <c r="I7" s="446">
        <f ca="1">PLANTILLA!N8</f>
        <v>1</v>
      </c>
      <c r="J7" s="29">
        <f>PLANTILLA!I8</f>
        <v>10</v>
      </c>
      <c r="K7" s="36">
        <f>PLANTILLA!X8</f>
        <v>0</v>
      </c>
      <c r="L7" s="36">
        <f>PLANTILLA!Y8</f>
        <v>13.1875</v>
      </c>
      <c r="M7" s="36">
        <f>PLANTILLA!Z8</f>
        <v>11.666666666666666</v>
      </c>
      <c r="N7" s="36">
        <f>PLANTILLA!AA8</f>
        <v>5.25</v>
      </c>
      <c r="O7" s="36">
        <f>PLANTILLA!AB8</f>
        <v>11.142857142857142</v>
      </c>
      <c r="P7" s="36">
        <f>PLANTILLA!AC8</f>
        <v>4</v>
      </c>
      <c r="Q7" s="36">
        <f>PLANTILLA!AD8</f>
        <v>17</v>
      </c>
      <c r="R7" s="36">
        <f t="shared" si="70"/>
        <v>4.8091517857142856</v>
      </c>
      <c r="S7" s="36">
        <f t="shared" si="71"/>
        <v>0.71</v>
      </c>
      <c r="T7" s="36">
        <f t="shared" si="72"/>
        <v>1.0375000000000001</v>
      </c>
      <c r="U7" s="36">
        <f t="shared" ca="1" si="73"/>
        <v>17.899188595602659</v>
      </c>
      <c r="V7" s="36">
        <f t="shared" ca="1" si="74"/>
        <v>19.319518874025032</v>
      </c>
      <c r="W7" s="27">
        <f t="shared" ca="1" si="75"/>
        <v>5.6767500000000002</v>
      </c>
      <c r="X7" s="27">
        <f t="shared" ca="1" si="76"/>
        <v>8.6170208333333331</v>
      </c>
      <c r="Y7" s="27">
        <f t="shared" ca="1" si="77"/>
        <v>5.6767500000000002</v>
      </c>
      <c r="Z7" s="27">
        <f t="shared" ca="1" si="78"/>
        <v>8.0087500000000009</v>
      </c>
      <c r="AA7" s="27">
        <f t="shared" ca="1" si="79"/>
        <v>15.520833333333334</v>
      </c>
      <c r="AB7" s="27">
        <f t="shared" ca="1" si="80"/>
        <v>4.0043750000000005</v>
      </c>
      <c r="AC7" s="27">
        <f t="shared" ca="1" si="81"/>
        <v>3.3319999999999999</v>
      </c>
      <c r="AD7" s="27">
        <f t="shared" ca="1" si="82"/>
        <v>5.8668750000000003</v>
      </c>
      <c r="AE7" s="27">
        <f t="shared" ca="1" si="83"/>
        <v>11.221562499999999</v>
      </c>
      <c r="AF7" s="27">
        <f t="shared" ca="1" si="84"/>
        <v>2.9334375000000001</v>
      </c>
      <c r="AG7" s="27">
        <f t="shared" ca="1" si="85"/>
        <v>5.3900000000000006</v>
      </c>
      <c r="AH7" s="27">
        <f t="shared" ca="1" si="86"/>
        <v>14.279166666666669</v>
      </c>
      <c r="AI7" s="27">
        <f t="shared" ca="1" si="87"/>
        <v>6.4256250000000001</v>
      </c>
      <c r="AJ7" s="27">
        <f t="shared" ca="1" si="88"/>
        <v>2.3380000000000001</v>
      </c>
      <c r="AK7" s="27">
        <f t="shared" ca="1" si="89"/>
        <v>4.4589999999999996</v>
      </c>
      <c r="AL7" s="27">
        <f t="shared" ca="1" si="90"/>
        <v>11.702708333333334</v>
      </c>
      <c r="AM7" s="27">
        <f t="shared" ca="1" si="91"/>
        <v>10.98875</v>
      </c>
      <c r="AN7" s="27">
        <f t="shared" ca="1" si="92"/>
        <v>3.2286666666666668</v>
      </c>
      <c r="AO7" s="27">
        <f t="shared" ca="1" si="93"/>
        <v>2.0570357142857141</v>
      </c>
      <c r="AP7" s="27">
        <f t="shared" ca="1" si="94"/>
        <v>4.1906250000000007</v>
      </c>
      <c r="AQ7" s="27">
        <f t="shared" ca="1" si="95"/>
        <v>9.2193749999999994</v>
      </c>
      <c r="AR7" s="27">
        <f t="shared" ca="1" si="96"/>
        <v>2.0953125000000004</v>
      </c>
      <c r="AS7" s="27">
        <f t="shared" ca="1" si="97"/>
        <v>13.215999999999999</v>
      </c>
      <c r="AT7" s="27">
        <f t="shared" ca="1" si="98"/>
        <v>1.7519047619047621</v>
      </c>
      <c r="AU7" s="27">
        <f t="shared" ca="1" si="99"/>
        <v>2.7128095238095238</v>
      </c>
      <c r="AV7" s="27">
        <f t="shared" ca="1" si="100"/>
        <v>0.87595238095238104</v>
      </c>
      <c r="AW7" s="27">
        <f t="shared" ca="1" si="101"/>
        <v>2.9334375000000001</v>
      </c>
      <c r="AX7" s="27">
        <f t="shared" ca="1" si="102"/>
        <v>6.2083333333333339</v>
      </c>
      <c r="AY7" s="27">
        <f t="shared" ca="1" si="103"/>
        <v>1.4667187500000001</v>
      </c>
      <c r="AZ7" s="27">
        <f t="shared" ca="1" si="104"/>
        <v>14</v>
      </c>
      <c r="BA7" s="27">
        <f t="shared" ca="1" si="105"/>
        <v>3.4094761904761905</v>
      </c>
      <c r="BB7" s="27">
        <f t="shared" ca="1" si="106"/>
        <v>5.9253809523809524</v>
      </c>
      <c r="BC7" s="27">
        <f t="shared" ca="1" si="107"/>
        <v>1.7047380952380953</v>
      </c>
      <c r="BD7" s="27">
        <f t="shared" ca="1" si="108"/>
        <v>4.5165625</v>
      </c>
      <c r="BE7" s="27">
        <f t="shared" ca="1" si="109"/>
        <v>5.4012500000000001</v>
      </c>
      <c r="BF7" s="27">
        <f t="shared" ca="1" si="110"/>
        <v>12.334</v>
      </c>
      <c r="BG7" s="27">
        <f t="shared" ca="1" si="111"/>
        <v>8.5978333333333339</v>
      </c>
      <c r="BH7" s="27">
        <f t="shared" ca="1" si="112"/>
        <v>3.2477619047619046</v>
      </c>
      <c r="BI7" s="27">
        <f t="shared" ca="1" si="113"/>
        <v>7.5276041666666664</v>
      </c>
      <c r="BJ7" s="27">
        <f t="shared" ca="1" si="114"/>
        <v>4.0975000000000001</v>
      </c>
      <c r="BK7" s="27">
        <f t="shared" ca="1" si="115"/>
        <v>5.3339999999999996</v>
      </c>
      <c r="BL7" s="27">
        <f t="shared" ca="1" si="116"/>
        <v>7.8122976190476194</v>
      </c>
      <c r="BM7" s="27">
        <f t="shared" ca="1" si="117"/>
        <v>0.7007619047619047</v>
      </c>
      <c r="BN7" s="27">
        <f t="shared" ca="1" si="118"/>
        <v>2.7937500000000002</v>
      </c>
      <c r="BO7" s="27">
        <f t="shared" ca="1" si="119"/>
        <v>1.0554166666666669</v>
      </c>
      <c r="BP7" s="27">
        <f t="shared" ca="1" si="120"/>
        <v>4.2699999999999996</v>
      </c>
      <c r="BQ7" s="27">
        <f t="shared" ca="1" si="121"/>
        <v>11.437523809523809</v>
      </c>
      <c r="BR7" s="27">
        <f t="shared" ca="1" si="122"/>
        <v>1.8192857142857144</v>
      </c>
      <c r="BS7" s="27">
        <f t="shared" ca="1" si="123"/>
        <v>4.407916666666666</v>
      </c>
      <c r="BT7" s="27">
        <f t="shared" ca="1" si="124"/>
        <v>3.7870833333333334</v>
      </c>
      <c r="BU7" s="27">
        <f t="shared" ca="1" si="125"/>
        <v>8.8339999999999996</v>
      </c>
      <c r="BV7" s="27">
        <f t="shared" ca="1" si="126"/>
        <v>7.9244047619047606</v>
      </c>
      <c r="BW7" s="27">
        <f t="shared" ca="1" si="127"/>
        <v>1.9944761904761903</v>
      </c>
      <c r="BX7" s="27">
        <f t="shared" ca="1" si="128"/>
        <v>5.6840000000000002</v>
      </c>
      <c r="BY7" s="27">
        <f t="shared" ca="1" si="129"/>
        <v>5.2653809523809523</v>
      </c>
      <c r="BZ7" s="27">
        <f t="shared" ca="1" si="130"/>
        <v>11.009904761904762</v>
      </c>
      <c r="CA7" s="27">
        <f t="shared" ca="1" si="131"/>
        <v>5.2653809523809523</v>
      </c>
      <c r="CB7" s="27">
        <f t="shared" ca="1" si="132"/>
        <v>5.2362023809523812</v>
      </c>
      <c r="CC7" s="27">
        <f t="shared" ca="1" si="133"/>
        <v>11.306047619047618</v>
      </c>
      <c r="CD7" s="27">
        <f t="shared" ca="1" si="134"/>
        <v>5.2362023809523812</v>
      </c>
      <c r="CE7" s="27">
        <f t="shared" ca="1" si="135"/>
        <v>3.5</v>
      </c>
    </row>
    <row r="8" spans="1:83" x14ac:dyDescent="0.25">
      <c r="A8" s="440" t="str">
        <f>PLANTILLA!D9</f>
        <v>Venanci Oset</v>
      </c>
      <c r="B8" s="440">
        <f>PLANTILLA!E9</f>
        <v>32</v>
      </c>
      <c r="C8" s="441">
        <f ca="1">PLANTILLA!F9</f>
        <v>58</v>
      </c>
      <c r="D8" s="442">
        <f>PLANTILLA!G9</f>
        <v>0</v>
      </c>
      <c r="E8" s="443">
        <f>PLANTILLA!M9</f>
        <v>43706</v>
      </c>
      <c r="F8" s="444">
        <f>PLANTILLA!Q9</f>
        <v>6</v>
      </c>
      <c r="G8" s="445">
        <f t="shared" si="68"/>
        <v>0.92582009977255142</v>
      </c>
      <c r="H8" s="445">
        <f t="shared" si="69"/>
        <v>0.99928545900129484</v>
      </c>
      <c r="I8" s="446">
        <f ca="1">PLANTILLA!N9</f>
        <v>1</v>
      </c>
      <c r="J8" s="29">
        <f>PLANTILLA!I9</f>
        <v>10</v>
      </c>
      <c r="K8" s="36">
        <f>PLANTILLA!X9</f>
        <v>0</v>
      </c>
      <c r="L8" s="36">
        <f>PLANTILLA!Y9</f>
        <v>15</v>
      </c>
      <c r="M8" s="36">
        <f>PLANTILLA!Z9</f>
        <v>6</v>
      </c>
      <c r="N8" s="36">
        <f>PLANTILLA!AA9</f>
        <v>3.3333333333333335</v>
      </c>
      <c r="O8" s="36">
        <f>PLANTILLA!AB9</f>
        <v>12.222222222222221</v>
      </c>
      <c r="P8" s="36">
        <f>PLANTILLA!AC9</f>
        <v>5.95</v>
      </c>
      <c r="Q8" s="36">
        <f>PLANTILLA!AD9</f>
        <v>17</v>
      </c>
      <c r="R8" s="36">
        <f t="shared" si="70"/>
        <v>5.3055555555555554</v>
      </c>
      <c r="S8" s="36">
        <f t="shared" si="71"/>
        <v>0.80749999999999988</v>
      </c>
      <c r="T8" s="36">
        <f t="shared" si="72"/>
        <v>1.1099999999999999</v>
      </c>
      <c r="U8" s="36">
        <f t="shared" ca="1" si="73"/>
        <v>17.899188595602659</v>
      </c>
      <c r="V8" s="36">
        <f t="shared" ca="1" si="74"/>
        <v>19.319518874025032</v>
      </c>
      <c r="W8" s="27">
        <f t="shared" ca="1" si="75"/>
        <v>6.1769999999999996</v>
      </c>
      <c r="X8" s="27">
        <f t="shared" ca="1" si="76"/>
        <v>9.3873333333333324</v>
      </c>
      <c r="Y8" s="27">
        <f t="shared" ca="1" si="77"/>
        <v>6.1769999999999996</v>
      </c>
      <c r="Z8" s="27">
        <f t="shared" ca="1" si="78"/>
        <v>8.9439999999999991</v>
      </c>
      <c r="AA8" s="27">
        <f t="shared" ca="1" si="79"/>
        <v>17.333333333333332</v>
      </c>
      <c r="AB8" s="27">
        <f t="shared" ca="1" si="80"/>
        <v>4.4719999999999995</v>
      </c>
      <c r="AC8" s="27">
        <f t="shared" ca="1" si="81"/>
        <v>1.9833333333333334</v>
      </c>
      <c r="AD8" s="27">
        <f t="shared" ca="1" si="82"/>
        <v>6.5519999999999996</v>
      </c>
      <c r="AE8" s="27">
        <f t="shared" ca="1" si="83"/>
        <v>12.531999999999998</v>
      </c>
      <c r="AF8" s="27">
        <f t="shared" ca="1" si="84"/>
        <v>3.2759999999999998</v>
      </c>
      <c r="AG8" s="27">
        <f t="shared" ca="1" si="85"/>
        <v>3.2083333333333335</v>
      </c>
      <c r="AH8" s="27">
        <f t="shared" ca="1" si="86"/>
        <v>15.946666666666665</v>
      </c>
      <c r="AI8" s="27">
        <f t="shared" ca="1" si="87"/>
        <v>7.1759999999999993</v>
      </c>
      <c r="AJ8" s="27">
        <f t="shared" ca="1" si="88"/>
        <v>1.3916666666666668</v>
      </c>
      <c r="AK8" s="27">
        <f t="shared" ca="1" si="89"/>
        <v>3.3319999999999999</v>
      </c>
      <c r="AL8" s="27">
        <f t="shared" ca="1" si="90"/>
        <v>13.069333333333333</v>
      </c>
      <c r="AM8" s="27">
        <f t="shared" ca="1" si="91"/>
        <v>12.271999999999998</v>
      </c>
      <c r="AN8" s="27">
        <f t="shared" ca="1" si="92"/>
        <v>3.2286666666666668</v>
      </c>
      <c r="AO8" s="27">
        <f t="shared" ca="1" si="93"/>
        <v>2.1999999999999997</v>
      </c>
      <c r="AP8" s="27">
        <f t="shared" ca="1" si="94"/>
        <v>4.68</v>
      </c>
      <c r="AQ8" s="27">
        <f t="shared" ca="1" si="95"/>
        <v>10.295999999999999</v>
      </c>
      <c r="AR8" s="27">
        <f t="shared" ca="1" si="96"/>
        <v>2.34</v>
      </c>
      <c r="AS8" s="27">
        <f t="shared" ca="1" si="97"/>
        <v>7.8666666666666671</v>
      </c>
      <c r="AT8" s="27">
        <f t="shared" ca="1" si="98"/>
        <v>1.8922222222222222</v>
      </c>
      <c r="AU8" s="27">
        <f t="shared" ca="1" si="99"/>
        <v>3.1796833333333332</v>
      </c>
      <c r="AV8" s="27">
        <f t="shared" ca="1" si="100"/>
        <v>0.94611111111111112</v>
      </c>
      <c r="AW8" s="27">
        <f t="shared" ca="1" si="101"/>
        <v>3.2759999999999998</v>
      </c>
      <c r="AX8" s="27">
        <f t="shared" ca="1" si="102"/>
        <v>6.9333333333333336</v>
      </c>
      <c r="AY8" s="27">
        <f t="shared" ca="1" si="103"/>
        <v>1.6379999999999999</v>
      </c>
      <c r="AZ8" s="27">
        <f t="shared" ca="1" si="104"/>
        <v>8.3333333333333339</v>
      </c>
      <c r="BA8" s="27">
        <f t="shared" ca="1" si="105"/>
        <v>3.6825555555555556</v>
      </c>
      <c r="BB8" s="27">
        <f t="shared" ca="1" si="106"/>
        <v>6.7029444444444444</v>
      </c>
      <c r="BC8" s="27">
        <f t="shared" ca="1" si="107"/>
        <v>1.8412777777777778</v>
      </c>
      <c r="BD8" s="27">
        <f t="shared" ca="1" si="108"/>
        <v>5.0439999999999996</v>
      </c>
      <c r="BE8" s="27">
        <f t="shared" ca="1" si="109"/>
        <v>6.0319999999999991</v>
      </c>
      <c r="BF8" s="27">
        <f t="shared" ca="1" si="110"/>
        <v>7.3416666666666677</v>
      </c>
      <c r="BG8" s="27">
        <f t="shared" ca="1" si="111"/>
        <v>7.8376666666666663</v>
      </c>
      <c r="BH8" s="27">
        <f t="shared" ca="1" si="112"/>
        <v>3.5078888888888886</v>
      </c>
      <c r="BI8" s="27">
        <f t="shared" ca="1" si="113"/>
        <v>8.4066666666666663</v>
      </c>
      <c r="BJ8" s="27">
        <f t="shared" ca="1" si="114"/>
        <v>4.5759999999999996</v>
      </c>
      <c r="BK8" s="27">
        <f t="shared" ca="1" si="115"/>
        <v>3.1750000000000003</v>
      </c>
      <c r="BL8" s="27">
        <f t="shared" ca="1" si="116"/>
        <v>6.7393333333333345</v>
      </c>
      <c r="BM8" s="27">
        <f t="shared" ca="1" si="117"/>
        <v>0.75688888888888883</v>
      </c>
      <c r="BN8" s="27">
        <f t="shared" ca="1" si="118"/>
        <v>3.1199999999999997</v>
      </c>
      <c r="BO8" s="27">
        <f t="shared" ca="1" si="119"/>
        <v>1.1786666666666668</v>
      </c>
      <c r="BP8" s="27">
        <f t="shared" ca="1" si="120"/>
        <v>2.541666666666667</v>
      </c>
      <c r="BQ8" s="27">
        <f t="shared" ca="1" si="121"/>
        <v>9.8295555555555545</v>
      </c>
      <c r="BR8" s="27">
        <f t="shared" ca="1" si="122"/>
        <v>1.9650000000000001</v>
      </c>
      <c r="BS8" s="27">
        <f t="shared" ca="1" si="123"/>
        <v>4.9226666666666663</v>
      </c>
      <c r="BT8" s="27">
        <f t="shared" ca="1" si="124"/>
        <v>4.2293333333333329</v>
      </c>
      <c r="BU8" s="27">
        <f t="shared" ca="1" si="125"/>
        <v>5.2583333333333337</v>
      </c>
      <c r="BV8" s="27">
        <f t="shared" ca="1" si="126"/>
        <v>6.7872222222222218</v>
      </c>
      <c r="BW8" s="27">
        <f t="shared" ca="1" si="127"/>
        <v>2.1542222222222223</v>
      </c>
      <c r="BX8" s="27">
        <f t="shared" ca="1" si="128"/>
        <v>3.3833333333333337</v>
      </c>
      <c r="BY8" s="27">
        <f t="shared" ca="1" si="129"/>
        <v>5.5068722222222224</v>
      </c>
      <c r="BZ8" s="27">
        <f t="shared" ca="1" si="130"/>
        <v>12.732849999999999</v>
      </c>
      <c r="CA8" s="27">
        <f t="shared" ca="1" si="131"/>
        <v>5.5068722222222224</v>
      </c>
      <c r="CB8" s="27">
        <f t="shared" ca="1" si="132"/>
        <v>5.4728888888888889</v>
      </c>
      <c r="CC8" s="27">
        <f t="shared" ca="1" si="133"/>
        <v>13.654333333333334</v>
      </c>
      <c r="CD8" s="27">
        <f t="shared" ca="1" si="134"/>
        <v>5.4728888888888889</v>
      </c>
      <c r="CE8" s="27">
        <f t="shared" ca="1" si="135"/>
        <v>2.0833333333333335</v>
      </c>
    </row>
    <row r="9" spans="1:83" x14ac:dyDescent="0.25">
      <c r="A9" s="440" t="str">
        <f>PLANTILLA!D10</f>
        <v>Francesc Añigas</v>
      </c>
      <c r="B9" s="440">
        <f>PLANTILLA!E10</f>
        <v>31</v>
      </c>
      <c r="C9" s="441">
        <f ca="1">PLANTILLA!F10</f>
        <v>107</v>
      </c>
      <c r="D9" s="442" t="str">
        <f>PLANTILLA!G10</f>
        <v>IMP</v>
      </c>
      <c r="E9" s="443">
        <f>PLANTILLA!M10</f>
        <v>43137</v>
      </c>
      <c r="F9" s="444">
        <f>PLANTILLA!Q10</f>
        <v>5</v>
      </c>
      <c r="G9" s="445">
        <f t="shared" si="68"/>
        <v>0.84515425472851657</v>
      </c>
      <c r="H9" s="445">
        <f t="shared" si="69"/>
        <v>0.92504826128926143</v>
      </c>
      <c r="I9" s="446">
        <f ca="1">PLANTILLA!N10</f>
        <v>1</v>
      </c>
      <c r="J9" s="29">
        <f>PLANTILLA!I10</f>
        <v>12</v>
      </c>
      <c r="K9" s="36">
        <f>PLANTILLA!X10</f>
        <v>0</v>
      </c>
      <c r="L9" s="36">
        <f>PLANTILLA!Y10</f>
        <v>14.375</v>
      </c>
      <c r="M9" s="36">
        <f>PLANTILLA!Z10</f>
        <v>5</v>
      </c>
      <c r="N9" s="36">
        <f>PLANTILLA!AA10</f>
        <v>14</v>
      </c>
      <c r="O9" s="36">
        <f>PLANTILLA!AB10</f>
        <v>9</v>
      </c>
      <c r="P9" s="36">
        <f>PLANTILLA!AC10</f>
        <v>6.95</v>
      </c>
      <c r="Q9" s="36">
        <f>PLANTILLA!AD10</f>
        <v>18</v>
      </c>
      <c r="R9" s="36">
        <f t="shared" si="70"/>
        <v>4.421875</v>
      </c>
      <c r="S9" s="36">
        <f t="shared" si="71"/>
        <v>0.88749999999999996</v>
      </c>
      <c r="T9" s="36">
        <f t="shared" si="72"/>
        <v>1.1149999999999998</v>
      </c>
      <c r="U9" s="36">
        <f t="shared" ca="1" si="73"/>
        <v>17.274030335468979</v>
      </c>
      <c r="V9" s="36">
        <f t="shared" ca="1" si="74"/>
        <v>18.906976611525746</v>
      </c>
      <c r="W9" s="27">
        <f t="shared" ca="1" si="75"/>
        <v>6.0966669703994354</v>
      </c>
      <c r="X9" s="27">
        <f t="shared" ca="1" si="76"/>
        <v>9.2580056515299773</v>
      </c>
      <c r="Y9" s="27">
        <f t="shared" ca="1" si="77"/>
        <v>6.0966669703994354</v>
      </c>
      <c r="Z9" s="27">
        <f t="shared" ca="1" si="78"/>
        <v>8.6759766972807668</v>
      </c>
      <c r="AA9" s="27">
        <f t="shared" ca="1" si="79"/>
        <v>16.813908328063501</v>
      </c>
      <c r="AB9" s="27">
        <f t="shared" ca="1" si="80"/>
        <v>4.3379883486403834</v>
      </c>
      <c r="AC9" s="27">
        <f t="shared" ca="1" si="81"/>
        <v>1.7704601820791128</v>
      </c>
      <c r="AD9" s="27">
        <f t="shared" ca="1" si="82"/>
        <v>6.3556573480080036</v>
      </c>
      <c r="AE9" s="27">
        <f t="shared" ca="1" si="83"/>
        <v>12.156455721189911</v>
      </c>
      <c r="AF9" s="27">
        <f t="shared" ca="1" si="84"/>
        <v>3.1778286740040018</v>
      </c>
      <c r="AG9" s="27">
        <f t="shared" ca="1" si="85"/>
        <v>2.8639797063044474</v>
      </c>
      <c r="AH9" s="27">
        <f t="shared" ca="1" si="86"/>
        <v>15.468795661818422</v>
      </c>
      <c r="AI9" s="27">
        <f t="shared" ca="1" si="87"/>
        <v>6.9609580478182895</v>
      </c>
      <c r="AJ9" s="27">
        <f t="shared" ca="1" si="88"/>
        <v>1.2422976907866046</v>
      </c>
      <c r="AK9" s="27">
        <f t="shared" ca="1" si="89"/>
        <v>9.6660780969013391</v>
      </c>
      <c r="AL9" s="27">
        <f t="shared" ca="1" si="90"/>
        <v>12.67768687935988</v>
      </c>
      <c r="AM9" s="27">
        <f t="shared" ca="1" si="91"/>
        <v>11.904247096268959</v>
      </c>
      <c r="AN9" s="27">
        <f t="shared" ca="1" si="92"/>
        <v>3.4132976907866048</v>
      </c>
      <c r="AO9" s="27">
        <f t="shared" ca="1" si="93"/>
        <v>1.9759055984822878</v>
      </c>
      <c r="AP9" s="27">
        <f t="shared" ca="1" si="94"/>
        <v>4.539755248577146</v>
      </c>
      <c r="AQ9" s="27">
        <f t="shared" ca="1" si="95"/>
        <v>9.987461546869719</v>
      </c>
      <c r="AR9" s="27">
        <f t="shared" ca="1" si="96"/>
        <v>2.269877624288573</v>
      </c>
      <c r="AS9" s="27">
        <f t="shared" ca="1" si="97"/>
        <v>7.0223294616919434</v>
      </c>
      <c r="AT9" s="27">
        <f t="shared" ca="1" si="98"/>
        <v>1.4870580826482549</v>
      </c>
      <c r="AU9" s="27">
        <f t="shared" ca="1" si="99"/>
        <v>2.9969501401226055</v>
      </c>
      <c r="AV9" s="27">
        <f t="shared" ca="1" si="100"/>
        <v>0.74352904132412745</v>
      </c>
      <c r="AW9" s="27">
        <f t="shared" ca="1" si="101"/>
        <v>3.1778286740040018</v>
      </c>
      <c r="AX9" s="27">
        <f t="shared" ca="1" si="102"/>
        <v>6.7255633312254011</v>
      </c>
      <c r="AY9" s="27">
        <f t="shared" ca="1" si="103"/>
        <v>1.5889143370020009</v>
      </c>
      <c r="AZ9" s="27">
        <f t="shared" ca="1" si="104"/>
        <v>7.4389083280634996</v>
      </c>
      <c r="BA9" s="27">
        <f t="shared" ca="1" si="105"/>
        <v>2.8940438070000654</v>
      </c>
      <c r="BB9" s="27">
        <f t="shared" ca="1" si="106"/>
        <v>5.8723384887629884</v>
      </c>
      <c r="BC9" s="27">
        <f t="shared" ca="1" si="107"/>
        <v>1.4470219035000327</v>
      </c>
      <c r="BD9" s="27">
        <f t="shared" ca="1" si="108"/>
        <v>4.8928473234664782</v>
      </c>
      <c r="BE9" s="27">
        <f t="shared" ca="1" si="109"/>
        <v>5.8512400981660981</v>
      </c>
      <c r="BF9" s="27">
        <f t="shared" ca="1" si="110"/>
        <v>6.5536782370239433</v>
      </c>
      <c r="BG9" s="27">
        <f t="shared" ca="1" si="111"/>
        <v>13.039189503648451</v>
      </c>
      <c r="BH9" s="27">
        <f t="shared" ca="1" si="112"/>
        <v>2.7567769070633035</v>
      </c>
      <c r="BI9" s="27">
        <f t="shared" ca="1" si="113"/>
        <v>8.1547455391107988</v>
      </c>
      <c r="BJ9" s="27">
        <f t="shared" ca="1" si="114"/>
        <v>4.4388717986087647</v>
      </c>
      <c r="BK9" s="27">
        <f t="shared" ca="1" si="115"/>
        <v>2.8342240729921935</v>
      </c>
      <c r="BL9" s="27">
        <f t="shared" ca="1" si="116"/>
        <v>13.3626058787275</v>
      </c>
      <c r="BM9" s="27">
        <f t="shared" ca="1" si="117"/>
        <v>0.59482323305930196</v>
      </c>
      <c r="BN9" s="27">
        <f t="shared" ca="1" si="118"/>
        <v>3.0265034990514303</v>
      </c>
      <c r="BO9" s="27">
        <f t="shared" ca="1" si="119"/>
        <v>1.1433457663083182</v>
      </c>
      <c r="BP9" s="27">
        <f t="shared" ca="1" si="120"/>
        <v>2.2688670400593671</v>
      </c>
      <c r="BQ9" s="27">
        <f t="shared" ca="1" si="121"/>
        <v>19.710436109889663</v>
      </c>
      <c r="BR9" s="27">
        <f t="shared" ca="1" si="122"/>
        <v>1.5442526242885726</v>
      </c>
      <c r="BS9" s="27">
        <f t="shared" ca="1" si="123"/>
        <v>4.7751499651700335</v>
      </c>
      <c r="BT9" s="27">
        <f t="shared" ca="1" si="124"/>
        <v>4.1025936320474941</v>
      </c>
      <c r="BU9" s="27">
        <f t="shared" ca="1" si="125"/>
        <v>4.6939511550080679</v>
      </c>
      <c r="BV9" s="27">
        <f t="shared" ca="1" si="126"/>
        <v>13.747822953616833</v>
      </c>
      <c r="BW9" s="27">
        <f t="shared" ca="1" si="127"/>
        <v>1.692958432553398</v>
      </c>
      <c r="BX9" s="27">
        <f t="shared" ca="1" si="128"/>
        <v>3.0201967811937811</v>
      </c>
      <c r="BY9" s="27">
        <f t="shared" ca="1" si="129"/>
        <v>6.4193212389210839</v>
      </c>
      <c r="BZ9" s="27">
        <f t="shared" ca="1" si="130"/>
        <v>11.685060777399501</v>
      </c>
      <c r="CA9" s="27">
        <f t="shared" ca="1" si="131"/>
        <v>6.4193212389210839</v>
      </c>
      <c r="CB9" s="27">
        <f t="shared" ca="1" si="132"/>
        <v>7.6984398883835601</v>
      </c>
      <c r="CC9" s="27">
        <f t="shared" ca="1" si="133"/>
        <v>13.609865501118932</v>
      </c>
      <c r="CD9" s="27">
        <f t="shared" ca="1" si="134"/>
        <v>7.6984398883835601</v>
      </c>
      <c r="CE9" s="27">
        <f t="shared" ca="1" si="135"/>
        <v>1.8597270820158749</v>
      </c>
    </row>
    <row r="10" spans="1:83" x14ac:dyDescent="0.25">
      <c r="A10" s="440" t="str">
        <f>PLANTILLA!D11</f>
        <v>Will Duffill</v>
      </c>
      <c r="B10" s="440">
        <f>PLANTILLA!E11</f>
        <v>31</v>
      </c>
      <c r="C10" s="441">
        <f ca="1">PLANTILLA!F11</f>
        <v>68</v>
      </c>
      <c r="D10" s="442" t="str">
        <f>PLANTILLA!G11</f>
        <v>RAP</v>
      </c>
      <c r="E10" s="443">
        <f>PLANTILLA!M11</f>
        <v>43122</v>
      </c>
      <c r="F10" s="444">
        <f>PLANTILLA!Q11</f>
        <v>4</v>
      </c>
      <c r="G10" s="445">
        <f t="shared" si="68"/>
        <v>0.7559289460184544</v>
      </c>
      <c r="H10" s="445">
        <f t="shared" si="69"/>
        <v>0.84430867747355465</v>
      </c>
      <c r="I10" s="446">
        <f ca="1">PLANTILLA!N11</f>
        <v>1</v>
      </c>
      <c r="J10" s="29">
        <f>PLANTILLA!I11</f>
        <v>12</v>
      </c>
      <c r="K10" s="36">
        <f>PLANTILLA!X11</f>
        <v>0</v>
      </c>
      <c r="L10" s="36">
        <f>PLANTILLA!Y11</f>
        <v>14</v>
      </c>
      <c r="M10" s="36">
        <f>PLANTILLA!Z11</f>
        <v>5</v>
      </c>
      <c r="N10" s="36">
        <f>PLANTILLA!AA11</f>
        <v>15.111111111111111</v>
      </c>
      <c r="O10" s="36">
        <f>PLANTILLA!AB11</f>
        <v>10</v>
      </c>
      <c r="P10" s="36">
        <f>PLANTILLA!AC11</f>
        <v>6.95</v>
      </c>
      <c r="Q10" s="36">
        <f>PLANTILLA!AD11</f>
        <v>18</v>
      </c>
      <c r="R10" s="36">
        <f t="shared" si="70"/>
        <v>4.625</v>
      </c>
      <c r="S10" s="36">
        <f t="shared" si="71"/>
        <v>0.88749999999999996</v>
      </c>
      <c r="T10" s="36">
        <f t="shared" si="72"/>
        <v>1.1000000000000001</v>
      </c>
      <c r="U10" s="36">
        <f t="shared" ca="1" si="73"/>
        <v>15.450362430200853</v>
      </c>
      <c r="V10" s="36">
        <f t="shared" ca="1" si="74"/>
        <v>17.256747659470516</v>
      </c>
      <c r="W10" s="27">
        <f t="shared" ca="1" si="75"/>
        <v>5.9931669703994359</v>
      </c>
      <c r="X10" s="27">
        <f t="shared" ca="1" si="76"/>
        <v>9.0986306515299784</v>
      </c>
      <c r="Y10" s="27">
        <f t="shared" ca="1" si="77"/>
        <v>5.9931669703994359</v>
      </c>
      <c r="Z10" s="27">
        <f t="shared" ca="1" si="78"/>
        <v>8.4824766972807666</v>
      </c>
      <c r="AA10" s="27">
        <f t="shared" ca="1" si="79"/>
        <v>16.438908328063501</v>
      </c>
      <c r="AB10" s="27">
        <f t="shared" ca="1" si="80"/>
        <v>4.2412383486403833</v>
      </c>
      <c r="AC10" s="27">
        <f t="shared" ca="1" si="81"/>
        <v>1.7704601820791128</v>
      </c>
      <c r="AD10" s="27">
        <f t="shared" ca="1" si="82"/>
        <v>6.2139073480080036</v>
      </c>
      <c r="AE10" s="27">
        <f t="shared" ca="1" si="83"/>
        <v>11.885330721189911</v>
      </c>
      <c r="AF10" s="27">
        <f t="shared" ca="1" si="84"/>
        <v>3.1069536740040018</v>
      </c>
      <c r="AG10" s="27">
        <f t="shared" ca="1" si="85"/>
        <v>2.8639797063044474</v>
      </c>
      <c r="AH10" s="27">
        <f t="shared" ca="1" si="86"/>
        <v>15.123795661818422</v>
      </c>
      <c r="AI10" s="27">
        <f t="shared" ca="1" si="87"/>
        <v>6.805708047818289</v>
      </c>
      <c r="AJ10" s="27">
        <f t="shared" ca="1" si="88"/>
        <v>1.2422976907866046</v>
      </c>
      <c r="AK10" s="27">
        <f t="shared" ca="1" si="89"/>
        <v>10.319411430234672</v>
      </c>
      <c r="AL10" s="27">
        <f t="shared" ca="1" si="90"/>
        <v>12.39493687935988</v>
      </c>
      <c r="AM10" s="27">
        <f t="shared" ca="1" si="91"/>
        <v>11.638747096268958</v>
      </c>
      <c r="AN10" s="27">
        <f t="shared" ca="1" si="92"/>
        <v>3.4132976907866048</v>
      </c>
      <c r="AO10" s="27">
        <f t="shared" ca="1" si="93"/>
        <v>2.0344055984822877</v>
      </c>
      <c r="AP10" s="27">
        <f t="shared" ca="1" si="94"/>
        <v>4.4385052485771457</v>
      </c>
      <c r="AQ10" s="27">
        <f t="shared" ca="1" si="95"/>
        <v>9.7647115468697194</v>
      </c>
      <c r="AR10" s="27">
        <f t="shared" ca="1" si="96"/>
        <v>2.2192526242885728</v>
      </c>
      <c r="AS10" s="27">
        <f t="shared" ca="1" si="97"/>
        <v>7.0223294616919434</v>
      </c>
      <c r="AT10" s="27">
        <f t="shared" ca="1" si="98"/>
        <v>1.617058082648255</v>
      </c>
      <c r="AU10" s="27">
        <f t="shared" ca="1" si="99"/>
        <v>3.1169501401226052</v>
      </c>
      <c r="AV10" s="27">
        <f t="shared" ca="1" si="100"/>
        <v>0.80852904132412751</v>
      </c>
      <c r="AW10" s="27">
        <f t="shared" ca="1" si="101"/>
        <v>3.1069536740040018</v>
      </c>
      <c r="AX10" s="27">
        <f t="shared" ca="1" si="102"/>
        <v>6.5755633312254007</v>
      </c>
      <c r="AY10" s="27">
        <f t="shared" ca="1" si="103"/>
        <v>1.5534768370020009</v>
      </c>
      <c r="AZ10" s="27">
        <f t="shared" ca="1" si="104"/>
        <v>7.4389083280634996</v>
      </c>
      <c r="BA10" s="27">
        <f t="shared" ca="1" si="105"/>
        <v>3.1470438070000655</v>
      </c>
      <c r="BB10" s="27">
        <f t="shared" ca="1" si="106"/>
        <v>6.2133384887629894</v>
      </c>
      <c r="BC10" s="27">
        <f t="shared" ca="1" si="107"/>
        <v>1.5735219035000327</v>
      </c>
      <c r="BD10" s="27">
        <f t="shared" ca="1" si="108"/>
        <v>4.7837223234664785</v>
      </c>
      <c r="BE10" s="27">
        <f t="shared" ca="1" si="109"/>
        <v>5.7207400981660976</v>
      </c>
      <c r="BF10" s="27">
        <f t="shared" ca="1" si="110"/>
        <v>6.5536782370239433</v>
      </c>
      <c r="BG10" s="27">
        <f t="shared" ca="1" si="111"/>
        <v>13.991967281426229</v>
      </c>
      <c r="BH10" s="27">
        <f t="shared" ca="1" si="112"/>
        <v>2.9977769070633031</v>
      </c>
      <c r="BI10" s="27">
        <f t="shared" ca="1" si="113"/>
        <v>7.9728705391107981</v>
      </c>
      <c r="BJ10" s="27">
        <f t="shared" ca="1" si="114"/>
        <v>4.3398717986087645</v>
      </c>
      <c r="BK10" s="27">
        <f t="shared" ca="1" si="115"/>
        <v>2.8342240729921935</v>
      </c>
      <c r="BL10" s="27">
        <f t="shared" ca="1" si="116"/>
        <v>14.311383656505278</v>
      </c>
      <c r="BM10" s="27">
        <f t="shared" ca="1" si="117"/>
        <v>0.64682323305930189</v>
      </c>
      <c r="BN10" s="27">
        <f t="shared" ca="1" si="118"/>
        <v>2.95900349905143</v>
      </c>
      <c r="BO10" s="27">
        <f t="shared" ca="1" si="119"/>
        <v>1.1178457663083181</v>
      </c>
      <c r="BP10" s="27">
        <f t="shared" ca="1" si="120"/>
        <v>2.2688670400593671</v>
      </c>
      <c r="BQ10" s="27">
        <f t="shared" ca="1" si="121"/>
        <v>21.107547221000772</v>
      </c>
      <c r="BR10" s="27">
        <f t="shared" ca="1" si="122"/>
        <v>1.6792526242885726</v>
      </c>
      <c r="BS10" s="27">
        <f t="shared" ca="1" si="123"/>
        <v>4.6686499651700339</v>
      </c>
      <c r="BT10" s="27">
        <f t="shared" ca="1" si="124"/>
        <v>4.0110936320474941</v>
      </c>
      <c r="BU10" s="27">
        <f t="shared" ca="1" si="125"/>
        <v>4.6939511550080679</v>
      </c>
      <c r="BV10" s="27">
        <f t="shared" ca="1" si="126"/>
        <v>14.720822953616832</v>
      </c>
      <c r="BW10" s="27">
        <f t="shared" ca="1" si="127"/>
        <v>1.8409584325533979</v>
      </c>
      <c r="BX10" s="27">
        <f t="shared" ca="1" si="128"/>
        <v>3.0201967811937811</v>
      </c>
      <c r="BY10" s="27">
        <f t="shared" ca="1" si="129"/>
        <v>6.8293212389210831</v>
      </c>
      <c r="BZ10" s="27">
        <f t="shared" ca="1" si="130"/>
        <v>12.228060777399502</v>
      </c>
      <c r="CA10" s="27">
        <f t="shared" ca="1" si="131"/>
        <v>6.8293212389210831</v>
      </c>
      <c r="CB10" s="27">
        <f t="shared" ca="1" si="132"/>
        <v>8.0859954439391171</v>
      </c>
      <c r="CC10" s="27">
        <f t="shared" ca="1" si="133"/>
        <v>13.978865501118932</v>
      </c>
      <c r="CD10" s="27">
        <f t="shared" ca="1" si="134"/>
        <v>8.0859954439391171</v>
      </c>
      <c r="CE10" s="27">
        <f t="shared" ca="1" si="135"/>
        <v>1.8597270820158749</v>
      </c>
    </row>
    <row r="11" spans="1:83" x14ac:dyDescent="0.25">
      <c r="A11" s="440" t="str">
        <f>PLANTILLA!D12</f>
        <v>Valeri Gomis</v>
      </c>
      <c r="B11" s="440">
        <f>PLANTILLA!E12</f>
        <v>31</v>
      </c>
      <c r="C11" s="441">
        <f ca="1">PLANTILLA!F12</f>
        <v>107</v>
      </c>
      <c r="D11" s="442" t="str">
        <f>PLANTILLA!G12</f>
        <v>IMP</v>
      </c>
      <c r="E11" s="443">
        <f>PLANTILLA!M12</f>
        <v>43051</v>
      </c>
      <c r="F11" s="444">
        <f>PLANTILLA!Q12</f>
        <v>4</v>
      </c>
      <c r="G11" s="445">
        <f t="shared" si="68"/>
        <v>0.7559289460184544</v>
      </c>
      <c r="H11" s="445">
        <f t="shared" si="69"/>
        <v>0.84430867747355465</v>
      </c>
      <c r="I11" s="446">
        <f ca="1">PLANTILLA!N12</f>
        <v>1</v>
      </c>
      <c r="J11" s="29">
        <f>PLANTILLA!I12</f>
        <v>11</v>
      </c>
      <c r="K11" s="36">
        <f>PLANTILLA!X12</f>
        <v>0</v>
      </c>
      <c r="L11" s="36">
        <f>PLANTILLA!Y12</f>
        <v>13.333333333333334</v>
      </c>
      <c r="M11" s="36">
        <f>PLANTILLA!Z12</f>
        <v>5</v>
      </c>
      <c r="N11" s="36">
        <f>PLANTILLA!AA12</f>
        <v>14</v>
      </c>
      <c r="O11" s="36">
        <f>PLANTILLA!AB12</f>
        <v>10</v>
      </c>
      <c r="P11" s="36">
        <f>PLANTILLA!AC12</f>
        <v>6.95</v>
      </c>
      <c r="Q11" s="36">
        <f>PLANTILLA!AD12</f>
        <v>18</v>
      </c>
      <c r="R11" s="36">
        <f t="shared" si="70"/>
        <v>4.541666666666667</v>
      </c>
      <c r="S11" s="36">
        <f t="shared" si="71"/>
        <v>0.88749999999999996</v>
      </c>
      <c r="T11" s="36">
        <f t="shared" si="72"/>
        <v>1.0733333333333335</v>
      </c>
      <c r="U11" s="36">
        <f t="shared" ca="1" si="73"/>
        <v>15.412275140861281</v>
      </c>
      <c r="V11" s="36">
        <f t="shared" ca="1" si="74"/>
        <v>17.214207379646307</v>
      </c>
      <c r="W11" s="27">
        <f t="shared" ca="1" si="75"/>
        <v>5.7651810855241745</v>
      </c>
      <c r="X11" s="27">
        <f t="shared" ca="1" si="76"/>
        <v>8.7502506087190248</v>
      </c>
      <c r="Y11" s="27">
        <f t="shared" ca="1" si="77"/>
        <v>5.7651810855241745</v>
      </c>
      <c r="Z11" s="27">
        <f t="shared" ca="1" si="78"/>
        <v>8.1124781673888595</v>
      </c>
      <c r="AA11" s="27">
        <f t="shared" ca="1" si="79"/>
        <v>15.7218569135443</v>
      </c>
      <c r="AB11" s="27">
        <f t="shared" ca="1" si="80"/>
        <v>4.0562390836944298</v>
      </c>
      <c r="AC11" s="27">
        <f t="shared" ca="1" si="81"/>
        <v>1.75846861209021</v>
      </c>
      <c r="AD11" s="27">
        <f t="shared" ca="1" si="82"/>
        <v>5.9428619133197458</v>
      </c>
      <c r="AE11" s="27">
        <f t="shared" ca="1" si="83"/>
        <v>11.366902548492529</v>
      </c>
      <c r="AF11" s="27">
        <f t="shared" ca="1" si="84"/>
        <v>2.9714309566598729</v>
      </c>
      <c r="AG11" s="27">
        <f t="shared" ca="1" si="85"/>
        <v>2.8445815783812223</v>
      </c>
      <c r="AH11" s="27">
        <f t="shared" ca="1" si="86"/>
        <v>14.464108360460758</v>
      </c>
      <c r="AI11" s="27">
        <f t="shared" ca="1" si="87"/>
        <v>6.5088487622073403</v>
      </c>
      <c r="AJ11" s="27">
        <f t="shared" ca="1" si="88"/>
        <v>1.2338834378952315</v>
      </c>
      <c r="AK11" s="27">
        <f t="shared" ca="1" si="89"/>
        <v>9.6364518651640481</v>
      </c>
      <c r="AL11" s="27">
        <f t="shared" ca="1" si="90"/>
        <v>11.854280112812402</v>
      </c>
      <c r="AM11" s="27">
        <f t="shared" ca="1" si="91"/>
        <v>11.131074694789364</v>
      </c>
      <c r="AN11" s="27">
        <f t="shared" ca="1" si="92"/>
        <v>3.404883437895232</v>
      </c>
      <c r="AO11" s="27">
        <f t="shared" ca="1" si="93"/>
        <v>1.9958947911007583</v>
      </c>
      <c r="AP11" s="27">
        <f t="shared" ca="1" si="94"/>
        <v>4.2449013666569613</v>
      </c>
      <c r="AQ11" s="27">
        <f t="shared" ca="1" si="95"/>
        <v>9.3387830066453148</v>
      </c>
      <c r="AR11" s="27">
        <f t="shared" ca="1" si="96"/>
        <v>2.1224506833284806</v>
      </c>
      <c r="AS11" s="27">
        <f t="shared" ca="1" si="97"/>
        <v>6.9747662597191518</v>
      </c>
      <c r="AT11" s="27">
        <f t="shared" ca="1" si="98"/>
        <v>1.6105080654274258</v>
      </c>
      <c r="AU11" s="27">
        <f t="shared" ca="1" si="99"/>
        <v>3.1021874090018131</v>
      </c>
      <c r="AV11" s="27">
        <f t="shared" ca="1" si="100"/>
        <v>0.80525403271371288</v>
      </c>
      <c r="AW11" s="27">
        <f t="shared" ca="1" si="101"/>
        <v>2.9714309566598729</v>
      </c>
      <c r="AX11" s="27">
        <f t="shared" ca="1" si="102"/>
        <v>6.2887427654177204</v>
      </c>
      <c r="AY11" s="27">
        <f t="shared" ca="1" si="103"/>
        <v>1.4857154783299364</v>
      </c>
      <c r="AZ11" s="27">
        <f t="shared" ca="1" si="104"/>
        <v>7.3885235802109666</v>
      </c>
      <c r="BA11" s="27">
        <f t="shared" ca="1" si="105"/>
        <v>3.1342964657933745</v>
      </c>
      <c r="BB11" s="27">
        <f t="shared" ca="1" si="106"/>
        <v>6.1855764926962431</v>
      </c>
      <c r="BC11" s="27">
        <f t="shared" ca="1" si="107"/>
        <v>1.5671482328966873</v>
      </c>
      <c r="BD11" s="27">
        <f t="shared" ca="1" si="108"/>
        <v>4.5750603618413912</v>
      </c>
      <c r="BE11" s="27">
        <f t="shared" ca="1" si="109"/>
        <v>5.4712062059134166</v>
      </c>
      <c r="BF11" s="27">
        <f t="shared" ca="1" si="110"/>
        <v>6.5092892741658614</v>
      </c>
      <c r="BG11" s="27">
        <f t="shared" ca="1" si="111"/>
        <v>13.309397462807549</v>
      </c>
      <c r="BH11" s="27">
        <f t="shared" ca="1" si="112"/>
        <v>2.985634182830843</v>
      </c>
      <c r="BI11" s="27">
        <f t="shared" ca="1" si="113"/>
        <v>7.6251006030689856</v>
      </c>
      <c r="BJ11" s="27">
        <f t="shared" ca="1" si="114"/>
        <v>4.150570225175696</v>
      </c>
      <c r="BK11" s="27">
        <f t="shared" ca="1" si="115"/>
        <v>2.8150274840603782</v>
      </c>
      <c r="BL11" s="27">
        <f t="shared" ca="1" si="116"/>
        <v>13.519569609104387</v>
      </c>
      <c r="BM11" s="27">
        <f t="shared" ca="1" si="117"/>
        <v>0.64420322617097026</v>
      </c>
      <c r="BN11" s="27">
        <f t="shared" ca="1" si="118"/>
        <v>2.829934244437974</v>
      </c>
      <c r="BO11" s="27">
        <f t="shared" ca="1" si="119"/>
        <v>1.0690862701210124</v>
      </c>
      <c r="BP11" s="27">
        <f t="shared" ca="1" si="120"/>
        <v>2.2534996919643446</v>
      </c>
      <c r="BQ11" s="27">
        <f t="shared" ca="1" si="121"/>
        <v>19.931641324151304</v>
      </c>
      <c r="BR11" s="27">
        <f t="shared" ca="1" si="122"/>
        <v>1.6724506833284807</v>
      </c>
      <c r="BS11" s="27">
        <f t="shared" ca="1" si="123"/>
        <v>4.4650073634465812</v>
      </c>
      <c r="BT11" s="27">
        <f t="shared" ca="1" si="124"/>
        <v>3.8361330869048094</v>
      </c>
      <c r="BU11" s="27">
        <f t="shared" ca="1" si="125"/>
        <v>4.6621583791131203</v>
      </c>
      <c r="BV11" s="27">
        <f t="shared" ca="1" si="126"/>
        <v>13.895728604288816</v>
      </c>
      <c r="BW11" s="27">
        <f t="shared" ca="1" si="127"/>
        <v>1.833501489871223</v>
      </c>
      <c r="BX11" s="27">
        <f t="shared" ca="1" si="128"/>
        <v>2.9997405735656528</v>
      </c>
      <c r="BY11" s="27">
        <f t="shared" ca="1" si="129"/>
        <v>6.6430707852899138</v>
      </c>
      <c r="BZ11" s="27">
        <f t="shared" ca="1" si="130"/>
        <v>12.17132755131755</v>
      </c>
      <c r="CA11" s="27">
        <f t="shared" ca="1" si="131"/>
        <v>6.6430707852899138</v>
      </c>
      <c r="CB11" s="27">
        <f t="shared" ca="1" si="132"/>
        <v>7.8090501904714325</v>
      </c>
      <c r="CC11" s="27">
        <f t="shared" ca="1" si="133"/>
        <v>13.909888781308815</v>
      </c>
      <c r="CD11" s="27">
        <f t="shared" ca="1" si="134"/>
        <v>7.8090501904714325</v>
      </c>
      <c r="CE11" s="27">
        <f t="shared" ca="1" si="135"/>
        <v>1.8471308950527416</v>
      </c>
    </row>
    <row r="12" spans="1:83" x14ac:dyDescent="0.25">
      <c r="A12" s="440" t="str">
        <f>PLANTILLA!D13</f>
        <v>Enrique Cubas</v>
      </c>
      <c r="B12" s="440">
        <f>PLANTILLA!E13</f>
        <v>31</v>
      </c>
      <c r="C12" s="441">
        <f ca="1">PLANTILLA!F13</f>
        <v>103</v>
      </c>
      <c r="D12" s="442" t="str">
        <f>PLANTILLA!G13</f>
        <v>RAP</v>
      </c>
      <c r="E12" s="443">
        <f>PLANTILLA!M13</f>
        <v>43046</v>
      </c>
      <c r="F12" s="444">
        <f>PLANTILLA!Q13</f>
        <v>4</v>
      </c>
      <c r="G12" s="445">
        <f t="shared" si="68"/>
        <v>0.7559289460184544</v>
      </c>
      <c r="H12" s="445">
        <f t="shared" si="69"/>
        <v>0.84430867747355465</v>
      </c>
      <c r="I12" s="446">
        <f>PLANTILLA!N13</f>
        <v>1.5</v>
      </c>
      <c r="J12" s="29">
        <f>PLANTILLA!I13</f>
        <v>13</v>
      </c>
      <c r="K12" s="36">
        <f>PLANTILLA!X13</f>
        <v>0</v>
      </c>
      <c r="L12" s="36">
        <f>PLANTILLA!Y13</f>
        <v>12.666666666666666</v>
      </c>
      <c r="M12" s="36">
        <f>PLANTILLA!Z13</f>
        <v>7</v>
      </c>
      <c r="N12" s="36">
        <f>PLANTILLA!AA13</f>
        <v>16</v>
      </c>
      <c r="O12" s="36">
        <f>PLANTILLA!AB13</f>
        <v>10</v>
      </c>
      <c r="P12" s="36">
        <f>PLANTILLA!AC13</f>
        <v>7.8</v>
      </c>
      <c r="Q12" s="36">
        <f>PLANTILLA!AD13</f>
        <v>19</v>
      </c>
      <c r="R12" s="36">
        <f t="shared" si="70"/>
        <v>4.458333333333333</v>
      </c>
      <c r="S12" s="36">
        <f t="shared" si="71"/>
        <v>0.96</v>
      </c>
      <c r="T12" s="36">
        <f t="shared" si="72"/>
        <v>1.0766666666666667</v>
      </c>
      <c r="U12" s="36">
        <f t="shared" si="73"/>
        <v>16.619292759023075</v>
      </c>
      <c r="V12" s="36">
        <f t="shared" si="74"/>
        <v>18.562343939630061</v>
      </c>
      <c r="W12" s="27">
        <f t="shared" si="75"/>
        <v>6.1021300620851582</v>
      </c>
      <c r="X12" s="27">
        <f t="shared" si="76"/>
        <v>9.2373011571041683</v>
      </c>
      <c r="Y12" s="27">
        <f t="shared" si="77"/>
        <v>6.1021300620851582</v>
      </c>
      <c r="Z12" s="27">
        <f t="shared" si="78"/>
        <v>8.0763930263871035</v>
      </c>
      <c r="AA12" s="27">
        <f t="shared" si="79"/>
        <v>15.651924469742449</v>
      </c>
      <c r="AB12" s="27">
        <f t="shared" si="80"/>
        <v>4.0381965131935518</v>
      </c>
      <c r="AC12" s="27">
        <f t="shared" si="81"/>
        <v>2.3764913571320361</v>
      </c>
      <c r="AD12" s="27">
        <f t="shared" si="82"/>
        <v>5.9164274495626454</v>
      </c>
      <c r="AE12" s="27">
        <f t="shared" si="83"/>
        <v>11.316341391623791</v>
      </c>
      <c r="AF12" s="27">
        <f t="shared" si="84"/>
        <v>2.9582137247813227</v>
      </c>
      <c r="AG12" s="27">
        <f t="shared" si="85"/>
        <v>3.8443242541841762</v>
      </c>
      <c r="AH12" s="27">
        <f t="shared" si="86"/>
        <v>14.399770512163053</v>
      </c>
      <c r="AI12" s="27">
        <f t="shared" si="87"/>
        <v>6.4798967304733734</v>
      </c>
      <c r="AJ12" s="27">
        <f t="shared" si="88"/>
        <v>1.6675380531136559</v>
      </c>
      <c r="AK12" s="27">
        <f t="shared" si="89"/>
        <v>11.16333158820856</v>
      </c>
      <c r="AL12" s="27">
        <f t="shared" si="90"/>
        <v>11.801551050185806</v>
      </c>
      <c r="AM12" s="27">
        <f t="shared" si="91"/>
        <v>11.081562524577652</v>
      </c>
      <c r="AN12" s="27">
        <f t="shared" si="92"/>
        <v>3.6715380531136561</v>
      </c>
      <c r="AO12" s="27">
        <f t="shared" si="93"/>
        <v>2.1437542472858251</v>
      </c>
      <c r="AP12" s="27">
        <f t="shared" si="94"/>
        <v>4.2260196068304614</v>
      </c>
      <c r="AQ12" s="27">
        <f t="shared" si="95"/>
        <v>9.2972431350270135</v>
      </c>
      <c r="AR12" s="27">
        <f t="shared" si="96"/>
        <v>2.1130098034152307</v>
      </c>
      <c r="AS12" s="27">
        <f t="shared" si="97"/>
        <v>9.4260833661035388</v>
      </c>
      <c r="AT12" s="27">
        <f t="shared" si="98"/>
        <v>1.6880835143998518</v>
      </c>
      <c r="AU12" s="27">
        <f t="shared" si="99"/>
        <v>3.4240805363012043</v>
      </c>
      <c r="AV12" s="27">
        <f t="shared" si="100"/>
        <v>0.84404175719992591</v>
      </c>
      <c r="AW12" s="27">
        <f t="shared" si="101"/>
        <v>2.9582137247813227</v>
      </c>
      <c r="AX12" s="27">
        <f t="shared" si="102"/>
        <v>6.2607697878969795</v>
      </c>
      <c r="AY12" s="27">
        <f t="shared" si="103"/>
        <v>1.4791068623906614</v>
      </c>
      <c r="AZ12" s="27">
        <f t="shared" si="104"/>
        <v>9.9852578030757826</v>
      </c>
      <c r="BA12" s="27">
        <f t="shared" si="105"/>
        <v>3.285270224178173</v>
      </c>
      <c r="BB12" s="27">
        <f t="shared" si="106"/>
        <v>6.692877049494756</v>
      </c>
      <c r="BC12" s="27">
        <f t="shared" si="107"/>
        <v>1.6426351120890865</v>
      </c>
      <c r="BD12" s="27">
        <f t="shared" si="108"/>
        <v>4.5547100206950519</v>
      </c>
      <c r="BE12" s="27">
        <f t="shared" si="109"/>
        <v>5.4468697154703714</v>
      </c>
      <c r="BF12" s="27">
        <f t="shared" si="110"/>
        <v>8.7970121245097648</v>
      </c>
      <c r="BG12" s="27">
        <f t="shared" si="111"/>
        <v>14.987894186934369</v>
      </c>
      <c r="BH12" s="27">
        <f t="shared" si="112"/>
        <v>3.1294471305412634</v>
      </c>
      <c r="BI12" s="27">
        <f t="shared" si="113"/>
        <v>7.5911833678250877</v>
      </c>
      <c r="BJ12" s="27">
        <f t="shared" si="114"/>
        <v>4.1321080600120066</v>
      </c>
      <c r="BK12" s="27">
        <f t="shared" si="115"/>
        <v>3.804383222971873</v>
      </c>
      <c r="BL12" s="27">
        <f t="shared" si="116"/>
        <v>15.387115319888235</v>
      </c>
      <c r="BM12" s="27">
        <f t="shared" si="117"/>
        <v>0.67523340575994062</v>
      </c>
      <c r="BN12" s="27">
        <f t="shared" si="118"/>
        <v>2.8173464045536405</v>
      </c>
      <c r="BO12" s="27">
        <f t="shared" si="119"/>
        <v>1.0643308639424867</v>
      </c>
      <c r="BP12" s="27">
        <f t="shared" si="120"/>
        <v>3.0455036299381137</v>
      </c>
      <c r="BQ12" s="27">
        <f t="shared" si="121"/>
        <v>22.699041534755455</v>
      </c>
      <c r="BR12" s="27">
        <f t="shared" si="122"/>
        <v>1.7530098034152308</v>
      </c>
      <c r="BS12" s="27">
        <f t="shared" si="123"/>
        <v>4.4451465494068554</v>
      </c>
      <c r="BT12" s="27">
        <f t="shared" si="124"/>
        <v>3.8190695706171573</v>
      </c>
      <c r="BU12" s="27">
        <f t="shared" si="125"/>
        <v>6.3006976737408191</v>
      </c>
      <c r="BV12" s="27">
        <f t="shared" si="126"/>
        <v>15.833805733752824</v>
      </c>
      <c r="BW12" s="27">
        <f t="shared" si="127"/>
        <v>1.9218181548552158</v>
      </c>
      <c r="BX12" s="27">
        <f t="shared" si="128"/>
        <v>4.0540146680487679</v>
      </c>
      <c r="BY12" s="27">
        <f t="shared" si="129"/>
        <v>7.3499193154024827</v>
      </c>
      <c r="BZ12" s="27">
        <f t="shared" si="130"/>
        <v>13.338800286263332</v>
      </c>
      <c r="CA12" s="27">
        <f t="shared" si="131"/>
        <v>7.3499193154024827</v>
      </c>
      <c r="CB12" s="27">
        <f t="shared" si="132"/>
        <v>8.843815611316213</v>
      </c>
      <c r="CC12" s="27">
        <f t="shared" si="133"/>
        <v>15.576817932410748</v>
      </c>
      <c r="CD12" s="27">
        <f t="shared" si="134"/>
        <v>8.843815611316213</v>
      </c>
      <c r="CE12" s="27">
        <f t="shared" si="135"/>
        <v>2.4963144507689456</v>
      </c>
    </row>
    <row r="13" spans="1:83" x14ac:dyDescent="0.25">
      <c r="A13" s="440" t="str">
        <f>PLANTILLA!D14</f>
        <v>J. G. Peñuela</v>
      </c>
      <c r="B13" s="440">
        <f>PLANTILLA!E14</f>
        <v>31</v>
      </c>
      <c r="C13" s="441">
        <f ca="1">PLANTILLA!F14</f>
        <v>103</v>
      </c>
      <c r="D13" s="442" t="str">
        <f>PLANTILLA!G14</f>
        <v>IMP</v>
      </c>
      <c r="E13" s="443">
        <f>PLANTILLA!M14</f>
        <v>43054</v>
      </c>
      <c r="F13" s="444">
        <f>PLANTILLA!Q14</f>
        <v>5</v>
      </c>
      <c r="G13" s="445">
        <f t="shared" si="68"/>
        <v>0.84515425472851657</v>
      </c>
      <c r="H13" s="445">
        <f t="shared" si="69"/>
        <v>0.92504826128926143</v>
      </c>
      <c r="I13" s="446">
        <f ca="1">PLANTILLA!N14</f>
        <v>1</v>
      </c>
      <c r="J13" s="29">
        <f>PLANTILLA!I14</f>
        <v>11</v>
      </c>
      <c r="K13" s="36">
        <f>PLANTILLA!X14</f>
        <v>0</v>
      </c>
      <c r="L13" s="36">
        <f>PLANTILLA!Y14</f>
        <v>13</v>
      </c>
      <c r="M13" s="36">
        <f>PLANTILLA!Z14</f>
        <v>6.4</v>
      </c>
      <c r="N13" s="36">
        <f>PLANTILLA!AA14</f>
        <v>15</v>
      </c>
      <c r="O13" s="36">
        <f>PLANTILLA!AB14</f>
        <v>9</v>
      </c>
      <c r="P13" s="36">
        <f>PLANTILLA!AC14</f>
        <v>7.95</v>
      </c>
      <c r="Q13" s="36">
        <f>PLANTILLA!AD14</f>
        <v>18</v>
      </c>
      <c r="R13" s="36">
        <f t="shared" si="70"/>
        <v>4.25</v>
      </c>
      <c r="S13" s="36">
        <f t="shared" si="71"/>
        <v>0.9375</v>
      </c>
      <c r="T13" s="36">
        <f t="shared" si="72"/>
        <v>1.06</v>
      </c>
      <c r="U13" s="36">
        <f t="shared" ca="1" si="73"/>
        <v>17.231447451447988</v>
      </c>
      <c r="V13" s="36">
        <f t="shared" ca="1" si="74"/>
        <v>18.860368288129262</v>
      </c>
      <c r="W13" s="27">
        <f t="shared" ca="1" si="75"/>
        <v>5.673181085524174</v>
      </c>
      <c r="X13" s="27">
        <f t="shared" ca="1" si="76"/>
        <v>8.6085839420523573</v>
      </c>
      <c r="Y13" s="27">
        <f t="shared" ca="1" si="77"/>
        <v>5.673181085524174</v>
      </c>
      <c r="Z13" s="27">
        <f t="shared" ca="1" si="78"/>
        <v>7.9404781673888589</v>
      </c>
      <c r="AA13" s="27">
        <f t="shared" ca="1" si="79"/>
        <v>15.388523580210967</v>
      </c>
      <c r="AB13" s="27">
        <f t="shared" ca="1" si="80"/>
        <v>3.9702390836944295</v>
      </c>
      <c r="AC13" s="27">
        <f t="shared" ca="1" si="81"/>
        <v>2.0916686120902099</v>
      </c>
      <c r="AD13" s="27">
        <f t="shared" ca="1" si="82"/>
        <v>5.8168619133197454</v>
      </c>
      <c r="AE13" s="27">
        <f t="shared" ca="1" si="83"/>
        <v>11.125902548492528</v>
      </c>
      <c r="AF13" s="27">
        <f t="shared" ca="1" si="84"/>
        <v>2.9084309566598727</v>
      </c>
      <c r="AG13" s="27">
        <f t="shared" ca="1" si="85"/>
        <v>3.3835815783812224</v>
      </c>
      <c r="AH13" s="27">
        <f t="shared" ca="1" si="86"/>
        <v>14.157441693794089</v>
      </c>
      <c r="AI13" s="27">
        <f t="shared" ca="1" si="87"/>
        <v>6.3708487622073395</v>
      </c>
      <c r="AJ13" s="27">
        <f t="shared" ca="1" si="88"/>
        <v>1.4676834378952315</v>
      </c>
      <c r="AK13" s="27">
        <f t="shared" ca="1" si="89"/>
        <v>10.224451865164049</v>
      </c>
      <c r="AL13" s="27">
        <f t="shared" ca="1" si="90"/>
        <v>11.602946779479069</v>
      </c>
      <c r="AM13" s="27">
        <f t="shared" ca="1" si="91"/>
        <v>10.895074694789363</v>
      </c>
      <c r="AN13" s="27">
        <f t="shared" ca="1" si="92"/>
        <v>3.404883437895232</v>
      </c>
      <c r="AO13" s="27">
        <f t="shared" ca="1" si="93"/>
        <v>1.9118947911007582</v>
      </c>
      <c r="AP13" s="27">
        <f t="shared" ca="1" si="94"/>
        <v>4.1549013666569614</v>
      </c>
      <c r="AQ13" s="27">
        <f t="shared" ca="1" si="95"/>
        <v>9.1407830066453144</v>
      </c>
      <c r="AR13" s="27">
        <f t="shared" ca="1" si="96"/>
        <v>2.0774506833284807</v>
      </c>
      <c r="AS13" s="27">
        <f t="shared" ca="1" si="97"/>
        <v>8.2963662597191519</v>
      </c>
      <c r="AT13" s="27">
        <f t="shared" ca="1" si="98"/>
        <v>1.4805080654274256</v>
      </c>
      <c r="AU13" s="27">
        <f t="shared" ca="1" si="99"/>
        <v>3.155187409001813</v>
      </c>
      <c r="AV13" s="27">
        <f t="shared" ca="1" si="100"/>
        <v>0.74025403271371282</v>
      </c>
      <c r="AW13" s="27">
        <f t="shared" ca="1" si="101"/>
        <v>2.9084309566598727</v>
      </c>
      <c r="AX13" s="27">
        <f t="shared" ca="1" si="102"/>
        <v>6.1554094320843866</v>
      </c>
      <c r="AY13" s="27">
        <f t="shared" ca="1" si="103"/>
        <v>1.4542154783299364</v>
      </c>
      <c r="AZ13" s="27">
        <f t="shared" ca="1" si="104"/>
        <v>8.7885235802109669</v>
      </c>
      <c r="BA13" s="27">
        <f t="shared" ca="1" si="105"/>
        <v>2.8812964657933744</v>
      </c>
      <c r="BB13" s="27">
        <f t="shared" ca="1" si="106"/>
        <v>6.054576492696242</v>
      </c>
      <c r="BC13" s="27">
        <f t="shared" ca="1" si="107"/>
        <v>1.4406482328966872</v>
      </c>
      <c r="BD13" s="27">
        <f t="shared" ca="1" si="108"/>
        <v>4.4780603618413908</v>
      </c>
      <c r="BE13" s="27">
        <f t="shared" ca="1" si="109"/>
        <v>5.355206205913416</v>
      </c>
      <c r="BF13" s="27">
        <f t="shared" ca="1" si="110"/>
        <v>7.7426892741658619</v>
      </c>
      <c r="BG13" s="27">
        <f t="shared" ca="1" si="111"/>
        <v>13.56839746280755</v>
      </c>
      <c r="BH13" s="27">
        <f t="shared" ca="1" si="112"/>
        <v>2.7446341828308429</v>
      </c>
      <c r="BI13" s="27">
        <f t="shared" ca="1" si="113"/>
        <v>7.4634339364023186</v>
      </c>
      <c r="BJ13" s="27">
        <f t="shared" ca="1" si="114"/>
        <v>4.062570225175695</v>
      </c>
      <c r="BK13" s="27">
        <f t="shared" ca="1" si="115"/>
        <v>3.3484274840603785</v>
      </c>
      <c r="BL13" s="27">
        <f t="shared" ca="1" si="116"/>
        <v>13.991569609104387</v>
      </c>
      <c r="BM13" s="27">
        <f t="shared" ca="1" si="117"/>
        <v>0.59220322617097021</v>
      </c>
      <c r="BN13" s="27">
        <f t="shared" ca="1" si="118"/>
        <v>2.769934244437974</v>
      </c>
      <c r="BO13" s="27">
        <f t="shared" ca="1" si="119"/>
        <v>1.0464196034543458</v>
      </c>
      <c r="BP13" s="27">
        <f t="shared" ca="1" si="120"/>
        <v>2.6804996919643447</v>
      </c>
      <c r="BQ13" s="27">
        <f t="shared" ca="1" si="121"/>
        <v>20.645641324151306</v>
      </c>
      <c r="BR13" s="27">
        <f t="shared" ca="1" si="122"/>
        <v>1.5374506833284807</v>
      </c>
      <c r="BS13" s="27">
        <f t="shared" ca="1" si="123"/>
        <v>4.3703406967799143</v>
      </c>
      <c r="BT13" s="27">
        <f t="shared" ca="1" si="124"/>
        <v>3.7547997535714757</v>
      </c>
      <c r="BU13" s="27">
        <f t="shared" ca="1" si="125"/>
        <v>5.5455583791131202</v>
      </c>
      <c r="BV13" s="27">
        <f t="shared" ca="1" si="126"/>
        <v>14.404728604288817</v>
      </c>
      <c r="BW13" s="27">
        <f t="shared" ca="1" si="127"/>
        <v>1.6855014898712231</v>
      </c>
      <c r="BX13" s="27">
        <f t="shared" ca="1" si="128"/>
        <v>3.5681405735656528</v>
      </c>
      <c r="BY13" s="27">
        <f t="shared" ca="1" si="129"/>
        <v>6.6640707852899137</v>
      </c>
      <c r="BZ13" s="27">
        <f t="shared" ca="1" si="130"/>
        <v>12.211327551317549</v>
      </c>
      <c r="CA13" s="27">
        <f t="shared" ca="1" si="131"/>
        <v>6.6640707852899137</v>
      </c>
      <c r="CB13" s="27">
        <f t="shared" ca="1" si="132"/>
        <v>8.148050190471432</v>
      </c>
      <c r="CC13" s="27">
        <f t="shared" ca="1" si="133"/>
        <v>14.540888781308812</v>
      </c>
      <c r="CD13" s="27">
        <f t="shared" ca="1" si="134"/>
        <v>8.148050190471432</v>
      </c>
      <c r="CE13" s="27">
        <f t="shared" ca="1" si="135"/>
        <v>2.1971308950527417</v>
      </c>
    </row>
    <row r="14" spans="1:83" x14ac:dyDescent="0.25">
      <c r="A14" s="440" t="e">
        <f>PLANTILLA!#REF!</f>
        <v>#REF!</v>
      </c>
      <c r="B14" s="440" t="e">
        <f>PLANTILLA!#REF!</f>
        <v>#REF!</v>
      </c>
      <c r="C14" s="441" t="e">
        <f>PLANTILLA!#REF!</f>
        <v>#REF!</v>
      </c>
      <c r="D14" s="442" t="e">
        <f>PLANTILLA!#REF!</f>
        <v>#REF!</v>
      </c>
      <c r="E14" s="443" t="e">
        <f>PLANTILLA!#REF!</f>
        <v>#REF!</v>
      </c>
      <c r="F14" s="444" t="e">
        <f>PLANTILLA!#REF!</f>
        <v>#REF!</v>
      </c>
      <c r="G14" s="445" t="e">
        <f t="shared" si="68"/>
        <v>#REF!</v>
      </c>
      <c r="H14" s="445" t="e">
        <f t="shared" si="69"/>
        <v>#REF!</v>
      </c>
      <c r="I14" s="446" t="e">
        <f>PLANTILLA!#REF!</f>
        <v>#REF!</v>
      </c>
      <c r="J14" s="29" t="e">
        <f>PLANTILLA!#REF!</f>
        <v>#REF!</v>
      </c>
      <c r="K14" s="36" t="e">
        <f>PLANTILLA!#REF!</f>
        <v>#REF!</v>
      </c>
      <c r="L14" s="36" t="e">
        <f>PLANTILLA!#REF!</f>
        <v>#REF!</v>
      </c>
      <c r="M14" s="36" t="e">
        <f>PLANTILLA!#REF!</f>
        <v>#REF!</v>
      </c>
      <c r="N14" s="36" t="e">
        <f>PLANTILLA!#REF!</f>
        <v>#REF!</v>
      </c>
      <c r="O14" s="36" t="e">
        <f>PLANTILLA!#REF!</f>
        <v>#REF!</v>
      </c>
      <c r="P14" s="36" t="e">
        <f>PLANTILLA!#REF!</f>
        <v>#REF!</v>
      </c>
      <c r="Q14" s="36" t="e">
        <f>PLANTILLA!#REF!</f>
        <v>#REF!</v>
      </c>
      <c r="R14" s="36" t="e">
        <f t="shared" si="70"/>
        <v>#REF!</v>
      </c>
      <c r="S14" s="36" t="e">
        <f t="shared" si="71"/>
        <v>#REF!</v>
      </c>
      <c r="T14" s="36" t="e">
        <f t="shared" si="72"/>
        <v>#REF!</v>
      </c>
      <c r="U14" s="36" t="e">
        <f t="shared" si="73"/>
        <v>#REF!</v>
      </c>
      <c r="V14" s="36" t="e">
        <f t="shared" si="74"/>
        <v>#REF!</v>
      </c>
      <c r="W14" s="27" t="e">
        <f t="shared" si="75"/>
        <v>#REF!</v>
      </c>
      <c r="X14" s="27" t="e">
        <f t="shared" si="76"/>
        <v>#REF!</v>
      </c>
      <c r="Y14" s="27" t="e">
        <f t="shared" si="77"/>
        <v>#REF!</v>
      </c>
      <c r="Z14" s="27" t="e">
        <f t="shared" si="78"/>
        <v>#REF!</v>
      </c>
      <c r="AA14" s="27" t="e">
        <f t="shared" si="79"/>
        <v>#REF!</v>
      </c>
      <c r="AB14" s="27" t="e">
        <f t="shared" si="80"/>
        <v>#REF!</v>
      </c>
      <c r="AC14" s="27" t="e">
        <f t="shared" si="81"/>
        <v>#REF!</v>
      </c>
      <c r="AD14" s="27" t="e">
        <f t="shared" si="82"/>
        <v>#REF!</v>
      </c>
      <c r="AE14" s="27" t="e">
        <f t="shared" si="83"/>
        <v>#REF!</v>
      </c>
      <c r="AF14" s="27" t="e">
        <f t="shared" si="84"/>
        <v>#REF!</v>
      </c>
      <c r="AG14" s="27" t="e">
        <f t="shared" si="85"/>
        <v>#REF!</v>
      </c>
      <c r="AH14" s="27" t="e">
        <f t="shared" si="86"/>
        <v>#REF!</v>
      </c>
      <c r="AI14" s="27" t="e">
        <f t="shared" si="87"/>
        <v>#REF!</v>
      </c>
      <c r="AJ14" s="27" t="e">
        <f t="shared" si="88"/>
        <v>#REF!</v>
      </c>
      <c r="AK14" s="27" t="e">
        <f t="shared" si="89"/>
        <v>#REF!</v>
      </c>
      <c r="AL14" s="27" t="e">
        <f t="shared" si="90"/>
        <v>#REF!</v>
      </c>
      <c r="AM14" s="27" t="e">
        <f t="shared" si="91"/>
        <v>#REF!</v>
      </c>
      <c r="AN14" s="27" t="e">
        <f t="shared" si="92"/>
        <v>#REF!</v>
      </c>
      <c r="AO14" s="27" t="e">
        <f t="shared" si="93"/>
        <v>#REF!</v>
      </c>
      <c r="AP14" s="27" t="e">
        <f t="shared" si="94"/>
        <v>#REF!</v>
      </c>
      <c r="AQ14" s="27" t="e">
        <f t="shared" si="95"/>
        <v>#REF!</v>
      </c>
      <c r="AR14" s="27" t="e">
        <f t="shared" si="96"/>
        <v>#REF!</v>
      </c>
      <c r="AS14" s="27" t="e">
        <f t="shared" si="97"/>
        <v>#REF!</v>
      </c>
      <c r="AT14" s="27" t="e">
        <f t="shared" si="98"/>
        <v>#REF!</v>
      </c>
      <c r="AU14" s="27" t="e">
        <f t="shared" si="99"/>
        <v>#REF!</v>
      </c>
      <c r="AV14" s="27" t="e">
        <f t="shared" si="100"/>
        <v>#REF!</v>
      </c>
      <c r="AW14" s="27" t="e">
        <f t="shared" si="101"/>
        <v>#REF!</v>
      </c>
      <c r="AX14" s="27" t="e">
        <f t="shared" si="102"/>
        <v>#REF!</v>
      </c>
      <c r="AY14" s="27" t="e">
        <f t="shared" si="103"/>
        <v>#REF!</v>
      </c>
      <c r="AZ14" s="27" t="e">
        <f t="shared" si="104"/>
        <v>#REF!</v>
      </c>
      <c r="BA14" s="27" t="e">
        <f t="shared" si="105"/>
        <v>#REF!</v>
      </c>
      <c r="BB14" s="27" t="e">
        <f t="shared" si="106"/>
        <v>#REF!</v>
      </c>
      <c r="BC14" s="27" t="e">
        <f t="shared" si="107"/>
        <v>#REF!</v>
      </c>
      <c r="BD14" s="27" t="e">
        <f t="shared" si="108"/>
        <v>#REF!</v>
      </c>
      <c r="BE14" s="27" t="e">
        <f t="shared" si="109"/>
        <v>#REF!</v>
      </c>
      <c r="BF14" s="27" t="e">
        <f t="shared" si="110"/>
        <v>#REF!</v>
      </c>
      <c r="BG14" s="27" t="e">
        <f t="shared" si="111"/>
        <v>#REF!</v>
      </c>
      <c r="BH14" s="27" t="e">
        <f t="shared" si="112"/>
        <v>#REF!</v>
      </c>
      <c r="BI14" s="27" t="e">
        <f t="shared" si="113"/>
        <v>#REF!</v>
      </c>
      <c r="BJ14" s="27" t="e">
        <f t="shared" si="114"/>
        <v>#REF!</v>
      </c>
      <c r="BK14" s="27" t="e">
        <f t="shared" si="115"/>
        <v>#REF!</v>
      </c>
      <c r="BL14" s="27" t="e">
        <f t="shared" si="116"/>
        <v>#REF!</v>
      </c>
      <c r="BM14" s="27" t="e">
        <f t="shared" si="117"/>
        <v>#REF!</v>
      </c>
      <c r="BN14" s="27" t="e">
        <f t="shared" si="118"/>
        <v>#REF!</v>
      </c>
      <c r="BO14" s="27" t="e">
        <f t="shared" si="119"/>
        <v>#REF!</v>
      </c>
      <c r="BP14" s="27" t="e">
        <f t="shared" si="120"/>
        <v>#REF!</v>
      </c>
      <c r="BQ14" s="27" t="e">
        <f t="shared" si="121"/>
        <v>#REF!</v>
      </c>
      <c r="BR14" s="27" t="e">
        <f t="shared" si="122"/>
        <v>#REF!</v>
      </c>
      <c r="BS14" s="27" t="e">
        <f t="shared" si="123"/>
        <v>#REF!</v>
      </c>
      <c r="BT14" s="27" t="e">
        <f t="shared" si="124"/>
        <v>#REF!</v>
      </c>
      <c r="BU14" s="27" t="e">
        <f t="shared" si="125"/>
        <v>#REF!</v>
      </c>
      <c r="BV14" s="27" t="e">
        <f t="shared" si="126"/>
        <v>#REF!</v>
      </c>
      <c r="BW14" s="27" t="e">
        <f t="shared" si="127"/>
        <v>#REF!</v>
      </c>
      <c r="BX14" s="27" t="e">
        <f t="shared" si="128"/>
        <v>#REF!</v>
      </c>
      <c r="BY14" s="27" t="e">
        <f t="shared" si="129"/>
        <v>#REF!</v>
      </c>
      <c r="BZ14" s="27" t="e">
        <f t="shared" si="130"/>
        <v>#REF!</v>
      </c>
      <c r="CA14" s="27" t="e">
        <f t="shared" si="131"/>
        <v>#REF!</v>
      </c>
      <c r="CB14" s="27" t="e">
        <f t="shared" si="132"/>
        <v>#REF!</v>
      </c>
      <c r="CC14" s="27" t="e">
        <f t="shared" si="133"/>
        <v>#REF!</v>
      </c>
      <c r="CD14" s="27" t="e">
        <f t="shared" si="134"/>
        <v>#REF!</v>
      </c>
      <c r="CE14" s="27" t="e">
        <f t="shared" si="135"/>
        <v>#REF!</v>
      </c>
    </row>
    <row r="15" spans="1:83" x14ac:dyDescent="0.25">
      <c r="A15" s="440" t="str">
        <f>PLANTILLA!D15</f>
        <v>Fulvio Kämmeter</v>
      </c>
      <c r="B15" s="440">
        <f>PLANTILLA!E15</f>
        <v>32</v>
      </c>
      <c r="C15" s="441">
        <f ca="1">PLANTILLA!F15</f>
        <v>1</v>
      </c>
      <c r="D15" s="442" t="str">
        <f>PLANTILLA!G15</f>
        <v>RAP</v>
      </c>
      <c r="E15" s="443">
        <f>PLANTILLA!M15</f>
        <v>44613</v>
      </c>
      <c r="F15" s="444">
        <f>PLANTILLA!Q15</f>
        <v>6</v>
      </c>
      <c r="G15" s="445">
        <f t="shared" si="68"/>
        <v>0.92582009977255142</v>
      </c>
      <c r="H15" s="445">
        <f t="shared" si="69"/>
        <v>0.99928545900129484</v>
      </c>
      <c r="I15" s="446">
        <f ca="1">PLANTILLA!N15</f>
        <v>0.45449336859218992</v>
      </c>
      <c r="J15" s="29">
        <f>PLANTILLA!I15</f>
        <v>8</v>
      </c>
      <c r="K15" s="36">
        <f>PLANTILLA!X15</f>
        <v>0</v>
      </c>
      <c r="L15" s="36">
        <f>PLANTILLA!Y15</f>
        <v>11</v>
      </c>
      <c r="M15" s="36">
        <f>PLANTILLA!Z15</f>
        <v>14</v>
      </c>
      <c r="N15" s="36">
        <f>PLANTILLA!AA15</f>
        <v>1</v>
      </c>
      <c r="O15" s="36">
        <f>PLANTILLA!AB15</f>
        <v>11</v>
      </c>
      <c r="P15" s="36">
        <f>PLANTILLA!AC15</f>
        <v>5</v>
      </c>
      <c r="Q15" s="36">
        <f>PLANTILLA!AD15</f>
        <v>4</v>
      </c>
      <c r="R15" s="36">
        <f t="shared" si="70"/>
        <v>4.5</v>
      </c>
      <c r="S15" s="36">
        <f t="shared" si="71"/>
        <v>0.37</v>
      </c>
      <c r="T15" s="36">
        <f t="shared" si="72"/>
        <v>0.56000000000000005</v>
      </c>
      <c r="U15" s="36">
        <f t="shared" ca="1" si="73"/>
        <v>5.2388579774268216</v>
      </c>
      <c r="V15" s="36">
        <f t="shared" ca="1" si="74"/>
        <v>5.6545700400128274</v>
      </c>
      <c r="W15" s="27">
        <f t="shared" ca="1" si="75"/>
        <v>4.4839694556396044</v>
      </c>
      <c r="X15" s="27">
        <f t="shared" ca="1" si="76"/>
        <v>6.8162698364613155</v>
      </c>
      <c r="Y15" s="27">
        <f t="shared" ca="1" si="77"/>
        <v>4.4839694556396044</v>
      </c>
      <c r="Z15" s="27">
        <f t="shared" ca="1" si="78"/>
        <v>6.5318444892440271</v>
      </c>
      <c r="AA15" s="27">
        <f t="shared" ca="1" si="79"/>
        <v>12.658613351248114</v>
      </c>
      <c r="AB15" s="27">
        <f t="shared" ca="1" si="80"/>
        <v>3.2659222446220135</v>
      </c>
      <c r="AC15" s="27">
        <f t="shared" ca="1" si="81"/>
        <v>3.7267499775970512</v>
      </c>
      <c r="AD15" s="27">
        <f t="shared" ca="1" si="82"/>
        <v>4.784955846771787</v>
      </c>
      <c r="AE15" s="27">
        <f t="shared" ca="1" si="83"/>
        <v>9.1521774529523867</v>
      </c>
      <c r="AF15" s="27">
        <f t="shared" ca="1" si="84"/>
        <v>2.3924779233858935</v>
      </c>
      <c r="AG15" s="27">
        <f t="shared" ca="1" si="85"/>
        <v>6.0285661402305237</v>
      </c>
      <c r="AH15" s="27">
        <f t="shared" ca="1" si="86"/>
        <v>11.645924283148265</v>
      </c>
      <c r="AI15" s="27">
        <f t="shared" ca="1" si="87"/>
        <v>5.2406659274167193</v>
      </c>
      <c r="AJ15" s="27">
        <f t="shared" ca="1" si="88"/>
        <v>2.6149884296584354</v>
      </c>
      <c r="AK15" s="27">
        <f t="shared" ca="1" si="89"/>
        <v>1.5632646505338914</v>
      </c>
      <c r="AL15" s="27">
        <f t="shared" ca="1" si="90"/>
        <v>9.5445944668410778</v>
      </c>
      <c r="AM15" s="27">
        <f t="shared" ca="1" si="91"/>
        <v>8.9622982526836648</v>
      </c>
      <c r="AN15" s="27">
        <f t="shared" ca="1" si="92"/>
        <v>0.94498842965843521</v>
      </c>
      <c r="AO15" s="27">
        <f t="shared" ca="1" si="93"/>
        <v>1.7736806451594569</v>
      </c>
      <c r="AP15" s="27">
        <f t="shared" ca="1" si="94"/>
        <v>3.4178256048369908</v>
      </c>
      <c r="AQ15" s="27">
        <f t="shared" ca="1" si="95"/>
        <v>7.5192163306413793</v>
      </c>
      <c r="AR15" s="27">
        <f t="shared" ca="1" si="96"/>
        <v>1.7089128024184954</v>
      </c>
      <c r="AS15" s="27">
        <f t="shared" ca="1" si="97"/>
        <v>14.781731003578219</v>
      </c>
      <c r="AT15" s="27">
        <f t="shared" ca="1" si="98"/>
        <v>1.6456197356622548</v>
      </c>
      <c r="AU15" s="27">
        <f t="shared" ca="1" si="99"/>
        <v>2.6709737119156975</v>
      </c>
      <c r="AV15" s="27">
        <f t="shared" ca="1" si="100"/>
        <v>0.82280986783112742</v>
      </c>
      <c r="AW15" s="27">
        <f t="shared" ca="1" si="101"/>
        <v>2.3924779233858935</v>
      </c>
      <c r="AX15" s="27">
        <f t="shared" ca="1" si="102"/>
        <v>5.0634453404992463</v>
      </c>
      <c r="AY15" s="27">
        <f t="shared" ca="1" si="103"/>
        <v>1.1962389616929467</v>
      </c>
      <c r="AZ15" s="27">
        <f t="shared" ca="1" si="104"/>
        <v>15.658613351248114</v>
      </c>
      <c r="BA15" s="27">
        <f t="shared" ca="1" si="105"/>
        <v>3.2026291778657727</v>
      </c>
      <c r="BB15" s="27">
        <f t="shared" ca="1" si="106"/>
        <v>5.7148959565377115</v>
      </c>
      <c r="BC15" s="27">
        <f t="shared" ca="1" si="107"/>
        <v>1.6013145889328864</v>
      </c>
      <c r="BD15" s="27">
        <f t="shared" ca="1" si="108"/>
        <v>3.6836564852132008</v>
      </c>
      <c r="BE15" s="27">
        <f t="shared" ca="1" si="109"/>
        <v>4.4051974462343431</v>
      </c>
      <c r="BF15" s="27">
        <f t="shared" ca="1" si="110"/>
        <v>13.795238362449588</v>
      </c>
      <c r="BG15" s="27">
        <f t="shared" ca="1" si="111"/>
        <v>5.5135072692595735</v>
      </c>
      <c r="BH15" s="27">
        <f t="shared" ca="1" si="112"/>
        <v>3.0507258176507954</v>
      </c>
      <c r="BI15" s="27">
        <f t="shared" ca="1" si="113"/>
        <v>6.1394274753553351</v>
      </c>
      <c r="BJ15" s="27">
        <f t="shared" ca="1" si="114"/>
        <v>3.3418739247295024</v>
      </c>
      <c r="BK15" s="27">
        <f t="shared" ca="1" si="115"/>
        <v>5.9659316868255319</v>
      </c>
      <c r="BL15" s="27">
        <f t="shared" ca="1" si="116"/>
        <v>4.3336280689908531</v>
      </c>
      <c r="BM15" s="27">
        <f t="shared" ca="1" si="117"/>
        <v>0.65824789426490193</v>
      </c>
      <c r="BN15" s="27">
        <f t="shared" ca="1" si="118"/>
        <v>2.2785504032246604</v>
      </c>
      <c r="BO15" s="27">
        <f t="shared" ca="1" si="119"/>
        <v>0.86078570788487185</v>
      </c>
      <c r="BP15" s="27">
        <f t="shared" ca="1" si="120"/>
        <v>4.7758770721306743</v>
      </c>
      <c r="BQ15" s="27">
        <f t="shared" ca="1" si="121"/>
        <v>6.2789767697050749</v>
      </c>
      <c r="BR15" s="27">
        <f t="shared" ca="1" si="122"/>
        <v>1.7089128024184954</v>
      </c>
      <c r="BS15" s="27">
        <f t="shared" ca="1" si="123"/>
        <v>3.5950461917544643</v>
      </c>
      <c r="BT15" s="27">
        <f t="shared" ca="1" si="124"/>
        <v>3.0887016577045396</v>
      </c>
      <c r="BU15" s="27">
        <f t="shared" ca="1" si="125"/>
        <v>9.8805850246375595</v>
      </c>
      <c r="BV15" s="27">
        <f t="shared" ca="1" si="126"/>
        <v>4.3094589493670625</v>
      </c>
      <c r="BW15" s="27">
        <f t="shared" ca="1" si="127"/>
        <v>1.8734747759847208</v>
      </c>
      <c r="BX15" s="27">
        <f t="shared" ca="1" si="128"/>
        <v>6.3573970206067347</v>
      </c>
      <c r="BY15" s="27">
        <f t="shared" ca="1" si="129"/>
        <v>4.3931375560002675</v>
      </c>
      <c r="BZ15" s="27">
        <f t="shared" ca="1" si="130"/>
        <v>10.755598633505377</v>
      </c>
      <c r="CA15" s="27">
        <f t="shared" ca="1" si="131"/>
        <v>4.3931375560002675</v>
      </c>
      <c r="CB15" s="27">
        <f t="shared" ca="1" si="132"/>
        <v>4.1163161178275756</v>
      </c>
      <c r="CC15" s="27">
        <f t="shared" ca="1" si="133"/>
        <v>11.329641677858669</v>
      </c>
      <c r="CD15" s="27">
        <f t="shared" ca="1" si="134"/>
        <v>4.1163161178275756</v>
      </c>
      <c r="CE15" s="27">
        <f t="shared" ca="1" si="135"/>
        <v>3.9146533378120285</v>
      </c>
    </row>
    <row r="16" spans="1:83" x14ac:dyDescent="0.25">
      <c r="A16" s="440" t="str">
        <f>PLANTILLA!D19</f>
        <v>Nicolás Galaz</v>
      </c>
      <c r="B16" s="440">
        <f>PLANTILLA!E19</f>
        <v>32</v>
      </c>
      <c r="C16" s="441">
        <f ca="1">PLANTILLA!F19</f>
        <v>23</v>
      </c>
      <c r="D16" s="442">
        <f>PLANTILLA!G19</f>
        <v>0</v>
      </c>
      <c r="E16" s="443">
        <f>PLANTILLA!M19</f>
        <v>44262</v>
      </c>
      <c r="F16" s="444">
        <f>PLANTILLA!Q19</f>
        <v>7</v>
      </c>
      <c r="G16" s="445">
        <f t="shared" si="68"/>
        <v>1</v>
      </c>
      <c r="H16" s="445">
        <f t="shared" si="69"/>
        <v>1</v>
      </c>
      <c r="I16" s="446">
        <f ca="1">PLANTILLA!N19</f>
        <v>1</v>
      </c>
      <c r="J16" s="29">
        <f>PLANTILLA!I19</f>
        <v>9</v>
      </c>
      <c r="K16" s="36">
        <f>PLANTILLA!X19</f>
        <v>0</v>
      </c>
      <c r="L16" s="36">
        <f>PLANTILLA!Y19</f>
        <v>4</v>
      </c>
      <c r="M16" s="36">
        <f>PLANTILLA!Z19</f>
        <v>3</v>
      </c>
      <c r="N16" s="36">
        <f>PLANTILLA!AA19</f>
        <v>9.125</v>
      </c>
      <c r="O16" s="36">
        <f>PLANTILLA!AB19</f>
        <v>14</v>
      </c>
      <c r="P16" s="36">
        <f>PLANTILLA!AC19</f>
        <v>13.95</v>
      </c>
      <c r="Q16" s="36">
        <f>PLANTILLA!AD19</f>
        <v>11</v>
      </c>
      <c r="R16" s="36">
        <f t="shared" si="70"/>
        <v>4.375</v>
      </c>
      <c r="S16" s="36">
        <f t="shared" si="71"/>
        <v>1.0274999999999999</v>
      </c>
      <c r="T16" s="36">
        <f t="shared" si="72"/>
        <v>0.49000000000000005</v>
      </c>
      <c r="U16" s="36">
        <f t="shared" ca="1" si="73"/>
        <v>13.2723233459191</v>
      </c>
      <c r="V16" s="36">
        <f t="shared" ca="1" si="74"/>
        <v>13.2723233459191</v>
      </c>
      <c r="W16" s="27">
        <f t="shared" ca="1" si="75"/>
        <v>3.0877382809873741</v>
      </c>
      <c r="X16" s="27">
        <f t="shared" ca="1" si="76"/>
        <v>4.6335694395815574</v>
      </c>
      <c r="Y16" s="27">
        <f t="shared" ca="1" si="77"/>
        <v>3.0877382809873741</v>
      </c>
      <c r="Z16" s="27">
        <f t="shared" ca="1" si="78"/>
        <v>3.2365188464942554</v>
      </c>
      <c r="AA16" s="27">
        <f t="shared" ca="1" si="79"/>
        <v>6.2723233459190997</v>
      </c>
      <c r="AB16" s="27">
        <f t="shared" ca="1" si="80"/>
        <v>1.6182594232471277</v>
      </c>
      <c r="AC16" s="27">
        <f t="shared" ca="1" si="81"/>
        <v>1.2548129563287456</v>
      </c>
      <c r="AD16" s="27">
        <f t="shared" ca="1" si="82"/>
        <v>2.3709382247574196</v>
      </c>
      <c r="AE16" s="27">
        <f t="shared" ca="1" si="83"/>
        <v>4.5348897790995091</v>
      </c>
      <c r="AF16" s="27">
        <f t="shared" ca="1" si="84"/>
        <v>1.1854691123787098</v>
      </c>
      <c r="AG16" s="27">
        <f t="shared" ca="1" si="85"/>
        <v>2.0298444881788535</v>
      </c>
      <c r="AH16" s="27">
        <f t="shared" ca="1" si="86"/>
        <v>5.7705374782455721</v>
      </c>
      <c r="AI16" s="27">
        <f t="shared" ca="1" si="87"/>
        <v>2.596741865210507</v>
      </c>
      <c r="AJ16" s="27">
        <f t="shared" ca="1" si="88"/>
        <v>0.88047799876848964</v>
      </c>
      <c r="AK16" s="27">
        <f t="shared" ca="1" si="89"/>
        <v>6.7016261274004298</v>
      </c>
      <c r="AL16" s="27">
        <f t="shared" ca="1" si="90"/>
        <v>4.7293318028230011</v>
      </c>
      <c r="AM16" s="27">
        <f t="shared" ca="1" si="91"/>
        <v>4.4408049289107225</v>
      </c>
      <c r="AN16" s="27">
        <f t="shared" ca="1" si="92"/>
        <v>2.2164779987684899</v>
      </c>
      <c r="AO16" s="27">
        <f t="shared" ca="1" si="93"/>
        <v>1.9144291236247006</v>
      </c>
      <c r="AP16" s="27">
        <f t="shared" ca="1" si="94"/>
        <v>1.693527303398157</v>
      </c>
      <c r="AQ16" s="27">
        <f t="shared" ca="1" si="95"/>
        <v>3.725760067475945</v>
      </c>
      <c r="AR16" s="27">
        <f t="shared" ca="1" si="96"/>
        <v>0.84676365169907852</v>
      </c>
      <c r="AS16" s="27">
        <f t="shared" ca="1" si="97"/>
        <v>4.9770732385476295</v>
      </c>
      <c r="AT16" s="27">
        <f t="shared" ca="1" si="98"/>
        <v>2.1154020349694833</v>
      </c>
      <c r="AU16" s="27">
        <f t="shared" ca="1" si="99"/>
        <v>4.7591407403542965</v>
      </c>
      <c r="AV16" s="27">
        <f t="shared" ca="1" si="100"/>
        <v>1.0577010174847417</v>
      </c>
      <c r="AW16" s="27">
        <f t="shared" ca="1" si="101"/>
        <v>1.1854691123787098</v>
      </c>
      <c r="AX16" s="27">
        <f t="shared" ca="1" si="102"/>
        <v>2.5089293383676399</v>
      </c>
      <c r="AY16" s="27">
        <f t="shared" ca="1" si="103"/>
        <v>0.59273455618935489</v>
      </c>
      <c r="AZ16" s="27">
        <f t="shared" ca="1" si="104"/>
        <v>5.2723233459190997</v>
      </c>
      <c r="BA16" s="27">
        <f t="shared" ca="1" si="105"/>
        <v>4.1168978065175326</v>
      </c>
      <c r="BB16" s="27">
        <f t="shared" ca="1" si="106"/>
        <v>8.9555501636014245</v>
      </c>
      <c r="BC16" s="27">
        <f t="shared" ca="1" si="107"/>
        <v>2.0584489032587663</v>
      </c>
      <c r="BD16" s="27">
        <f t="shared" ca="1" si="108"/>
        <v>1.8252460936624579</v>
      </c>
      <c r="BE16" s="27">
        <f t="shared" ca="1" si="109"/>
        <v>2.1827685243798465</v>
      </c>
      <c r="BF16" s="27">
        <f t="shared" ca="1" si="110"/>
        <v>4.644916867754727</v>
      </c>
      <c r="BG16" s="27">
        <f t="shared" ca="1" si="111"/>
        <v>11.66784545452208</v>
      </c>
      <c r="BH16" s="27">
        <f t="shared" ca="1" si="112"/>
        <v>3.9216299263665033</v>
      </c>
      <c r="BI16" s="27">
        <f t="shared" ca="1" si="113"/>
        <v>3.0420768227707633</v>
      </c>
      <c r="BJ16" s="27">
        <f t="shared" ca="1" si="114"/>
        <v>1.6558933633226425</v>
      </c>
      <c r="BK16" s="27">
        <f t="shared" ca="1" si="115"/>
        <v>2.0087551947951772</v>
      </c>
      <c r="BL16" s="27">
        <f t="shared" ca="1" si="116"/>
        <v>10.941135604333294</v>
      </c>
      <c r="BM16" s="27">
        <f t="shared" ca="1" si="117"/>
        <v>0.84616081398779319</v>
      </c>
      <c r="BN16" s="27">
        <f t="shared" ca="1" si="118"/>
        <v>1.1290182022654378</v>
      </c>
      <c r="BO16" s="27">
        <f t="shared" ca="1" si="119"/>
        <v>0.42651798752249881</v>
      </c>
      <c r="BP16" s="27">
        <f t="shared" ca="1" si="120"/>
        <v>1.6080586205053253</v>
      </c>
      <c r="BQ16" s="27">
        <f t="shared" ca="1" si="121"/>
        <v>16.051207822851964</v>
      </c>
      <c r="BR16" s="27">
        <f t="shared" ca="1" si="122"/>
        <v>2.1967636516990789</v>
      </c>
      <c r="BS16" s="27">
        <f t="shared" ca="1" si="123"/>
        <v>1.7813398302410242</v>
      </c>
      <c r="BT16" s="27">
        <f t="shared" ca="1" si="124"/>
        <v>1.5304468964042603</v>
      </c>
      <c r="BU16" s="27">
        <f t="shared" ca="1" si="125"/>
        <v>3.3268360312749521</v>
      </c>
      <c r="BV16" s="27">
        <f t="shared" ca="1" si="126"/>
        <v>11.141479394597596</v>
      </c>
      <c r="BW16" s="27">
        <f t="shared" ca="1" si="127"/>
        <v>2.408303855196027</v>
      </c>
      <c r="BX16" s="27">
        <f t="shared" ca="1" si="128"/>
        <v>2.1405632784431545</v>
      </c>
      <c r="BY16" s="27">
        <f t="shared" ca="1" si="129"/>
        <v>7.7695304632238518</v>
      </c>
      <c r="BZ16" s="27">
        <f t="shared" ca="1" si="130"/>
        <v>18.29348608750491</v>
      </c>
      <c r="CA16" s="27">
        <f t="shared" ca="1" si="131"/>
        <v>7.7695304632238518</v>
      </c>
      <c r="CB16" s="27">
        <f t="shared" ca="1" si="132"/>
        <v>9.0472824445075997</v>
      </c>
      <c r="CC16" s="27">
        <f t="shared" ca="1" si="133"/>
        <v>22.226810660563249</v>
      </c>
      <c r="CD16" s="27">
        <f t="shared" ca="1" si="134"/>
        <v>9.0472824445075997</v>
      </c>
      <c r="CE16" s="27">
        <f t="shared" ca="1" si="135"/>
        <v>1.3180808364797749</v>
      </c>
    </row>
    <row r="17" spans="1:83" x14ac:dyDescent="0.25">
      <c r="A17" s="440" t="str">
        <f>PLANTILLA!D17</f>
        <v>Bogdan Pivovarov</v>
      </c>
      <c r="B17" s="440">
        <f>PLANTILLA!E17</f>
        <v>32</v>
      </c>
      <c r="C17" s="441">
        <f ca="1">PLANTILLA!F17</f>
        <v>103</v>
      </c>
      <c r="D17" s="442" t="str">
        <f>PLANTILLA!G17</f>
        <v>IMP</v>
      </c>
      <c r="E17" s="443">
        <f>PLANTILLA!M17</f>
        <v>44069</v>
      </c>
      <c r="F17" s="444">
        <f>PLANTILLA!Q17</f>
        <v>5</v>
      </c>
      <c r="G17" s="445">
        <f t="shared" si="68"/>
        <v>0.84515425472851657</v>
      </c>
      <c r="H17" s="445">
        <f t="shared" si="69"/>
        <v>0.92504826128926143</v>
      </c>
      <c r="I17" s="446">
        <f ca="1">PLANTILLA!N17</f>
        <v>1</v>
      </c>
      <c r="J17" s="29">
        <f>PLANTILLA!I17</f>
        <v>11</v>
      </c>
      <c r="K17" s="36">
        <f>PLANTILLA!X17</f>
        <v>0</v>
      </c>
      <c r="L17" s="36">
        <f>PLANTILLA!Y17</f>
        <v>10.95</v>
      </c>
      <c r="M17" s="36">
        <f>PLANTILLA!Z17</f>
        <v>14</v>
      </c>
      <c r="N17" s="36">
        <f>PLANTILLA!AA17</f>
        <v>3</v>
      </c>
      <c r="O17" s="36">
        <f>PLANTILLA!AB17</f>
        <v>11</v>
      </c>
      <c r="P17" s="36">
        <f>PLANTILLA!AC17</f>
        <v>8</v>
      </c>
      <c r="Q17" s="36">
        <f>PLANTILLA!AD17</f>
        <v>8</v>
      </c>
      <c r="R17" s="36">
        <f t="shared" si="70"/>
        <v>4.4937500000000004</v>
      </c>
      <c r="S17" s="36">
        <f t="shared" si="71"/>
        <v>0.64</v>
      </c>
      <c r="T17" s="36">
        <f t="shared" si="72"/>
        <v>0.67799999999999994</v>
      </c>
      <c r="U17" s="36">
        <f t="shared" ca="1" si="73"/>
        <v>8.7799049041628194</v>
      </c>
      <c r="V17" s="36">
        <f t="shared" ca="1" si="74"/>
        <v>9.6098856752366473</v>
      </c>
      <c r="W17" s="27">
        <f t="shared" ca="1" si="75"/>
        <v>5.1073810855241746</v>
      </c>
      <c r="X17" s="27">
        <f t="shared" ca="1" si="76"/>
        <v>7.7373339420523575</v>
      </c>
      <c r="Y17" s="27">
        <f t="shared" ca="1" si="77"/>
        <v>5.1073810855241746</v>
      </c>
      <c r="Z17" s="27">
        <f t="shared" ca="1" si="78"/>
        <v>6.8826781673888586</v>
      </c>
      <c r="AA17" s="27">
        <f t="shared" ca="1" si="79"/>
        <v>13.338523580210966</v>
      </c>
      <c r="AB17" s="27">
        <f t="shared" ca="1" si="80"/>
        <v>3.4413390836944293</v>
      </c>
      <c r="AC17" s="27">
        <f t="shared" ca="1" si="81"/>
        <v>3.9004686120902101</v>
      </c>
      <c r="AD17" s="27">
        <f t="shared" ca="1" si="82"/>
        <v>5.0419619133197449</v>
      </c>
      <c r="AE17" s="27">
        <f t="shared" ca="1" si="83"/>
        <v>9.6437525484925288</v>
      </c>
      <c r="AF17" s="27">
        <f t="shared" ca="1" si="84"/>
        <v>2.5209809566598724</v>
      </c>
      <c r="AG17" s="27">
        <f t="shared" ca="1" si="85"/>
        <v>6.3095815783812226</v>
      </c>
      <c r="AH17" s="27">
        <f t="shared" ca="1" si="86"/>
        <v>12.271441693794088</v>
      </c>
      <c r="AI17" s="27">
        <f t="shared" ca="1" si="87"/>
        <v>5.5221487622073395</v>
      </c>
      <c r="AJ17" s="27">
        <f t="shared" ca="1" si="88"/>
        <v>2.7368834378952318</v>
      </c>
      <c r="AK17" s="27">
        <f t="shared" ca="1" si="89"/>
        <v>3.1684518651640481</v>
      </c>
      <c r="AL17" s="27">
        <f t="shared" ca="1" si="90"/>
        <v>10.057246779479069</v>
      </c>
      <c r="AM17" s="27">
        <f t="shared" ca="1" si="91"/>
        <v>9.4436746947893635</v>
      </c>
      <c r="AN17" s="27">
        <f t="shared" ca="1" si="92"/>
        <v>1.7348834378952316</v>
      </c>
      <c r="AO17" s="27">
        <f t="shared" ca="1" si="93"/>
        <v>1.9820947911007583</v>
      </c>
      <c r="AP17" s="27">
        <f t="shared" ca="1" si="94"/>
        <v>3.6014013666569609</v>
      </c>
      <c r="AQ17" s="27">
        <f t="shared" ca="1" si="95"/>
        <v>7.9230830066453137</v>
      </c>
      <c r="AR17" s="27">
        <f t="shared" ca="1" si="96"/>
        <v>1.8007006833284804</v>
      </c>
      <c r="AS17" s="27">
        <f t="shared" ca="1" si="97"/>
        <v>15.470766259719154</v>
      </c>
      <c r="AT17" s="27">
        <f t="shared" ca="1" si="98"/>
        <v>1.7405080654274256</v>
      </c>
      <c r="AU17" s="27">
        <f t="shared" ca="1" si="99"/>
        <v>3.4038374090018131</v>
      </c>
      <c r="AV17" s="27">
        <f t="shared" ca="1" si="100"/>
        <v>0.87025403271371282</v>
      </c>
      <c r="AW17" s="27">
        <f t="shared" ca="1" si="101"/>
        <v>2.5209809566598724</v>
      </c>
      <c r="AX17" s="27">
        <f t="shared" ca="1" si="102"/>
        <v>5.3354094320843863</v>
      </c>
      <c r="AY17" s="27">
        <f t="shared" ca="1" si="103"/>
        <v>1.2604904783299362</v>
      </c>
      <c r="AZ17" s="27">
        <f t="shared" ca="1" si="104"/>
        <v>16.388523580210968</v>
      </c>
      <c r="BA17" s="27">
        <f t="shared" ca="1" si="105"/>
        <v>3.3872964657933746</v>
      </c>
      <c r="BB17" s="27">
        <f t="shared" ca="1" si="106"/>
        <v>6.7470764926962428</v>
      </c>
      <c r="BC17" s="27">
        <f t="shared" ca="1" si="107"/>
        <v>1.6936482328966873</v>
      </c>
      <c r="BD17" s="27">
        <f t="shared" ca="1" si="108"/>
        <v>3.8815103618413906</v>
      </c>
      <c r="BE17" s="27">
        <f t="shared" ca="1" si="109"/>
        <v>4.641806205913416</v>
      </c>
      <c r="BF17" s="27">
        <f t="shared" ca="1" si="110"/>
        <v>14.438289274165863</v>
      </c>
      <c r="BG17" s="27">
        <f t="shared" ca="1" si="111"/>
        <v>7.3103974628075488</v>
      </c>
      <c r="BH17" s="27">
        <f t="shared" ca="1" si="112"/>
        <v>3.2266341828308427</v>
      </c>
      <c r="BI17" s="27">
        <f t="shared" ca="1" si="113"/>
        <v>6.4691839364023185</v>
      </c>
      <c r="BJ17" s="27">
        <f t="shared" ca="1" si="114"/>
        <v>3.5213702251756951</v>
      </c>
      <c r="BK17" s="27">
        <f t="shared" ca="1" si="115"/>
        <v>6.2440274840603793</v>
      </c>
      <c r="BL17" s="27">
        <f t="shared" ca="1" si="116"/>
        <v>6.3175696091043854</v>
      </c>
      <c r="BM17" s="27">
        <f t="shared" ca="1" si="117"/>
        <v>0.69620322617097019</v>
      </c>
      <c r="BN17" s="27">
        <f t="shared" ca="1" si="118"/>
        <v>2.4009342444379738</v>
      </c>
      <c r="BO17" s="27">
        <f t="shared" ca="1" si="119"/>
        <v>0.90701960345434574</v>
      </c>
      <c r="BP17" s="27">
        <f t="shared" ca="1" si="120"/>
        <v>4.9984996919643452</v>
      </c>
      <c r="BQ17" s="27">
        <f t="shared" ca="1" si="121"/>
        <v>9.2176413241513018</v>
      </c>
      <c r="BR17" s="27">
        <f t="shared" ca="1" si="122"/>
        <v>1.8074506833284807</v>
      </c>
      <c r="BS17" s="27">
        <f t="shared" ca="1" si="123"/>
        <v>3.7881406967799141</v>
      </c>
      <c r="BT17" s="27">
        <f t="shared" ca="1" si="124"/>
        <v>3.2545997535714757</v>
      </c>
      <c r="BU17" s="27">
        <f t="shared" ca="1" si="125"/>
        <v>10.341158379113121</v>
      </c>
      <c r="BV17" s="27">
        <f t="shared" ca="1" si="126"/>
        <v>6.3667286042888147</v>
      </c>
      <c r="BW17" s="27">
        <f t="shared" ca="1" si="127"/>
        <v>1.9815014898712229</v>
      </c>
      <c r="BX17" s="27">
        <f t="shared" ca="1" si="128"/>
        <v>6.6537405735656536</v>
      </c>
      <c r="BY17" s="27">
        <f t="shared" ca="1" si="129"/>
        <v>5.4424207852899134</v>
      </c>
      <c r="BZ17" s="27">
        <f t="shared" ca="1" si="130"/>
        <v>13.326477551317549</v>
      </c>
      <c r="CA17" s="27">
        <f t="shared" ca="1" si="131"/>
        <v>5.4424207852899134</v>
      </c>
      <c r="CB17" s="27">
        <f t="shared" ca="1" si="132"/>
        <v>5.7930501904714324</v>
      </c>
      <c r="CC17" s="27">
        <f t="shared" ca="1" si="133"/>
        <v>15.328888781308812</v>
      </c>
      <c r="CD17" s="27">
        <f t="shared" ca="1" si="134"/>
        <v>5.7930501904714324</v>
      </c>
      <c r="CE17" s="27">
        <f t="shared" ca="1" si="135"/>
        <v>4.0971308950527421</v>
      </c>
    </row>
    <row r="18" spans="1:83" x14ac:dyDescent="0.25">
      <c r="A18" s="440" t="str">
        <f>PLANTILLA!D20</f>
        <v>Rodolfo Rinaldo Paso</v>
      </c>
      <c r="B18" s="440">
        <f>PLANTILLA!E20</f>
        <v>32</v>
      </c>
      <c r="C18" s="441">
        <f ca="1">PLANTILLA!F20</f>
        <v>14</v>
      </c>
      <c r="D18" s="442" t="str">
        <f>PLANTILLA!G20</f>
        <v>RAP</v>
      </c>
      <c r="E18" s="443">
        <f>PLANTILLA!M20</f>
        <v>43590</v>
      </c>
      <c r="F18" s="444">
        <f>PLANTILLA!Q20</f>
        <v>6</v>
      </c>
      <c r="G18" s="445">
        <f t="shared" si="68"/>
        <v>0.92582009977255142</v>
      </c>
      <c r="H18" s="445">
        <f t="shared" si="69"/>
        <v>0.99928545900129484</v>
      </c>
      <c r="I18" s="446">
        <f ca="1">PLANTILLA!N20</f>
        <v>1</v>
      </c>
      <c r="J18" s="29">
        <f>PLANTILLA!I20</f>
        <v>10</v>
      </c>
      <c r="K18" s="36">
        <f>PLANTILLA!X20</f>
        <v>0</v>
      </c>
      <c r="L18" s="36">
        <f>PLANTILLA!Y20</f>
        <v>4</v>
      </c>
      <c r="M18" s="36">
        <f>PLANTILLA!Z20</f>
        <v>8.2768518518518519</v>
      </c>
      <c r="N18" s="36">
        <f>PLANTILLA!AA20</f>
        <v>12</v>
      </c>
      <c r="O18" s="36">
        <f>PLANTILLA!AB20</f>
        <v>13</v>
      </c>
      <c r="P18" s="36">
        <f>PLANTILLA!AC20</f>
        <v>13.95</v>
      </c>
      <c r="Q18" s="36">
        <f>PLANTILLA!AD20</f>
        <v>16</v>
      </c>
      <c r="R18" s="36">
        <f t="shared" si="70"/>
        <v>4.125</v>
      </c>
      <c r="S18" s="36">
        <f t="shared" si="71"/>
        <v>1.1774999999999998</v>
      </c>
      <c r="T18" s="36">
        <f t="shared" si="72"/>
        <v>0.64</v>
      </c>
      <c r="U18" s="36">
        <f t="shared" ca="1" si="73"/>
        <v>16.973368495830108</v>
      </c>
      <c r="V18" s="36">
        <f t="shared" ca="1" si="74"/>
        <v>18.320233415023736</v>
      </c>
      <c r="W18" s="27">
        <f t="shared" ca="1" si="75"/>
        <v>3.141</v>
      </c>
      <c r="X18" s="27">
        <f t="shared" ca="1" si="76"/>
        <v>4.7123333333333335</v>
      </c>
      <c r="Y18" s="27">
        <f t="shared" ca="1" si="77"/>
        <v>3.141</v>
      </c>
      <c r="Z18" s="27">
        <f t="shared" ca="1" si="78"/>
        <v>3.2679999999999998</v>
      </c>
      <c r="AA18" s="27">
        <f t="shared" ca="1" si="79"/>
        <v>6.333333333333333</v>
      </c>
      <c r="AB18" s="27">
        <f t="shared" ca="1" si="80"/>
        <v>1.6339999999999999</v>
      </c>
      <c r="AC18" s="27">
        <f t="shared" ca="1" si="81"/>
        <v>2.5252240740740741</v>
      </c>
      <c r="AD18" s="27">
        <f t="shared" ca="1" si="82"/>
        <v>2.3939999999999997</v>
      </c>
      <c r="AE18" s="27">
        <f t="shared" ca="1" si="83"/>
        <v>4.5789999999999997</v>
      </c>
      <c r="AF18" s="27">
        <f t="shared" ca="1" si="84"/>
        <v>1.1969999999999998</v>
      </c>
      <c r="AG18" s="27">
        <f t="shared" ca="1" si="85"/>
        <v>4.0849212962962964</v>
      </c>
      <c r="AH18" s="27">
        <f t="shared" ca="1" si="86"/>
        <v>5.8266666666666662</v>
      </c>
      <c r="AI18" s="27">
        <f t="shared" ca="1" si="87"/>
        <v>2.6219999999999999</v>
      </c>
      <c r="AJ18" s="27">
        <f t="shared" ca="1" si="88"/>
        <v>1.7719009259259262</v>
      </c>
      <c r="AK18" s="27">
        <f t="shared" ca="1" si="89"/>
        <v>8.427999999999999</v>
      </c>
      <c r="AL18" s="27">
        <f t="shared" ca="1" si="90"/>
        <v>4.7753333333333332</v>
      </c>
      <c r="AM18" s="27">
        <f t="shared" ca="1" si="91"/>
        <v>4.484</v>
      </c>
      <c r="AN18" s="27">
        <f t="shared" ca="1" si="92"/>
        <v>3.0616666666666665</v>
      </c>
      <c r="AO18" s="27">
        <f t="shared" ca="1" si="93"/>
        <v>1.8599999999999999</v>
      </c>
      <c r="AP18" s="27">
        <f t="shared" ca="1" si="94"/>
        <v>1.71</v>
      </c>
      <c r="AQ18" s="27">
        <f t="shared" ca="1" si="95"/>
        <v>3.7619999999999996</v>
      </c>
      <c r="AR18" s="27">
        <f t="shared" ca="1" si="96"/>
        <v>0.85499999999999998</v>
      </c>
      <c r="AS18" s="27">
        <f t="shared" ca="1" si="97"/>
        <v>10.016014814814815</v>
      </c>
      <c r="AT18" s="27">
        <f t="shared" ca="1" si="98"/>
        <v>1.9933333333333334</v>
      </c>
      <c r="AU18" s="27">
        <f t="shared" ca="1" si="99"/>
        <v>4.6570166666666664</v>
      </c>
      <c r="AV18" s="27">
        <f t="shared" ca="1" si="100"/>
        <v>0.9966666666666667</v>
      </c>
      <c r="AW18" s="27">
        <f t="shared" ca="1" si="101"/>
        <v>1.1969999999999998</v>
      </c>
      <c r="AX18" s="27">
        <f t="shared" ca="1" si="102"/>
        <v>2.5333333333333332</v>
      </c>
      <c r="AY18" s="27">
        <f t="shared" ca="1" si="103"/>
        <v>0.59849999999999992</v>
      </c>
      <c r="AZ18" s="27">
        <f t="shared" ca="1" si="104"/>
        <v>10.610185185185186</v>
      </c>
      <c r="BA18" s="27">
        <f t="shared" ca="1" si="105"/>
        <v>3.8793333333333337</v>
      </c>
      <c r="BB18" s="27">
        <f t="shared" ca="1" si="106"/>
        <v>8.6481666666666666</v>
      </c>
      <c r="BC18" s="27">
        <f t="shared" ca="1" si="107"/>
        <v>1.9396666666666669</v>
      </c>
      <c r="BD18" s="27">
        <f t="shared" ca="1" si="108"/>
        <v>1.8429999999999997</v>
      </c>
      <c r="BE18" s="27">
        <f t="shared" ca="1" si="109"/>
        <v>2.2039999999999997</v>
      </c>
      <c r="BF18" s="27">
        <f t="shared" ca="1" si="110"/>
        <v>9.3475731481481485</v>
      </c>
      <c r="BG18" s="27">
        <f t="shared" ca="1" si="111"/>
        <v>13.057333333333332</v>
      </c>
      <c r="BH18" s="27">
        <f t="shared" ca="1" si="112"/>
        <v>3.6953333333333331</v>
      </c>
      <c r="BI18" s="27">
        <f t="shared" ca="1" si="113"/>
        <v>3.0716666666666663</v>
      </c>
      <c r="BJ18" s="27">
        <f t="shared" ca="1" si="114"/>
        <v>1.6719999999999999</v>
      </c>
      <c r="BK18" s="27">
        <f t="shared" ca="1" si="115"/>
        <v>4.0424805555555556</v>
      </c>
      <c r="BL18" s="27">
        <f t="shared" ca="1" si="116"/>
        <v>12.728333333333335</v>
      </c>
      <c r="BM18" s="27">
        <f t="shared" ca="1" si="117"/>
        <v>0.79733333333333334</v>
      </c>
      <c r="BN18" s="27">
        <f t="shared" ca="1" si="118"/>
        <v>1.1399999999999999</v>
      </c>
      <c r="BO18" s="27">
        <f t="shared" ca="1" si="119"/>
        <v>0.4306666666666667</v>
      </c>
      <c r="BP18" s="27">
        <f t="shared" ca="1" si="120"/>
        <v>3.2361064814814817</v>
      </c>
      <c r="BQ18" s="27">
        <f t="shared" ca="1" si="121"/>
        <v>18.718666666666667</v>
      </c>
      <c r="BR18" s="27">
        <f t="shared" ca="1" si="122"/>
        <v>2.0700000000000003</v>
      </c>
      <c r="BS18" s="27">
        <f t="shared" ca="1" si="123"/>
        <v>1.7986666666666664</v>
      </c>
      <c r="BT18" s="27">
        <f t="shared" ca="1" si="124"/>
        <v>1.5453333333333332</v>
      </c>
      <c r="BU18" s="27">
        <f t="shared" ca="1" si="125"/>
        <v>6.6950268518518525</v>
      </c>
      <c r="BV18" s="27">
        <f t="shared" ca="1" si="126"/>
        <v>13.021333333333333</v>
      </c>
      <c r="BW18" s="27">
        <f t="shared" ca="1" si="127"/>
        <v>2.2693333333333334</v>
      </c>
      <c r="BX18" s="27">
        <f t="shared" ca="1" si="128"/>
        <v>4.3077351851851855</v>
      </c>
      <c r="BY18" s="27">
        <f t="shared" ca="1" si="129"/>
        <v>7.9653166666666673</v>
      </c>
      <c r="BZ18" s="27">
        <f t="shared" ca="1" si="130"/>
        <v>17.819183333333331</v>
      </c>
      <c r="CA18" s="27">
        <f t="shared" ca="1" si="131"/>
        <v>7.9653166666666673</v>
      </c>
      <c r="CB18" s="27">
        <f t="shared" ca="1" si="132"/>
        <v>9.5786666666666669</v>
      </c>
      <c r="CC18" s="27">
        <f t="shared" ca="1" si="133"/>
        <v>21.941333333333333</v>
      </c>
      <c r="CD18" s="27">
        <f t="shared" ca="1" si="134"/>
        <v>9.5786666666666669</v>
      </c>
      <c r="CE18" s="27">
        <f t="shared" ca="1" si="135"/>
        <v>2.6525462962962965</v>
      </c>
    </row>
    <row r="19" spans="1:83" x14ac:dyDescent="0.25">
      <c r="A19" s="435" t="str">
        <f>Delantero!A6</f>
        <v>Sergio Manuel Real</v>
      </c>
      <c r="B19" s="435">
        <f>Delantero!B6</f>
        <v>30</v>
      </c>
      <c r="C19" s="435">
        <f>Delantero!C6</f>
        <v>102</v>
      </c>
      <c r="D19" s="435" t="str">
        <f>Delantero!D6</f>
        <v>RAP</v>
      </c>
      <c r="E19" s="436">
        <v>44452</v>
      </c>
      <c r="F19" s="437">
        <v>6</v>
      </c>
      <c r="G19" s="438">
        <f t="shared" ref="G19" si="136">(F19/7)^0.5</f>
        <v>0.92582009977255142</v>
      </c>
      <c r="H19" s="438">
        <f t="shared" ref="H19" si="137">IF(F19=7,1,((F19+0.99)/7)^0.5)</f>
        <v>0.99928545900129484</v>
      </c>
      <c r="I19" s="439">
        <v>0</v>
      </c>
      <c r="J19" s="29">
        <f>Delantero!G6</f>
        <v>7</v>
      </c>
      <c r="K19" s="36">
        <f>Delantero!H6</f>
        <v>0</v>
      </c>
      <c r="L19" s="36">
        <f>Delantero!I6</f>
        <v>5</v>
      </c>
      <c r="M19" s="36">
        <f>Delantero!J6</f>
        <v>8</v>
      </c>
      <c r="N19" s="36">
        <f>Delantero!K6</f>
        <v>10</v>
      </c>
      <c r="O19" s="36">
        <f>Delantero!L6</f>
        <v>11</v>
      </c>
      <c r="P19" s="36">
        <f>Delantero!M6</f>
        <v>13</v>
      </c>
      <c r="Q19" s="36">
        <f>Delantero!N6</f>
        <v>8</v>
      </c>
      <c r="R19" s="36">
        <f t="shared" ref="R19" si="138">((2*(O19+1))+(L19+1))/8</f>
        <v>3.75</v>
      </c>
      <c r="S19" s="36">
        <f t="shared" ref="S19" si="139">(0.5*P19+0.3*Q19)/10</f>
        <v>0.89</v>
      </c>
      <c r="T19" s="36">
        <f t="shared" ref="T19" si="140">(0.4*L19+0.3*Q19)/10</f>
        <v>0.44000000000000006</v>
      </c>
      <c r="U19" s="36">
        <f t="shared" ref="U19" si="141">(Q19+I19+(LOG(J19)*4/3))*(F19/7)^0.5</f>
        <v>8.449772467145193</v>
      </c>
      <c r="V19" s="36">
        <f t="shared" ref="V19" si="142">IF(F19=7,U19,(Q19+I19+(LOG(J19)*4/3))*((F19+0.99)/7)^0.5)</f>
        <v>9.1202759157660136</v>
      </c>
      <c r="W19" s="27">
        <f t="shared" ref="W19" si="143">((K19+I19+(LOG(J19)*4/3))*0.597)+((L19+I19+(LOG(J19)*4/3))*0.276)</f>
        <v>2.3636941185765949</v>
      </c>
      <c r="X19" s="27">
        <f t="shared" ref="X19" si="144">((K19+I19+(LOG(J19)*4/3))*0.866)+((L19+I19+(LOG(J19)*4/3))*0.425)</f>
        <v>3.5796954262112073</v>
      </c>
      <c r="Y19" s="27">
        <f t="shared" ref="Y19" si="145">W19</f>
        <v>2.3636941185765949</v>
      </c>
      <c r="Z19" s="27">
        <f t="shared" ref="Z19" si="146">((L19+I19+(LOG(J19)*4/3))*0.516)</f>
        <v>3.1614274515298084</v>
      </c>
      <c r="AA19" s="27">
        <f t="shared" ref="AA19" si="147">((L19+I19+(LOG(J19)*4/3))*1)</f>
        <v>6.1267973866856753</v>
      </c>
      <c r="AB19" s="27">
        <f t="shared" ref="AB19" si="148">Z19/2</f>
        <v>1.5807137257649042</v>
      </c>
      <c r="AC19" s="27">
        <f t="shared" ref="AC19" si="149">((M19+I19+(LOG(J19)*4/3))*0.238)</f>
        <v>2.1721777780311906</v>
      </c>
      <c r="AD19" s="27">
        <f t="shared" ref="AD19" si="150">((L19+I19+(LOG(J19)*4/3))*0.378)</f>
        <v>2.3159294121671854</v>
      </c>
      <c r="AE19" s="27">
        <f t="shared" ref="AE19" si="151">((L19+I19+(LOG(J19)*4/3))*0.723)</f>
        <v>4.4296745105737427</v>
      </c>
      <c r="AF19" s="27">
        <f t="shared" ref="AF19" si="152">AD19/2</f>
        <v>1.1579647060835927</v>
      </c>
      <c r="AG19" s="27">
        <f t="shared" ref="AG19" si="153">((M19+I19+(LOG(J19)*4/3))*0.385)</f>
        <v>3.5138169938739852</v>
      </c>
      <c r="AH19" s="27">
        <f t="shared" ref="AH19" si="154">((L19+I19+(LOG(J19)*4/3))*0.92)</f>
        <v>5.6366535957508219</v>
      </c>
      <c r="AI19" s="27">
        <f t="shared" ref="AI19" si="155">((L19+I19+(LOG(J19)*4/3))*0.414)</f>
        <v>2.5364941180878695</v>
      </c>
      <c r="AJ19" s="27">
        <f t="shared" ref="AJ19" si="156">((M19+I19+(LOG(J19)*4/3))*0.167)</f>
        <v>1.524175163576508</v>
      </c>
      <c r="AK19" s="27">
        <f t="shared" ref="AK19" si="157">((N19+I19+(LOG(J19)*4/3))*0.588)</f>
        <v>6.5425568633711766</v>
      </c>
      <c r="AL19" s="27">
        <f t="shared" ref="AL19" si="158">((L19+I19+(LOG(J19)*4/3))*0.754)</f>
        <v>4.6196052295609995</v>
      </c>
      <c r="AM19" s="27">
        <f t="shared" ref="AM19" si="159">((L19+I19+(LOG(J19)*4/3))*0.708)</f>
        <v>4.3377725497734581</v>
      </c>
      <c r="AN19" s="27">
        <f t="shared" ref="AN19" si="160">((Q19+I19+(LOG(J19)*4/3))*0.167)</f>
        <v>1.524175163576508</v>
      </c>
      <c r="AO19" s="27">
        <f t="shared" ref="AO19" si="161">((R19+I19+(LOG(J19)*4/3))*0.288)</f>
        <v>1.4045176473654744</v>
      </c>
      <c r="AP19" s="27">
        <f t="shared" ref="AP19" si="162">((L19+I19+(LOG(J19)*4/3))*0.27)</f>
        <v>1.6542352944051324</v>
      </c>
      <c r="AQ19" s="27">
        <f t="shared" ref="AQ19" si="163">((L19+I19+(LOG(J19)*4/3))*0.594)</f>
        <v>3.639317647691291</v>
      </c>
      <c r="AR19" s="27">
        <f t="shared" ref="AR19" si="164">AP19/2</f>
        <v>0.8271176472025662</v>
      </c>
      <c r="AS19" s="27">
        <f t="shared" ref="AS19" si="165">((M19+I19+(LOG(J19)*4/3))*0.944)</f>
        <v>8.6156967330312764</v>
      </c>
      <c r="AT19" s="27">
        <f t="shared" ref="AT19" si="166">((O19+I19+(LOG(J19)*4/3))*0.13)</f>
        <v>1.5764836602691379</v>
      </c>
      <c r="AU19" s="27">
        <f t="shared" ref="AU19" si="167">((P19+I19+(LOG(J19)*4/3))*0.173)+((O19+I19+(LOG(J19)*4/3))*0.12)</f>
        <v>3.899151634298903</v>
      </c>
      <c r="AV19" s="27">
        <f t="shared" ref="AV19" si="168">AT19/2</f>
        <v>0.78824183013456894</v>
      </c>
      <c r="AW19" s="27">
        <f t="shared" ref="AW19" si="169">((L19+I19+(LOG(J19)*4/3))*0.189)</f>
        <v>1.1579647060835927</v>
      </c>
      <c r="AX19" s="27">
        <f t="shared" ref="AX19" si="170">((L19+I19+(LOG(J19)*4/3))*0.4)</f>
        <v>2.4507189546742705</v>
      </c>
      <c r="AY19" s="27">
        <f t="shared" ref="AY19" si="171">AW19/2</f>
        <v>0.57898235304179635</v>
      </c>
      <c r="AZ19" s="27">
        <f t="shared" ref="AZ19" si="172">((M19+I19+(LOG(J19)*4/3))*1)</f>
        <v>9.1267973866856753</v>
      </c>
      <c r="BA19" s="27">
        <f t="shared" ref="BA19" si="173">((O19+I19+(LOG(J19)*4/3))*0.253)</f>
        <v>3.068079738831476</v>
      </c>
      <c r="BB19" s="27">
        <f t="shared" ref="BB19" si="174">((P19+I19+(LOG(J19)*4/3))*0.21)+((O19+I19+(LOG(J19)*4/3))*0.341)</f>
        <v>7.1018653600638082</v>
      </c>
      <c r="BC19" s="27">
        <f t="shared" ref="BC19" si="175">BA19/2</f>
        <v>1.534039869415738</v>
      </c>
      <c r="BD19" s="27">
        <f t="shared" ref="BD19" si="176">((L19+I19+(LOG(J19)*4/3))*0.291)</f>
        <v>1.7828980395255314</v>
      </c>
      <c r="BE19" s="27">
        <f t="shared" ref="BE19" si="177">((L19+I19+(LOG(J19)*4/3))*0.348)</f>
        <v>2.1321254905666147</v>
      </c>
      <c r="BF19" s="27">
        <f t="shared" ref="BF19" si="178">((M19+I19+(LOG(J19)*4/3))*0.881)</f>
        <v>8.0407084976700798</v>
      </c>
      <c r="BG19" s="27">
        <f t="shared" ref="BG19" si="179">((N19+I19+(LOG(J19)*4/3))*0.574)+((O19+I19+(LOG(J19)*4/3))*0.315)</f>
        <v>10.206722876763564</v>
      </c>
      <c r="BH19" s="27">
        <f t="shared" ref="BH19" si="180">((O19+I19+(LOG(J19)*4/3))*0.241)</f>
        <v>2.9225581701912478</v>
      </c>
      <c r="BI19" s="27">
        <f t="shared" ref="BI19" si="181">((L19+I19+(LOG(J19)*4/3))*0.485)</f>
        <v>2.9714967325425525</v>
      </c>
      <c r="BJ19" s="27">
        <f t="shared" ref="BJ19" si="182">((L19+I19+(LOG(J19)*4/3))*0.264)</f>
        <v>1.6174745100850183</v>
      </c>
      <c r="BK19" s="27">
        <f t="shared" ref="BK19" si="183">((M19+I19+(LOG(J19)*4/3))*0.381)</f>
        <v>3.4773098043272421</v>
      </c>
      <c r="BL19" s="27">
        <f t="shared" ref="BL19" si="184">((N19+I19+(LOG(J19)*4/3))*0.673)+((O19+I19+(LOG(J19)*4/3))*0.201)</f>
        <v>9.9258209159632802</v>
      </c>
      <c r="BM19" s="27">
        <f t="shared" ref="BM19" si="185">((O19+I19+(LOG(J19)*4/3))*0.052)</f>
        <v>0.63059346410765504</v>
      </c>
      <c r="BN19" s="27">
        <f t="shared" ref="BN19" si="186">((L19+I19+(LOG(J19)*4/3))*0.18)</f>
        <v>1.1028235296034214</v>
      </c>
      <c r="BO19" s="27">
        <f t="shared" ref="BO19" si="187">((L19+I19+(LOG(J19)*4/3))*0.068)</f>
        <v>0.41662222229462598</v>
      </c>
      <c r="BP19" s="27">
        <f t="shared" ref="BP19" si="188">((M19+I19+(LOG(J19)*4/3))*0.305)</f>
        <v>2.7836732029391311</v>
      </c>
      <c r="BQ19" s="27">
        <f t="shared" ref="BQ19" si="189">((N19+I19+(LOG(J19)*4/3))*1)+((O19+I19+(LOG(J19)*4/3))*0.286)</f>
        <v>14.595061439277778</v>
      </c>
      <c r="BR19" s="27">
        <f t="shared" ref="BR19" si="190">((O19+I19+(LOG(J19)*4/3))*0.135)</f>
        <v>1.6371176472025664</v>
      </c>
      <c r="BS19" s="27">
        <f t="shared" ref="BS19" si="191">((L19+I19+(LOG(J19)*4/3))*0.284)</f>
        <v>1.7400104578187316</v>
      </c>
      <c r="BT19" s="27">
        <f t="shared" ref="BT19" si="192">((L19+I19+(LOG(J19)*4/3))*0.244)</f>
        <v>1.4949385623513047</v>
      </c>
      <c r="BU19" s="27">
        <f t="shared" ref="BU19" si="193">((M19+I19+(LOG(J19)*4/3))*0.631)</f>
        <v>5.7590091509986614</v>
      </c>
      <c r="BV19" s="27">
        <f t="shared" ref="BV19" si="194">((N19+I19+(LOG(J19)*4/3))*0.702)+((O19+I19+(LOG(J19)*4/3))*0.193)</f>
        <v>10.151483661083679</v>
      </c>
      <c r="BW19" s="27">
        <f t="shared" ref="BW19" si="195">((O19+I19+(LOG(J19)*4/3))*0.148)</f>
        <v>1.7947660132294798</v>
      </c>
      <c r="BX19" s="27">
        <f t="shared" ref="BX19" si="196">((M19+I19+(LOG(J19)*4/3))*0.406)</f>
        <v>3.7054797389943843</v>
      </c>
      <c r="BY19" s="27">
        <f t="shared" ref="BY19" si="197">IF(D19="TEC",((N19+I19+(LOG(J19)*4/3))*0.15)+((O19+I19+(LOG(J19)*4/3))*0.324)+((P19+I19+(LOG(J19)*4/3))*0.127),((N19+I19+(LOG(J19)*4/3))*0.144)+((O19+I19+(LOG(J19)*4/3))*0.25)+((P19+I19+(LOG(J19)*4/3))*0.127))</f>
        <v>6.428061438463236</v>
      </c>
      <c r="BZ19" s="27">
        <f t="shared" ref="BZ19" si="198">IF(D19="TEC",((O19+I19+(LOG(J19)*4/3))*0.543)+((P19+I19+(LOG(J19)*4/3))*0.583),((O19+I19+(LOG(J19)*4/3))*0.543)+((P19+I19+(LOG(J19)*4/3))*0.583))</f>
        <v>14.820773857408071</v>
      </c>
      <c r="CA19" s="27">
        <f t="shared" ref="CA19" si="199">BY19</f>
        <v>6.428061438463236</v>
      </c>
      <c r="CB19" s="27">
        <f t="shared" ref="CB19" si="200">((P19+I19+(LOG(J19)*4/3))*0.26)+((N19+I19+(LOG(J19)*4/3))*0.221)+((O19+I19+(LOG(J19)*4/3))*0.142)</f>
        <v>7.8539947719051755</v>
      </c>
      <c r="CC19" s="27">
        <f t="shared" ref="CC19" si="201">((P19+I19+(LOG(J19)*4/3))*1)+((O19+I19+(LOG(J19)*4/3))*0.369)</f>
        <v>18.601585622372689</v>
      </c>
      <c r="CD19" s="27">
        <f t="shared" ref="CD19" si="202">CB19</f>
        <v>7.8539947719051755</v>
      </c>
      <c r="CE19" s="27">
        <f t="shared" ref="CE19" si="203">((M19+I19+(LOG(J19)*4/3))*0.25)</f>
        <v>2.2816993466714188</v>
      </c>
    </row>
    <row r="20" spans="1:83" x14ac:dyDescent="0.25">
      <c r="K20" s="36"/>
      <c r="L20" s="36"/>
      <c r="M20" s="36"/>
      <c r="N20" s="36"/>
      <c r="O20" s="36"/>
      <c r="P20" s="36"/>
      <c r="Q20" s="36"/>
      <c r="AH20" s="27"/>
      <c r="AI20" s="27"/>
    </row>
    <row r="21" spans="1:83" ht="18.75" x14ac:dyDescent="0.3">
      <c r="A21" s="47" t="s">
        <v>639</v>
      </c>
      <c r="B21" s="47" t="s">
        <v>399</v>
      </c>
      <c r="C21" s="47"/>
      <c r="D21" s="48"/>
      <c r="K21" s="36"/>
      <c r="L21" s="36"/>
      <c r="M21" s="36"/>
      <c r="N21" s="36"/>
      <c r="O21" s="36"/>
      <c r="P21" s="36"/>
      <c r="Q21" s="36"/>
      <c r="Z21" s="27"/>
      <c r="AA21" s="27"/>
      <c r="BV21" s="27"/>
      <c r="BW21" s="27"/>
    </row>
    <row r="22" spans="1:83" x14ac:dyDescent="0.25">
      <c r="A22" s="49" t="s">
        <v>640</v>
      </c>
      <c r="B22" s="50">
        <v>1</v>
      </c>
      <c r="C22" s="52">
        <v>0.624</v>
      </c>
      <c r="D22" s="53">
        <v>0.24500000000000002</v>
      </c>
      <c r="K22" s="36"/>
      <c r="L22" s="36"/>
      <c r="M22" s="36"/>
      <c r="N22" s="36"/>
      <c r="O22" s="36"/>
      <c r="P22" s="36"/>
      <c r="Q22" s="36"/>
      <c r="AH22" s="27"/>
      <c r="AI22" s="27"/>
    </row>
    <row r="23" spans="1:83" x14ac:dyDescent="0.25">
      <c r="A23" s="49" t="s">
        <v>641</v>
      </c>
      <c r="B23" s="50">
        <v>1</v>
      </c>
      <c r="C23" s="52">
        <v>1.002</v>
      </c>
      <c r="D23" s="53">
        <v>0.34000000000000008</v>
      </c>
      <c r="K23" s="36"/>
      <c r="L23" s="36"/>
      <c r="M23" s="36"/>
      <c r="N23" s="36"/>
      <c r="O23" s="36"/>
      <c r="P23" s="36"/>
      <c r="Q23" s="36"/>
      <c r="AG23" s="2"/>
      <c r="AH23" s="58"/>
    </row>
    <row r="24" spans="1:83" x14ac:dyDescent="0.25">
      <c r="A24" s="49" t="s">
        <v>642</v>
      </c>
      <c r="B24" s="50">
        <v>1</v>
      </c>
      <c r="C24" s="52">
        <v>0.46800000000000008</v>
      </c>
      <c r="D24" s="53">
        <v>0.125</v>
      </c>
      <c r="K24" s="36"/>
      <c r="L24" s="36"/>
      <c r="M24" s="36"/>
      <c r="N24" s="36"/>
      <c r="O24" s="36"/>
      <c r="P24" s="36"/>
      <c r="Q24" s="36"/>
      <c r="Z24" s="27"/>
      <c r="AA24" s="27"/>
      <c r="AH24" s="59"/>
      <c r="AI24" s="59"/>
      <c r="BV24" s="27"/>
      <c r="BW24" s="27"/>
    </row>
    <row r="25" spans="1:83" x14ac:dyDescent="0.25">
      <c r="A25" s="49" t="s">
        <v>643</v>
      </c>
      <c r="B25" s="50">
        <v>1</v>
      </c>
      <c r="C25" s="52">
        <v>0.877</v>
      </c>
      <c r="D25" s="53">
        <v>0.25</v>
      </c>
      <c r="K25" s="36"/>
      <c r="L25" s="36"/>
      <c r="M25" s="36"/>
      <c r="N25" s="36"/>
      <c r="O25" s="36"/>
      <c r="P25" s="36"/>
      <c r="Q25" s="36"/>
      <c r="W25" s="58"/>
    </row>
    <row r="26" spans="1:83" x14ac:dyDescent="0.25">
      <c r="A26" s="49" t="s">
        <v>644</v>
      </c>
      <c r="B26" s="50">
        <v>1</v>
      </c>
      <c r="C26" s="52">
        <v>0.59299999999999997</v>
      </c>
      <c r="D26" s="53">
        <v>0.19</v>
      </c>
      <c r="K26" s="36"/>
      <c r="L26" s="36"/>
      <c r="M26" s="36"/>
      <c r="N26" s="36"/>
      <c r="O26" s="36"/>
      <c r="P26" s="36"/>
      <c r="Q26" s="36"/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13" priority="2" operator="greaterThan">
      <formula>7</formula>
    </cfRule>
  </conditionalFormatting>
  <conditionalFormatting sqref="W3:AI19 AK3:AM19 AO3:BD19 BF3:CE19">
    <cfRule type="cellIs" dxfId="12" priority="3" operator="greaterThan">
      <formula>12.5</formula>
    </cfRule>
  </conditionalFormatting>
  <conditionalFormatting sqref="S3:T19">
    <cfRule type="cellIs" dxfId="11" priority="4" operator="greaterThan">
      <formula>0.6</formula>
    </cfRule>
  </conditionalFormatting>
  <conditionalFormatting sqref="R3:R19">
    <cfRule type="cellIs" dxfId="10" priority="5" operator="greaterThan">
      <formula>3.2</formula>
    </cfRule>
  </conditionalFormatting>
  <conditionalFormatting sqref="U3:V19">
    <cfRule type="cellIs" dxfId="9" priority="6" operator="greaterThan">
      <formula>15</formula>
    </cfRule>
  </conditionalFormatting>
  <conditionalFormatting sqref="K3:Q18">
    <cfRule type="colorScale" priority="458">
      <colorScale>
        <cfvo type="min"/>
        <cfvo type="max"/>
        <color rgb="FFFCFCFF"/>
        <color rgb="FFF8696B"/>
      </colorScale>
    </cfRule>
  </conditionalFormatting>
  <conditionalFormatting sqref="K19:Q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3"/>
  <sheetViews>
    <sheetView zoomScale="120"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645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104</v>
      </c>
      <c r="B3" s="13" t="s">
        <v>176</v>
      </c>
      <c r="C3" s="13" t="s">
        <v>628</v>
      </c>
      <c r="D3" s="13" t="s">
        <v>109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646</v>
      </c>
      <c r="O3" s="108" t="s">
        <v>647</v>
      </c>
      <c r="P3" s="108" t="s">
        <v>648</v>
      </c>
      <c r="Q3" s="108" t="s">
        <v>623</v>
      </c>
      <c r="R3" s="108" t="s">
        <v>649</v>
      </c>
      <c r="S3" s="107" t="s">
        <v>627</v>
      </c>
      <c r="T3" s="112" t="s">
        <v>650</v>
      </c>
      <c r="U3" s="64" t="s">
        <v>368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32</v>
      </c>
      <c r="D4" s="111">
        <f ca="1">PLANTILLA!F4</f>
        <v>2</v>
      </c>
      <c r="E4" s="36">
        <f>PLANTILLA!X4</f>
        <v>15</v>
      </c>
      <c r="F4" s="36">
        <f>PLANTILLA!Y4</f>
        <v>13.214285714285714</v>
      </c>
      <c r="G4" s="36">
        <f>PLANTILLA!Z4</f>
        <v>0</v>
      </c>
      <c r="H4" s="36">
        <f>PLANTILLA!AA4</f>
        <v>2</v>
      </c>
      <c r="I4" s="36">
        <f>PLANTILLA!AB4</f>
        <v>1</v>
      </c>
      <c r="J4" s="36">
        <f>PLANTILLA!AC4</f>
        <v>1</v>
      </c>
      <c r="K4" s="36">
        <f>PLANTILLA!AD4</f>
        <v>19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32</v>
      </c>
      <c r="D5" s="111">
        <f ca="1">PLANTILLA!F5</f>
        <v>27</v>
      </c>
      <c r="E5" s="36">
        <f>PLANTILLA!X5</f>
        <v>5.95</v>
      </c>
      <c r="F5" s="36">
        <f>PLANTILLA!Y5</f>
        <v>6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7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e">
        <f>PLANTILLA!#REF!</f>
        <v>#REF!</v>
      </c>
      <c r="B6" s="109" t="e">
        <f>PLANTILLA!#REF!</f>
        <v>#REF!</v>
      </c>
      <c r="C6" s="18" t="e">
        <f>PLANTILLA!#REF!</f>
        <v>#REF!</v>
      </c>
      <c r="D6" s="111" t="e">
        <f>PLANTILLA!#REF!</f>
        <v>#REF!</v>
      </c>
      <c r="E6" s="36" t="e">
        <f>PLANTILLA!#REF!</f>
        <v>#REF!</v>
      </c>
      <c r="F6" s="36" t="e">
        <f>PLANTILLA!#REF!</f>
        <v>#REF!</v>
      </c>
      <c r="G6" s="36" t="e">
        <f>PLANTILLA!#REF!</f>
        <v>#REF!</v>
      </c>
      <c r="H6" s="36" t="e">
        <f>PLANTILLA!#REF!</f>
        <v>#REF!</v>
      </c>
      <c r="I6" s="36" t="e">
        <f>PLANTILLA!#REF!</f>
        <v>#REF!</v>
      </c>
      <c r="J6" s="36" t="e">
        <f>PLANTILLA!#REF!</f>
        <v>#REF!</v>
      </c>
      <c r="K6" s="36" t="e">
        <f>PLANTILLA!#REF!</f>
        <v>#REF!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PLANTILLA!A6</f>
        <v>#13</v>
      </c>
      <c r="B7" s="109" t="str">
        <f>PLANTILLA!D6</f>
        <v>Iván Real Figueroa</v>
      </c>
      <c r="C7" s="18">
        <f>PLANTILLA!E6</f>
        <v>31</v>
      </c>
      <c r="D7" s="111">
        <f ca="1">PLANTILLA!F6</f>
        <v>92</v>
      </c>
      <c r="E7" s="36">
        <f>PLANTILLA!X6</f>
        <v>0</v>
      </c>
      <c r="F7" s="36">
        <f>PLANTILLA!Y6</f>
        <v>16.043478260869566</v>
      </c>
      <c r="G7" s="36">
        <f>PLANTILLA!Z6</f>
        <v>5.25</v>
      </c>
      <c r="H7" s="36">
        <f>PLANTILLA!AA6</f>
        <v>9</v>
      </c>
      <c r="I7" s="36">
        <f>PLANTILLA!AB6</f>
        <v>9</v>
      </c>
      <c r="J7" s="36">
        <f>PLANTILLA!AC6</f>
        <v>1</v>
      </c>
      <c r="K7" s="36">
        <f>PLANTILLA!AD6</f>
        <v>17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PLANTILLA!A7</f>
        <v>#4</v>
      </c>
      <c r="B8" s="109" t="str">
        <f>PLANTILLA!D7</f>
        <v>Berto Abandero</v>
      </c>
      <c r="C8" s="18">
        <f>PLANTILLA!E7</f>
        <v>32</v>
      </c>
      <c r="D8" s="111">
        <f ca="1">PLANTILLA!F7</f>
        <v>30</v>
      </c>
      <c r="E8" s="36">
        <f>PLANTILLA!X7</f>
        <v>0</v>
      </c>
      <c r="F8" s="36">
        <f>PLANTILLA!Y7</f>
        <v>15</v>
      </c>
      <c r="G8" s="36">
        <f>PLANTILLA!Z7</f>
        <v>3.4569444444444448</v>
      </c>
      <c r="H8" s="36">
        <f>PLANTILLA!AA7</f>
        <v>9.4</v>
      </c>
      <c r="I8" s="36">
        <f>PLANTILLA!AB7</f>
        <v>12</v>
      </c>
      <c r="J8" s="36">
        <f>PLANTILLA!AC7</f>
        <v>3.95</v>
      </c>
      <c r="K8" s="36">
        <f>PLANTILLA!AD7</f>
        <v>17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PLANTILLA!A8</f>
        <v>#2</v>
      </c>
      <c r="B9" s="109" t="str">
        <f>PLANTILLA!D8</f>
        <v>Guillermo Pedrajas</v>
      </c>
      <c r="C9" s="18">
        <f>PLANTILLA!E8</f>
        <v>32</v>
      </c>
      <c r="D9" s="111">
        <f ca="1">PLANTILLA!F8</f>
        <v>15</v>
      </c>
      <c r="E9" s="36">
        <f>PLANTILLA!X8</f>
        <v>0</v>
      </c>
      <c r="F9" s="36">
        <f>PLANTILLA!Y8</f>
        <v>13.1875</v>
      </c>
      <c r="G9" s="36">
        <f>PLANTILLA!Z8</f>
        <v>11.666666666666666</v>
      </c>
      <c r="H9" s="36">
        <f>PLANTILLA!AA8</f>
        <v>5.25</v>
      </c>
      <c r="I9" s="36">
        <f>PLANTILLA!AB8</f>
        <v>11.142857142857142</v>
      </c>
      <c r="J9" s="36">
        <f>PLANTILLA!AC8</f>
        <v>4</v>
      </c>
      <c r="K9" s="36">
        <f>PLANTILLA!AD8</f>
        <v>17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PLANTILLA!A9</f>
        <v>#7</v>
      </c>
      <c r="B10" s="109" t="str">
        <f>PLANTILLA!D9</f>
        <v>Venanci Oset</v>
      </c>
      <c r="C10" s="18">
        <f>PLANTILLA!E9</f>
        <v>32</v>
      </c>
      <c r="D10" s="111">
        <f ca="1">PLANTILLA!F9</f>
        <v>58</v>
      </c>
      <c r="E10" s="36">
        <f>PLANTILLA!X9</f>
        <v>0</v>
      </c>
      <c r="F10" s="36">
        <f>PLANTILLA!Y9</f>
        <v>15</v>
      </c>
      <c r="G10" s="36">
        <f>PLANTILLA!Z9</f>
        <v>6</v>
      </c>
      <c r="H10" s="36">
        <f>PLANTILLA!AA9</f>
        <v>3.3333333333333335</v>
      </c>
      <c r="I10" s="36">
        <f>PLANTILLA!AB9</f>
        <v>12.222222222222221</v>
      </c>
      <c r="J10" s="36">
        <f>PLANTILLA!AC9</f>
        <v>5.95</v>
      </c>
      <c r="K10" s="36">
        <f>PLANTILLA!AD9</f>
        <v>17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PLANTILLA!A10</f>
        <v>#9</v>
      </c>
      <c r="B11" s="109" t="str">
        <f>PLANTILLA!D10</f>
        <v>Francesc Añigas</v>
      </c>
      <c r="C11" s="18">
        <f>PLANTILLA!E10</f>
        <v>31</v>
      </c>
      <c r="D11" s="111">
        <f ca="1">PLANTILLA!F10</f>
        <v>107</v>
      </c>
      <c r="E11" s="36">
        <f>PLANTILLA!X10</f>
        <v>0</v>
      </c>
      <c r="F11" s="36">
        <f>PLANTILLA!Y10</f>
        <v>14.375</v>
      </c>
      <c r="G11" s="36">
        <f>PLANTILLA!Z10</f>
        <v>5</v>
      </c>
      <c r="H11" s="36">
        <f>PLANTILLA!AA10</f>
        <v>14</v>
      </c>
      <c r="I11" s="36">
        <f>PLANTILLA!AB10</f>
        <v>9</v>
      </c>
      <c r="J11" s="36">
        <f>PLANTILLA!AC10</f>
        <v>6.95</v>
      </c>
      <c r="K11" s="36">
        <f>PLANTILLA!AD10</f>
        <v>18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PLANTILLA!A11</f>
        <v>#3</v>
      </c>
      <c r="B12" s="109" t="str">
        <f>PLANTILLA!D11</f>
        <v>Will Duffill</v>
      </c>
      <c r="C12" s="18">
        <f>PLANTILLA!E11</f>
        <v>31</v>
      </c>
      <c r="D12" s="111">
        <f ca="1">PLANTILLA!F11</f>
        <v>68</v>
      </c>
      <c r="E12" s="36">
        <f>PLANTILLA!X11</f>
        <v>0</v>
      </c>
      <c r="F12" s="36">
        <f>PLANTILLA!Y11</f>
        <v>14</v>
      </c>
      <c r="G12" s="36">
        <f>PLANTILLA!Z11</f>
        <v>5</v>
      </c>
      <c r="H12" s="36">
        <f>PLANTILLA!AA11</f>
        <v>15.111111111111111</v>
      </c>
      <c r="I12" s="36">
        <f>PLANTILLA!AB11</f>
        <v>10</v>
      </c>
      <c r="J12" s="36">
        <f>PLANTILLA!AC11</f>
        <v>6.95</v>
      </c>
      <c r="K12" s="36">
        <f>PLANTILLA!AD11</f>
        <v>18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PLANTILLA!A12</f>
        <v>#5</v>
      </c>
      <c r="B13" s="109" t="str">
        <f>PLANTILLA!D12</f>
        <v>Valeri Gomis</v>
      </c>
      <c r="C13" s="18">
        <f>PLANTILLA!E12</f>
        <v>31</v>
      </c>
      <c r="D13" s="111">
        <f ca="1">PLANTILLA!F12</f>
        <v>107</v>
      </c>
      <c r="E13" s="36">
        <f>PLANTILLA!X12</f>
        <v>0</v>
      </c>
      <c r="F13" s="36">
        <f>PLANTILLA!Y12</f>
        <v>13.333333333333334</v>
      </c>
      <c r="G13" s="36">
        <f>PLANTILLA!Z12</f>
        <v>5</v>
      </c>
      <c r="H13" s="36">
        <f>PLANTILLA!AA12</f>
        <v>14</v>
      </c>
      <c r="I13" s="36">
        <f>PLANTILLA!AB12</f>
        <v>10</v>
      </c>
      <c r="J13" s="36">
        <f>PLANTILLA!AC12</f>
        <v>6.95</v>
      </c>
      <c r="K13" s="36">
        <f>PLANTILLA!AD12</f>
        <v>18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PLANTILLA!A13</f>
        <v>#8</v>
      </c>
      <c r="B14" s="109" t="str">
        <f>PLANTILLA!D13</f>
        <v>Enrique Cubas</v>
      </c>
      <c r="C14" s="18">
        <f>PLANTILLA!E13</f>
        <v>31</v>
      </c>
      <c r="D14" s="111">
        <f ca="1">PLANTILLA!F13</f>
        <v>103</v>
      </c>
      <c r="E14" s="36">
        <f>PLANTILLA!X13</f>
        <v>0</v>
      </c>
      <c r="F14" s="36">
        <f>PLANTILLA!Y13</f>
        <v>12.666666666666666</v>
      </c>
      <c r="G14" s="36">
        <f>PLANTILLA!Z13</f>
        <v>7</v>
      </c>
      <c r="H14" s="36">
        <f>PLANTILLA!AA13</f>
        <v>16</v>
      </c>
      <c r="I14" s="36">
        <f>PLANTILLA!AB13</f>
        <v>10</v>
      </c>
      <c r="J14" s="36">
        <f>PLANTILLA!AC13</f>
        <v>7.8</v>
      </c>
      <c r="K14" s="36">
        <f>PLANTILLA!AD13</f>
        <v>19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PLANTILLA!A14</f>
        <v>#11</v>
      </c>
      <c r="B15" s="109" t="str">
        <f>PLANTILLA!D14</f>
        <v>J. G. Peñuela</v>
      </c>
      <c r="C15" s="18">
        <f>PLANTILLA!E14</f>
        <v>31</v>
      </c>
      <c r="D15" s="111">
        <f ca="1">PLANTILLA!F14</f>
        <v>103</v>
      </c>
      <c r="E15" s="36">
        <f>PLANTILLA!X14</f>
        <v>0</v>
      </c>
      <c r="F15" s="36">
        <f>PLANTILLA!Y14</f>
        <v>13</v>
      </c>
      <c r="G15" s="36">
        <f>PLANTILLA!Z14</f>
        <v>6.4</v>
      </c>
      <c r="H15" s="36">
        <f>PLANTILLA!AA14</f>
        <v>15</v>
      </c>
      <c r="I15" s="36">
        <f>PLANTILLA!AB14</f>
        <v>9</v>
      </c>
      <c r="J15" s="36">
        <f>PLANTILLA!AC14</f>
        <v>7.95</v>
      </c>
      <c r="K15" s="36">
        <f>PLANTILLA!AD14</f>
        <v>18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str">
        <f>PLANTILLA!A15</f>
        <v>#6</v>
      </c>
      <c r="B16" s="109" t="str">
        <f>PLANTILLA!D15</f>
        <v>Fulvio Kämmeter</v>
      </c>
      <c r="C16" s="18">
        <f>PLANTILLA!E15</f>
        <v>32</v>
      </c>
      <c r="D16" s="111">
        <f ca="1">PLANTILLA!F15</f>
        <v>1</v>
      </c>
      <c r="E16" s="36">
        <f>PLANTILLA!X15</f>
        <v>0</v>
      </c>
      <c r="F16" s="36">
        <f>PLANTILLA!Y15</f>
        <v>11</v>
      </c>
      <c r="G16" s="36">
        <f>PLANTILLA!Z15</f>
        <v>14</v>
      </c>
      <c r="H16" s="36">
        <f>PLANTILLA!AA15</f>
        <v>1</v>
      </c>
      <c r="I16" s="36">
        <f>PLANTILLA!AB15</f>
        <v>11</v>
      </c>
      <c r="J16" s="36">
        <f>PLANTILLA!AC15</f>
        <v>5</v>
      </c>
      <c r="K16" s="36">
        <f>PLANTILLA!AD15</f>
        <v>4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PLANTILLA!A19</f>
        <v>#12</v>
      </c>
      <c r="B17" s="109" t="str">
        <f>PLANTILLA!D19</f>
        <v>Nicolás Galaz</v>
      </c>
      <c r="C17" s="18">
        <f>PLANTILLA!E19</f>
        <v>32</v>
      </c>
      <c r="D17" s="111">
        <f ca="1">PLANTILLA!F19</f>
        <v>23</v>
      </c>
      <c r="E17" s="36">
        <f>PLANTILLA!X19</f>
        <v>0</v>
      </c>
      <c r="F17" s="36">
        <f>PLANTILLA!Y19</f>
        <v>4</v>
      </c>
      <c r="G17" s="36">
        <f>PLANTILLA!Z19</f>
        <v>3</v>
      </c>
      <c r="H17" s="36">
        <f>PLANTILLA!AA19</f>
        <v>9.125</v>
      </c>
      <c r="I17" s="36">
        <f>PLANTILLA!AB19</f>
        <v>14</v>
      </c>
      <c r="J17" s="36">
        <f>PLANTILLA!AC19</f>
        <v>13.95</v>
      </c>
      <c r="K17" s="36">
        <f>PLANTILLA!AD19</f>
        <v>11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str">
        <f>PLANTILLA!A17</f>
        <v>#15</v>
      </c>
      <c r="B18" s="109" t="str">
        <f>PLANTILLA!D17</f>
        <v>Bogdan Pivovarov</v>
      </c>
      <c r="C18" s="18">
        <f>PLANTILLA!E17</f>
        <v>32</v>
      </c>
      <c r="D18" s="111">
        <f ca="1">PLANTILLA!F17</f>
        <v>103</v>
      </c>
      <c r="E18" s="36">
        <f>PLANTILLA!X17</f>
        <v>0</v>
      </c>
      <c r="F18" s="36">
        <f>PLANTILLA!Y17</f>
        <v>10.95</v>
      </c>
      <c r="G18" s="36">
        <f>PLANTILLA!Z17</f>
        <v>14</v>
      </c>
      <c r="H18" s="36">
        <f>PLANTILLA!AA17</f>
        <v>3</v>
      </c>
      <c r="I18" s="36">
        <f>PLANTILLA!AB17</f>
        <v>11</v>
      </c>
      <c r="J18" s="36">
        <f>PLANTILLA!AC17</f>
        <v>8</v>
      </c>
      <c r="K18" s="36">
        <f>PLANTILLA!AD17</f>
        <v>8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PLANTILLA!A20</f>
        <v>#19</v>
      </c>
      <c r="B19" s="109" t="str">
        <f>PLANTILLA!D20</f>
        <v>Rodolfo Rinaldo Paso</v>
      </c>
      <c r="C19" s="18">
        <f>PLANTILLA!E20</f>
        <v>32</v>
      </c>
      <c r="D19" s="111">
        <f ca="1">PLANTILLA!F20</f>
        <v>14</v>
      </c>
      <c r="E19" s="36">
        <f>PLANTILLA!X20</f>
        <v>0</v>
      </c>
      <c r="F19" s="36">
        <f>PLANTILLA!Y20</f>
        <v>4</v>
      </c>
      <c r="G19" s="36">
        <f>PLANTILLA!Z20</f>
        <v>8.2768518518518519</v>
      </c>
      <c r="H19" s="36">
        <f>PLANTILLA!AA20</f>
        <v>12</v>
      </c>
      <c r="I19" s="36">
        <f>PLANTILLA!AB20</f>
        <v>13</v>
      </c>
      <c r="J19" s="36">
        <f>PLANTILLA!AC20</f>
        <v>13.95</v>
      </c>
      <c r="K19" s="36">
        <f>PLANTILLA!AD20</f>
        <v>16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C20" s="69"/>
      <c r="D20" s="54"/>
      <c r="G20" s="42"/>
      <c r="H20" s="41"/>
      <c r="J20" s="42"/>
      <c r="K20" s="42"/>
      <c r="M20" s="70"/>
      <c r="Q20" s="42"/>
      <c r="R20" s="42"/>
      <c r="S20" s="42"/>
      <c r="T20" s="42"/>
      <c r="U20" s="42"/>
      <c r="V20" s="42"/>
      <c r="W20" s="42"/>
    </row>
    <row r="21" spans="1:23" x14ac:dyDescent="0.25">
      <c r="C21" s="69"/>
      <c r="D21" s="54"/>
      <c r="G21" s="42"/>
      <c r="H21" s="41"/>
      <c r="J21" s="42"/>
      <c r="K21" s="42"/>
      <c r="M21" s="70"/>
      <c r="Q21" s="42"/>
      <c r="R21" s="42"/>
      <c r="S21" s="42"/>
      <c r="T21" s="42"/>
      <c r="U21" s="42"/>
      <c r="V21" s="42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</sheetData>
  <conditionalFormatting sqref="O4:T19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19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19">
    <cfRule type="colorScale" priority="266">
      <colorScale>
        <cfvo type="min"/>
        <cfvo type="max"/>
        <color rgb="FFFCFCFF"/>
        <color rgb="FFF8696B"/>
      </colorScale>
    </cfRule>
  </conditionalFormatting>
  <conditionalFormatting sqref="L4:N19">
    <cfRule type="colorScale" priority="26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O4:T19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U4:U19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5" activePane="bottomLeft" state="frozen"/>
      <selection pane="bottomLeft" activeCell="D11" sqref="D11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519" t="s">
        <v>516</v>
      </c>
      <c r="B1" s="519"/>
      <c r="C1" s="519"/>
      <c r="D1" s="519"/>
      <c r="F1" s="13" t="s">
        <v>176</v>
      </c>
      <c r="G1" s="13" t="s">
        <v>108</v>
      </c>
      <c r="H1" s="13" t="s">
        <v>109</v>
      </c>
      <c r="I1" s="26" t="s">
        <v>517</v>
      </c>
      <c r="J1" s="26" t="s">
        <v>111</v>
      </c>
      <c r="K1" s="26" t="s">
        <v>293</v>
      </c>
      <c r="L1" s="26" t="s">
        <v>518</v>
      </c>
      <c r="M1" s="26" t="s">
        <v>519</v>
      </c>
      <c r="N1" s="64" t="s">
        <v>520</v>
      </c>
      <c r="O1" s="64" t="s">
        <v>521</v>
      </c>
      <c r="P1" s="64" t="s">
        <v>522</v>
      </c>
      <c r="Q1" s="64" t="s">
        <v>523</v>
      </c>
      <c r="R1" s="65" t="s">
        <v>524</v>
      </c>
      <c r="S1" s="65" t="s">
        <v>525</v>
      </c>
      <c r="T1" s="65" t="s">
        <v>522</v>
      </c>
      <c r="U1" s="65" t="s">
        <v>523</v>
      </c>
    </row>
    <row r="2" spans="1:21" x14ac:dyDescent="0.25">
      <c r="A2" s="520" t="s">
        <v>526</v>
      </c>
      <c r="B2" s="521" t="s">
        <v>527</v>
      </c>
      <c r="C2" s="521" t="s">
        <v>528</v>
      </c>
      <c r="D2" s="521" t="s">
        <v>529</v>
      </c>
      <c r="F2" s="88" t="s">
        <v>530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520"/>
      <c r="B3" s="521"/>
      <c r="C3" s="521"/>
      <c r="D3" s="521"/>
      <c r="F3" s="88" t="s">
        <v>531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527</v>
      </c>
      <c r="B4" s="73" t="s">
        <v>532</v>
      </c>
      <c r="C4" s="73" t="s">
        <v>533</v>
      </c>
      <c r="D4" s="73" t="s">
        <v>533</v>
      </c>
      <c r="F4" s="88" t="s">
        <v>534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528</v>
      </c>
      <c r="B5" s="75" t="s">
        <v>535</v>
      </c>
      <c r="C5" s="75" t="s">
        <v>536</v>
      </c>
      <c r="D5" s="75" t="s">
        <v>533</v>
      </c>
      <c r="F5" s="88" t="s">
        <v>537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529</v>
      </c>
      <c r="B6" s="73" t="s">
        <v>538</v>
      </c>
      <c r="C6" s="73" t="s">
        <v>539</v>
      </c>
      <c r="D6" s="73" t="s">
        <v>540</v>
      </c>
      <c r="F6" s="88" t="s">
        <v>541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542</v>
      </c>
      <c r="B7" s="75" t="s">
        <v>543</v>
      </c>
      <c r="C7" s="75" t="s">
        <v>544</v>
      </c>
      <c r="D7" s="75" t="s">
        <v>545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546</v>
      </c>
      <c r="B8" s="73" t="s">
        <v>547</v>
      </c>
      <c r="C8" s="73" t="s">
        <v>548</v>
      </c>
      <c r="D8" s="73" t="s">
        <v>549</v>
      </c>
      <c r="F8" s="88" t="s">
        <v>550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551</v>
      </c>
      <c r="B9" s="75" t="s">
        <v>552</v>
      </c>
      <c r="C9" s="75" t="s">
        <v>553</v>
      </c>
      <c r="D9" s="75" t="s">
        <v>554</v>
      </c>
      <c r="F9" s="88" t="s">
        <v>555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556</v>
      </c>
      <c r="B10" s="73" t="s">
        <v>557</v>
      </c>
      <c r="C10" s="73" t="s">
        <v>558</v>
      </c>
      <c r="D10" s="73" t="s">
        <v>559</v>
      </c>
      <c r="F10" s="88" t="s">
        <v>560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561</v>
      </c>
      <c r="B11" s="75" t="s">
        <v>562</v>
      </c>
      <c r="C11" s="75" t="s">
        <v>563</v>
      </c>
      <c r="D11" s="75" t="s">
        <v>564</v>
      </c>
      <c r="F11" s="88" t="s">
        <v>565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566</v>
      </c>
      <c r="B12" s="73" t="s">
        <v>567</v>
      </c>
      <c r="C12" s="73" t="s">
        <v>568</v>
      </c>
      <c r="D12" s="73" t="s">
        <v>569</v>
      </c>
      <c r="F12" s="88" t="s">
        <v>570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571</v>
      </c>
      <c r="B13" s="75" t="s">
        <v>572</v>
      </c>
      <c r="C13" s="75" t="s">
        <v>573</v>
      </c>
      <c r="D13" s="75" t="s">
        <v>574</v>
      </c>
      <c r="F13" s="88" t="s">
        <v>575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576</v>
      </c>
      <c r="B14" s="73" t="s">
        <v>577</v>
      </c>
      <c r="C14" s="73" t="s">
        <v>578</v>
      </c>
      <c r="D14" s="73" t="s">
        <v>579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580</v>
      </c>
      <c r="B15" s="75" t="s">
        <v>581</v>
      </c>
      <c r="C15" s="75" t="s">
        <v>582</v>
      </c>
      <c r="D15" s="75" t="s">
        <v>583</v>
      </c>
      <c r="F15" s="88" t="s">
        <v>584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585</v>
      </c>
      <c r="B16" s="73" t="s">
        <v>586</v>
      </c>
      <c r="C16" s="73" t="s">
        <v>587</v>
      </c>
      <c r="D16" s="73" t="s">
        <v>588</v>
      </c>
      <c r="F16" s="88" t="s">
        <v>589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590</v>
      </c>
      <c r="B17" s="75" t="s">
        <v>591</v>
      </c>
      <c r="C17" s="75" t="s">
        <v>592</v>
      </c>
      <c r="D17" s="75" t="s">
        <v>593</v>
      </c>
      <c r="F17" s="88" t="s">
        <v>594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595</v>
      </c>
      <c r="B18" s="73" t="s">
        <v>596</v>
      </c>
      <c r="C18" s="73" t="s">
        <v>597</v>
      </c>
      <c r="D18" s="73" t="s">
        <v>598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F19" s="348" t="s">
        <v>827</v>
      </c>
      <c r="G19">
        <v>38</v>
      </c>
      <c r="H19">
        <v>68</v>
      </c>
      <c r="I19" s="55">
        <v>13.3</v>
      </c>
      <c r="J19" s="56">
        <v>6</v>
      </c>
      <c r="K19" s="45">
        <v>900</v>
      </c>
      <c r="L19" s="45">
        <v>750000</v>
      </c>
      <c r="M19" s="61">
        <v>3</v>
      </c>
      <c r="N19" s="45">
        <v>350000</v>
      </c>
      <c r="O19" s="45">
        <f t="shared" si="0"/>
        <v>1100000</v>
      </c>
      <c r="P19" s="66">
        <v>9</v>
      </c>
      <c r="Q19" s="76">
        <f t="shared" si="1"/>
        <v>122222.22222222222</v>
      </c>
      <c r="R19" s="45">
        <v>2500000</v>
      </c>
      <c r="S19" s="45">
        <f t="shared" si="2"/>
        <v>3250000</v>
      </c>
      <c r="T19" s="67">
        <f t="shared" si="3"/>
        <v>9</v>
      </c>
      <c r="U19" s="76">
        <f t="shared" si="4"/>
        <v>361111.11111111112</v>
      </c>
    </row>
    <row r="20" spans="1:21" x14ac:dyDescent="0.25">
      <c r="A20" s="13" t="s">
        <v>599</v>
      </c>
      <c r="B20" s="13" t="s">
        <v>600</v>
      </c>
      <c r="F20" s="348" t="s">
        <v>828</v>
      </c>
      <c r="G20">
        <v>38</v>
      </c>
      <c r="H20">
        <v>65</v>
      </c>
      <c r="I20" s="55">
        <v>13.3</v>
      </c>
      <c r="J20" s="56">
        <v>6</v>
      </c>
      <c r="K20" s="45">
        <v>360</v>
      </c>
      <c r="L20" s="45">
        <v>1100000</v>
      </c>
      <c r="M20" s="61">
        <v>3</v>
      </c>
      <c r="N20" s="45">
        <v>350000</v>
      </c>
      <c r="O20" s="45">
        <f t="shared" si="0"/>
        <v>1450000</v>
      </c>
      <c r="P20" s="66">
        <v>9</v>
      </c>
      <c r="Q20" s="76">
        <f t="shared" si="1"/>
        <v>161111.11111111112</v>
      </c>
      <c r="R20" s="45">
        <v>2500000</v>
      </c>
      <c r="S20" s="45">
        <f t="shared" si="2"/>
        <v>3600000</v>
      </c>
      <c r="T20" s="67">
        <f t="shared" si="3"/>
        <v>9</v>
      </c>
      <c r="U20" s="76">
        <f t="shared" si="4"/>
        <v>400000</v>
      </c>
    </row>
    <row r="21" spans="1:21" x14ac:dyDescent="0.25">
      <c r="A21" s="42" t="s">
        <v>601</v>
      </c>
      <c r="B21" s="42">
        <v>2</v>
      </c>
      <c r="F21" s="348" t="s">
        <v>829</v>
      </c>
      <c r="G21">
        <v>41</v>
      </c>
      <c r="H21">
        <v>70</v>
      </c>
      <c r="I21" s="55">
        <v>14</v>
      </c>
      <c r="J21" s="56">
        <v>6</v>
      </c>
      <c r="K21" s="45">
        <v>336</v>
      </c>
      <c r="L21" s="45">
        <v>1000000</v>
      </c>
      <c r="M21" s="61">
        <v>3</v>
      </c>
      <c r="N21" s="68">
        <v>316900</v>
      </c>
      <c r="O21" s="45">
        <f t="shared" si="0"/>
        <v>1316900</v>
      </c>
      <c r="P21" s="66">
        <v>9</v>
      </c>
      <c r="Q21" s="76">
        <f t="shared" si="1"/>
        <v>146322.22222222222</v>
      </c>
      <c r="R21" s="45">
        <v>2400000</v>
      </c>
      <c r="S21" s="45">
        <f t="shared" si="2"/>
        <v>3400000</v>
      </c>
      <c r="T21" s="67">
        <f t="shared" si="3"/>
        <v>9</v>
      </c>
      <c r="U21" s="76">
        <f t="shared" si="4"/>
        <v>377777.77777777775</v>
      </c>
    </row>
    <row r="22" spans="1:21" x14ac:dyDescent="0.25">
      <c r="A22" s="42" t="s">
        <v>602</v>
      </c>
      <c r="B22" s="42">
        <v>1.5</v>
      </c>
      <c r="F22" s="348" t="s">
        <v>830</v>
      </c>
      <c r="G22">
        <v>38</v>
      </c>
      <c r="H22">
        <v>45</v>
      </c>
      <c r="I22" s="55">
        <v>16.399999999999999</v>
      </c>
      <c r="J22" s="56">
        <v>6</v>
      </c>
      <c r="K22" s="45">
        <v>900</v>
      </c>
      <c r="L22" s="45">
        <v>1500000</v>
      </c>
      <c r="M22" s="61">
        <v>3</v>
      </c>
      <c r="N22" s="45">
        <v>282000</v>
      </c>
      <c r="O22" s="45">
        <f t="shared" si="0"/>
        <v>1782000</v>
      </c>
      <c r="P22" s="66">
        <v>9</v>
      </c>
      <c r="Q22" s="76">
        <f t="shared" si="1"/>
        <v>198000</v>
      </c>
      <c r="R22" s="45">
        <v>2000000</v>
      </c>
      <c r="S22" s="45">
        <f t="shared" si="2"/>
        <v>3500000</v>
      </c>
      <c r="T22" s="67">
        <f t="shared" si="3"/>
        <v>9</v>
      </c>
      <c r="U22" s="76">
        <f t="shared" si="4"/>
        <v>388888.88888888888</v>
      </c>
    </row>
    <row r="23" spans="1:21" x14ac:dyDescent="0.25">
      <c r="A23" s="42" t="s">
        <v>603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604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605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606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607</v>
      </c>
      <c r="B28" s="13" t="s">
        <v>608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609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610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611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612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613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614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615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1930-5309-49E5-A706-E55A1526C801}">
  <sheetPr>
    <tabColor rgb="FF60497A"/>
  </sheetPr>
  <dimension ref="A1:AO14"/>
  <sheetViews>
    <sheetView workbookViewId="0">
      <pane ySplit="2" topLeftCell="A3" activePane="bottomLeft" state="frozen"/>
      <selection pane="bottomLeft" activeCell="AG5" sqref="AG5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7.42578125" customWidth="1"/>
    <col min="16" max="16" width="7.855468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7.42578125" customWidth="1"/>
    <col min="23" max="23" width="7.85546875" customWidth="1"/>
    <col min="24" max="24" width="7.42578125" customWidth="1"/>
    <col min="25" max="25" width="5.5703125" customWidth="1"/>
    <col min="26" max="26" width="6.42578125" customWidth="1"/>
    <col min="27" max="27" width="6.85546875" customWidth="1"/>
    <col min="28" max="28" width="6.42578125" customWidth="1"/>
    <col min="29" max="29" width="6.5703125" style="278" customWidth="1"/>
    <col min="30" max="30" width="7.140625" style="278" customWidth="1"/>
    <col min="31" max="32" width="7.140625" style="279" customWidth="1"/>
    <col min="33" max="34" width="9" style="278" customWidth="1"/>
    <col min="35" max="36" width="8.42578125" style="278" customWidth="1"/>
    <col min="37" max="41" width="10.7109375" style="278"/>
  </cols>
  <sheetData>
    <row r="1" spans="1:41" s="41" customFormat="1" x14ac:dyDescent="0.25">
      <c r="D1" s="43"/>
      <c r="O1" s="41" t="s">
        <v>621</v>
      </c>
      <c r="P1"/>
      <c r="Q1"/>
      <c r="R1"/>
      <c r="S1"/>
      <c r="T1"/>
      <c r="U1"/>
      <c r="V1" s="41" t="s">
        <v>622</v>
      </c>
      <c r="W1"/>
      <c r="X1"/>
      <c r="Y1"/>
      <c r="Z1"/>
      <c r="AA1"/>
      <c r="AB1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</row>
    <row r="2" spans="1:41" x14ac:dyDescent="0.25">
      <c r="A2" s="250" t="s">
        <v>176</v>
      </c>
      <c r="B2" s="250" t="s">
        <v>628</v>
      </c>
      <c r="C2" s="251" t="s">
        <v>109</v>
      </c>
      <c r="D2" s="252" t="s">
        <v>290</v>
      </c>
      <c r="E2" s="253" t="s">
        <v>652</v>
      </c>
      <c r="F2" s="254" t="s">
        <v>117</v>
      </c>
      <c r="G2" s="255" t="s">
        <v>517</v>
      </c>
      <c r="H2" s="256" t="s">
        <v>149</v>
      </c>
      <c r="I2" s="256" t="s">
        <v>182</v>
      </c>
      <c r="J2" s="256" t="s">
        <v>183</v>
      </c>
      <c r="K2" s="256" t="s">
        <v>314</v>
      </c>
      <c r="L2" s="256" t="s">
        <v>185</v>
      </c>
      <c r="M2" s="256" t="s">
        <v>186</v>
      </c>
      <c r="N2" s="257" t="s">
        <v>187</v>
      </c>
      <c r="O2" s="34" t="s">
        <v>635</v>
      </c>
      <c r="P2" s="34" t="s">
        <v>636</v>
      </c>
      <c r="Q2" s="34" t="s">
        <v>635</v>
      </c>
      <c r="R2" s="34" t="s">
        <v>168</v>
      </c>
      <c r="S2" s="34" t="s">
        <v>637</v>
      </c>
      <c r="T2" s="34" t="s">
        <v>638</v>
      </c>
      <c r="U2" s="34" t="s">
        <v>637</v>
      </c>
      <c r="V2" s="34" t="s">
        <v>635</v>
      </c>
      <c r="W2" s="34" t="s">
        <v>636</v>
      </c>
      <c r="X2" s="34" t="s">
        <v>635</v>
      </c>
      <c r="Y2" s="34" t="s">
        <v>168</v>
      </c>
      <c r="Z2" s="34" t="s">
        <v>637</v>
      </c>
      <c r="AA2" s="34" t="s">
        <v>638</v>
      </c>
      <c r="AB2" s="34" t="s">
        <v>637</v>
      </c>
      <c r="AC2" s="302" t="s">
        <v>653</v>
      </c>
      <c r="AD2" s="303" t="s">
        <v>293</v>
      </c>
      <c r="AE2" s="294" t="s">
        <v>655</v>
      </c>
      <c r="AF2" s="295" t="s">
        <v>654</v>
      </c>
      <c r="AG2" s="294" t="s">
        <v>657</v>
      </c>
      <c r="AH2" s="295" t="s">
        <v>656</v>
      </c>
      <c r="AI2" s="292" t="s">
        <v>659</v>
      </c>
      <c r="AJ2" s="292" t="s">
        <v>658</v>
      </c>
    </row>
    <row r="3" spans="1:41" x14ac:dyDescent="0.25">
      <c r="A3" s="434" t="s">
        <v>758</v>
      </c>
      <c r="B3" s="268">
        <v>32</v>
      </c>
      <c r="C3" s="25">
        <v>85</v>
      </c>
      <c r="E3" s="269">
        <v>3</v>
      </c>
      <c r="F3" s="270">
        <v>1</v>
      </c>
      <c r="G3" s="271">
        <v>9</v>
      </c>
      <c r="H3" s="36">
        <v>0</v>
      </c>
      <c r="I3" s="36">
        <v>6</v>
      </c>
      <c r="J3" s="36">
        <v>13</v>
      </c>
      <c r="K3" s="36">
        <v>7</v>
      </c>
      <c r="L3" s="36">
        <v>12</v>
      </c>
      <c r="M3" s="36">
        <v>5</v>
      </c>
      <c r="N3" s="272">
        <v>16</v>
      </c>
      <c r="O3" s="27">
        <f t="shared" ref="O3:O14" si="0">((I3+F3+(LOG(G3)*4/3))*0.27)</f>
        <v>2.2335273033981569</v>
      </c>
      <c r="P3" s="27">
        <f t="shared" ref="P3:P14" si="1">((I3+F3+(LOG(G3)*4/3))*0.594)</f>
        <v>4.9137600674759447</v>
      </c>
      <c r="Q3" s="27">
        <f t="shared" ref="Q3:Q14" si="2">O3/2</f>
        <v>1.1167636516990784</v>
      </c>
      <c r="R3" s="27">
        <f t="shared" ref="R3:R14" si="3">((J3+F3+(LOG(G3)*4/3))*0.944)</f>
        <v>14.41707323854763</v>
      </c>
      <c r="S3" s="27">
        <f t="shared" ref="S3:S14" si="4">((L3+F3+(LOG(G3)*4/3))*0.13)</f>
        <v>1.8554020349694831</v>
      </c>
      <c r="T3" s="27">
        <f t="shared" ref="T3:T14" si="5">((M3+F3+(LOG(G3)*4/3))*0.173)+((L3+F3+(LOG(G3)*4/3))*0.12)</f>
        <v>2.9707907403542961</v>
      </c>
      <c r="U3" s="27">
        <f t="shared" ref="U3:U14" si="6">S3/2</f>
        <v>0.92770101748474154</v>
      </c>
      <c r="V3" s="27">
        <f t="shared" ref="V3:V14" si="7">((I3+F3+(LOG(G3)*4/3))*0.189)</f>
        <v>1.5634691123787099</v>
      </c>
      <c r="W3" s="27">
        <f t="shared" ref="W3:W14" si="8">((I3+F3+(LOG(G3)*4/3))*0.4)</f>
        <v>3.3089293383676401</v>
      </c>
      <c r="X3" s="27">
        <f t="shared" ref="X3:X14" si="9">V3/2</f>
        <v>0.78173455618935495</v>
      </c>
      <c r="Y3" s="27">
        <f t="shared" ref="Y3:Y14" si="10">((J3+F3+(LOG(G3)*4/3))*1)</f>
        <v>15.2723233459191</v>
      </c>
      <c r="Z3" s="27">
        <f t="shared" ref="Z3:Z14" si="11">((L3+F3+(LOG(G3)*4/3))*0.253)</f>
        <v>3.6108978065175323</v>
      </c>
      <c r="AA3" s="27">
        <f t="shared" ref="AA3:AA14" si="12">((M3+F3+(LOG(G3)*4/3))*0.21)+((L3+F3+(LOG(G3)*4/3))*0.341)</f>
        <v>6.394050163601424</v>
      </c>
      <c r="AB3" s="27">
        <f t="shared" ref="AB3:AB14" si="13">Z3/2</f>
        <v>1.8054489032587662</v>
      </c>
      <c r="AC3" s="280">
        <v>1475</v>
      </c>
      <c r="AD3" s="281">
        <v>14.1</v>
      </c>
      <c r="AE3" s="279">
        <v>850</v>
      </c>
      <c r="AF3" s="296">
        <v>700</v>
      </c>
      <c r="AG3" s="291">
        <f t="shared" ref="AG3:AG14" si="14">AC3+(AD3*16*(34-B3-((112-C3)/112)))-AE3</f>
        <v>1021.8142857142857</v>
      </c>
      <c r="AH3" s="299">
        <f t="shared" ref="AH3:AH14" si="15">AC3+(AD3*16*(36-B3-((112-C3)/112)))-AF3</f>
        <v>1623.0142857142855</v>
      </c>
      <c r="AI3" s="291">
        <f t="shared" ref="AI3:AI14" si="16">(AG3)/(34-B3+((112-C3)/112))</f>
        <v>455.94900398406378</v>
      </c>
      <c r="AJ3" s="291">
        <f t="shared" ref="AJ3:AJ14" si="17">(AH3)/(36-B3+((112-C3)/112))</f>
        <v>382.68968421052625</v>
      </c>
    </row>
    <row r="4" spans="1:41" x14ac:dyDescent="0.25">
      <c r="A4" s="434" t="s">
        <v>1518</v>
      </c>
      <c r="B4" s="268">
        <v>32</v>
      </c>
      <c r="C4" s="25">
        <v>61</v>
      </c>
      <c r="D4" s="42" t="s">
        <v>162</v>
      </c>
      <c r="E4" s="269">
        <v>2</v>
      </c>
      <c r="F4" s="270">
        <v>1</v>
      </c>
      <c r="G4" s="271">
        <v>8</v>
      </c>
      <c r="H4" s="36">
        <v>0</v>
      </c>
      <c r="I4" s="36">
        <v>2</v>
      </c>
      <c r="J4" s="36">
        <v>13.95</v>
      </c>
      <c r="K4" s="36">
        <v>10</v>
      </c>
      <c r="L4" s="36">
        <v>13</v>
      </c>
      <c r="M4" s="36">
        <v>9</v>
      </c>
      <c r="N4" s="272">
        <v>11</v>
      </c>
      <c r="O4" s="27">
        <f t="shared" si="0"/>
        <v>1.1351123953170998</v>
      </c>
      <c r="P4" s="27">
        <f t="shared" si="1"/>
        <v>2.4972472696976191</v>
      </c>
      <c r="Q4" s="27">
        <f t="shared" si="2"/>
        <v>0.56755619765854992</v>
      </c>
      <c r="R4" s="27">
        <f t="shared" si="3"/>
        <v>15.249489263627192</v>
      </c>
      <c r="S4" s="27">
        <f t="shared" si="4"/>
        <v>1.9765355977452703</v>
      </c>
      <c r="T4" s="27">
        <f t="shared" si="5"/>
        <v>3.7628071549181858</v>
      </c>
      <c r="U4" s="27">
        <f t="shared" si="6"/>
        <v>0.98826779887263516</v>
      </c>
      <c r="V4" s="27">
        <f t="shared" si="7"/>
        <v>0.7945786767219698</v>
      </c>
      <c r="W4" s="27">
        <f t="shared" si="8"/>
        <v>1.68164799306237</v>
      </c>
      <c r="X4" s="27">
        <f t="shared" si="9"/>
        <v>0.3972893383609849</v>
      </c>
      <c r="Y4" s="27">
        <f t="shared" si="10"/>
        <v>16.154119982655924</v>
      </c>
      <c r="Z4" s="27">
        <f t="shared" si="11"/>
        <v>3.8466423556119489</v>
      </c>
      <c r="AA4" s="27">
        <f t="shared" si="12"/>
        <v>7.5374701104434152</v>
      </c>
      <c r="AB4" s="27">
        <f t="shared" si="13"/>
        <v>1.9233211778059744</v>
      </c>
      <c r="AC4" s="280">
        <v>2900</v>
      </c>
      <c r="AD4" s="281">
        <v>21.4</v>
      </c>
      <c r="AE4" s="279">
        <v>3000</v>
      </c>
      <c r="AF4" s="296">
        <v>1650</v>
      </c>
      <c r="AG4" s="291">
        <f t="shared" si="14"/>
        <v>428.88571428571413</v>
      </c>
      <c r="AH4" s="299">
        <f t="shared" si="15"/>
        <v>2463.6857142857143</v>
      </c>
      <c r="AI4" s="291">
        <f t="shared" si="16"/>
        <v>174.67345454545449</v>
      </c>
      <c r="AJ4" s="291">
        <f t="shared" si="17"/>
        <v>552.97154308617235</v>
      </c>
    </row>
    <row r="5" spans="1:41" x14ac:dyDescent="0.25">
      <c r="A5" s="245" t="s">
        <v>1584</v>
      </c>
      <c r="B5" s="187">
        <v>30</v>
      </c>
      <c r="C5" s="25">
        <v>56</v>
      </c>
      <c r="D5" s="42" t="s">
        <v>162</v>
      </c>
      <c r="E5" s="244">
        <v>5</v>
      </c>
      <c r="F5" s="246">
        <v>1</v>
      </c>
      <c r="G5" s="247">
        <v>8</v>
      </c>
      <c r="H5" s="36">
        <v>0</v>
      </c>
      <c r="I5" s="36">
        <v>7</v>
      </c>
      <c r="J5" s="36">
        <v>14</v>
      </c>
      <c r="K5" s="36">
        <v>5</v>
      </c>
      <c r="L5" s="36">
        <v>13</v>
      </c>
      <c r="M5" s="36">
        <v>8</v>
      </c>
      <c r="N5" s="248">
        <v>0</v>
      </c>
      <c r="O5" s="27">
        <f t="shared" si="0"/>
        <v>2.4851123953170999</v>
      </c>
      <c r="P5" s="27">
        <f t="shared" si="1"/>
        <v>5.4672472696976193</v>
      </c>
      <c r="Q5" s="27">
        <f t="shared" si="2"/>
        <v>1.24255619765855</v>
      </c>
      <c r="R5" s="27">
        <f t="shared" si="3"/>
        <v>15.296689263627192</v>
      </c>
      <c r="S5" s="27">
        <f t="shared" si="4"/>
        <v>1.9765355977452703</v>
      </c>
      <c r="T5" s="27">
        <f t="shared" si="5"/>
        <v>3.5898071549181858</v>
      </c>
      <c r="U5" s="27">
        <f t="shared" si="6"/>
        <v>0.98826779887263516</v>
      </c>
      <c r="V5" s="27">
        <f t="shared" si="7"/>
        <v>1.7395786767219699</v>
      </c>
      <c r="W5" s="27">
        <f t="shared" si="8"/>
        <v>3.68164799306237</v>
      </c>
      <c r="X5" s="27">
        <f t="shared" si="9"/>
        <v>0.86978933836098493</v>
      </c>
      <c r="Y5" s="27">
        <f t="shared" si="10"/>
        <v>16.204119982655925</v>
      </c>
      <c r="Z5" s="27">
        <f t="shared" si="11"/>
        <v>3.8466423556119489</v>
      </c>
      <c r="AA5" s="27">
        <f t="shared" si="12"/>
        <v>7.3274701104434143</v>
      </c>
      <c r="AB5" s="27">
        <f t="shared" si="13"/>
        <v>1.9233211778059744</v>
      </c>
      <c r="AC5" s="280">
        <v>4000</v>
      </c>
      <c r="AD5" s="281">
        <v>24.2</v>
      </c>
      <c r="AE5" s="279">
        <v>1300</v>
      </c>
      <c r="AF5" s="296">
        <v>850</v>
      </c>
      <c r="AG5" s="291">
        <f t="shared" si="14"/>
        <v>4055.2</v>
      </c>
      <c r="AH5" s="299">
        <f t="shared" si="15"/>
        <v>5279.6</v>
      </c>
      <c r="AI5" s="291">
        <f t="shared" si="16"/>
        <v>901.15555555555557</v>
      </c>
      <c r="AJ5" s="291">
        <f t="shared" si="17"/>
        <v>812.2461538461539</v>
      </c>
    </row>
    <row r="6" spans="1:41" x14ac:dyDescent="0.25">
      <c r="A6" s="245" t="s">
        <v>1569</v>
      </c>
      <c r="B6" s="187">
        <v>27</v>
      </c>
      <c r="C6" s="25">
        <v>74</v>
      </c>
      <c r="E6" s="244">
        <v>4</v>
      </c>
      <c r="F6" s="246">
        <v>1</v>
      </c>
      <c r="G6" s="247">
        <v>7</v>
      </c>
      <c r="H6" s="36">
        <v>0</v>
      </c>
      <c r="I6" s="36">
        <v>7</v>
      </c>
      <c r="J6" s="36">
        <v>15</v>
      </c>
      <c r="K6" s="36">
        <v>4</v>
      </c>
      <c r="L6" s="36">
        <v>12</v>
      </c>
      <c r="M6" s="36">
        <v>9</v>
      </c>
      <c r="N6" s="248">
        <v>5</v>
      </c>
      <c r="O6" s="27">
        <f t="shared" si="0"/>
        <v>2.4642352944051327</v>
      </c>
      <c r="P6" s="27">
        <f t="shared" si="1"/>
        <v>5.421317647691291</v>
      </c>
      <c r="Q6" s="27">
        <f t="shared" si="2"/>
        <v>1.2321176472025663</v>
      </c>
      <c r="R6" s="27">
        <f t="shared" si="3"/>
        <v>16.167696733031278</v>
      </c>
      <c r="S6" s="27">
        <f t="shared" si="4"/>
        <v>1.8364836602691379</v>
      </c>
      <c r="T6" s="27">
        <f t="shared" si="5"/>
        <v>3.6201516342989026</v>
      </c>
      <c r="U6" s="27">
        <f t="shared" si="6"/>
        <v>0.91824183013456895</v>
      </c>
      <c r="V6" s="27">
        <f t="shared" si="7"/>
        <v>1.7249647060835926</v>
      </c>
      <c r="W6" s="27">
        <f t="shared" si="8"/>
        <v>3.6507189546742702</v>
      </c>
      <c r="X6" s="27">
        <f t="shared" si="9"/>
        <v>0.86248235304179632</v>
      </c>
      <c r="Y6" s="27">
        <f t="shared" si="10"/>
        <v>17.126797386685677</v>
      </c>
      <c r="Z6" s="27">
        <f t="shared" si="11"/>
        <v>3.5740797388314758</v>
      </c>
      <c r="AA6" s="27">
        <f t="shared" si="12"/>
        <v>7.1538653600638069</v>
      </c>
      <c r="AB6" s="27">
        <f t="shared" si="13"/>
        <v>1.7870398694157379</v>
      </c>
      <c r="AC6" s="280"/>
      <c r="AD6" s="281"/>
      <c r="AF6" s="296"/>
      <c r="AG6" s="291">
        <f t="shared" si="14"/>
        <v>0</v>
      </c>
      <c r="AH6" s="299">
        <f t="shared" si="15"/>
        <v>0</v>
      </c>
      <c r="AI6" s="291">
        <f t="shared" si="16"/>
        <v>0</v>
      </c>
      <c r="AJ6" s="291">
        <f t="shared" si="17"/>
        <v>0</v>
      </c>
    </row>
    <row r="7" spans="1:41" x14ac:dyDescent="0.25">
      <c r="A7" s="245" t="s">
        <v>1570</v>
      </c>
      <c r="B7" s="187">
        <v>30</v>
      </c>
      <c r="C7" s="25">
        <v>60</v>
      </c>
      <c r="E7" s="244">
        <v>3</v>
      </c>
      <c r="F7" s="246">
        <v>1</v>
      </c>
      <c r="G7" s="247">
        <v>9</v>
      </c>
      <c r="H7" s="36">
        <v>0</v>
      </c>
      <c r="I7" s="36">
        <v>11</v>
      </c>
      <c r="J7" s="36">
        <v>15</v>
      </c>
      <c r="K7" s="36">
        <v>4</v>
      </c>
      <c r="L7" s="36">
        <v>8</v>
      </c>
      <c r="M7" s="36">
        <v>6</v>
      </c>
      <c r="N7" s="248">
        <v>10</v>
      </c>
      <c r="O7" s="27">
        <f t="shared" si="0"/>
        <v>3.5835273033981569</v>
      </c>
      <c r="P7" s="27">
        <f t="shared" si="1"/>
        <v>7.8837600674759445</v>
      </c>
      <c r="Q7" s="27">
        <f t="shared" si="2"/>
        <v>1.7917636516990785</v>
      </c>
      <c r="R7" s="27">
        <f t="shared" si="3"/>
        <v>16.305073238547632</v>
      </c>
      <c r="S7" s="27">
        <f t="shared" si="4"/>
        <v>1.3354020349694831</v>
      </c>
      <c r="T7" s="27">
        <f t="shared" si="5"/>
        <v>2.6637907403542957</v>
      </c>
      <c r="U7" s="27">
        <f t="shared" si="6"/>
        <v>0.66770101748474153</v>
      </c>
      <c r="V7" s="27">
        <f t="shared" si="7"/>
        <v>2.5084691123787097</v>
      </c>
      <c r="W7" s="27">
        <f t="shared" si="8"/>
        <v>5.3089293383676406</v>
      </c>
      <c r="X7" s="27">
        <f t="shared" si="9"/>
        <v>1.2542345561893549</v>
      </c>
      <c r="Y7" s="27">
        <f t="shared" si="10"/>
        <v>17.272323345919101</v>
      </c>
      <c r="Z7" s="27">
        <f t="shared" si="11"/>
        <v>2.5988978065175323</v>
      </c>
      <c r="AA7" s="27">
        <f t="shared" si="12"/>
        <v>5.2400501636014241</v>
      </c>
      <c r="AB7" s="27">
        <f t="shared" si="13"/>
        <v>1.2994489032587662</v>
      </c>
      <c r="AC7" s="280">
        <v>3590</v>
      </c>
      <c r="AD7" s="281">
        <v>42.5</v>
      </c>
      <c r="AE7" s="279">
        <v>1650</v>
      </c>
      <c r="AF7" s="296">
        <v>950</v>
      </c>
      <c r="AG7" s="291">
        <f t="shared" si="14"/>
        <v>4344.2857142857138</v>
      </c>
      <c r="AH7" s="299">
        <f t="shared" si="15"/>
        <v>6404.2857142857138</v>
      </c>
      <c r="AI7" s="291">
        <f t="shared" si="16"/>
        <v>973.11999999999989</v>
      </c>
      <c r="AJ7" s="291">
        <f t="shared" si="17"/>
        <v>990.71823204419877</v>
      </c>
    </row>
    <row r="8" spans="1:41" x14ac:dyDescent="0.25">
      <c r="A8" s="245" t="s">
        <v>1572</v>
      </c>
      <c r="B8" s="187">
        <v>29</v>
      </c>
      <c r="C8" s="25">
        <v>27</v>
      </c>
      <c r="D8" s="42" t="s">
        <v>162</v>
      </c>
      <c r="E8" s="244">
        <v>4</v>
      </c>
      <c r="F8" s="246">
        <v>1</v>
      </c>
      <c r="G8" s="247">
        <v>7</v>
      </c>
      <c r="H8" s="36">
        <v>0</v>
      </c>
      <c r="I8" s="36">
        <v>7</v>
      </c>
      <c r="J8" s="36">
        <v>15</v>
      </c>
      <c r="K8" s="36">
        <v>4</v>
      </c>
      <c r="L8" s="36">
        <v>8</v>
      </c>
      <c r="M8" s="36">
        <v>7</v>
      </c>
      <c r="N8" s="248">
        <v>2</v>
      </c>
      <c r="O8" s="27">
        <f t="shared" si="0"/>
        <v>2.4642352944051327</v>
      </c>
      <c r="P8" s="27">
        <f t="shared" si="1"/>
        <v>5.421317647691291</v>
      </c>
      <c r="Q8" s="27">
        <f t="shared" si="2"/>
        <v>1.2321176472025663</v>
      </c>
      <c r="R8" s="27">
        <f t="shared" si="3"/>
        <v>16.167696733031278</v>
      </c>
      <c r="S8" s="27">
        <f t="shared" si="4"/>
        <v>1.3164836602691379</v>
      </c>
      <c r="T8" s="27">
        <f t="shared" si="5"/>
        <v>2.7941516342989026</v>
      </c>
      <c r="U8" s="27">
        <f t="shared" si="6"/>
        <v>0.65824183013456894</v>
      </c>
      <c r="V8" s="27">
        <f t="shared" si="7"/>
        <v>1.7249647060835926</v>
      </c>
      <c r="W8" s="27">
        <f t="shared" si="8"/>
        <v>3.6507189546742702</v>
      </c>
      <c r="X8" s="27">
        <f t="shared" si="9"/>
        <v>0.86248235304179632</v>
      </c>
      <c r="Y8" s="27">
        <f t="shared" si="10"/>
        <v>17.126797386685677</v>
      </c>
      <c r="Z8" s="27">
        <f t="shared" si="11"/>
        <v>2.5620797388314758</v>
      </c>
      <c r="AA8" s="27">
        <f t="shared" si="12"/>
        <v>5.3698653600638071</v>
      </c>
      <c r="AB8" s="27">
        <f t="shared" si="13"/>
        <v>1.2810398694157379</v>
      </c>
      <c r="AC8" s="304">
        <v>2506</v>
      </c>
      <c r="AD8" s="281">
        <v>49.7</v>
      </c>
      <c r="AE8" s="279">
        <v>1300</v>
      </c>
      <c r="AF8" s="296">
        <v>750</v>
      </c>
      <c r="AG8" s="291">
        <f t="shared" si="14"/>
        <v>4578.5</v>
      </c>
      <c r="AH8" s="299">
        <f t="shared" si="15"/>
        <v>6718.9000000000005</v>
      </c>
      <c r="AI8" s="291">
        <f t="shared" si="16"/>
        <v>795.02635658914733</v>
      </c>
      <c r="AJ8" s="291">
        <f t="shared" si="17"/>
        <v>865.95719217491376</v>
      </c>
      <c r="AK8" s="293"/>
      <c r="AL8" s="293"/>
    </row>
    <row r="9" spans="1:41" x14ac:dyDescent="0.25">
      <c r="A9" s="245" t="s">
        <v>1577</v>
      </c>
      <c r="B9" s="187">
        <v>30</v>
      </c>
      <c r="C9" s="25">
        <v>32</v>
      </c>
      <c r="D9" s="42" t="s">
        <v>189</v>
      </c>
      <c r="E9" s="244">
        <v>3</v>
      </c>
      <c r="F9" s="246">
        <v>1</v>
      </c>
      <c r="G9" s="247">
        <v>10</v>
      </c>
      <c r="H9" s="36">
        <v>0</v>
      </c>
      <c r="I9" s="36">
        <v>12</v>
      </c>
      <c r="J9" s="36">
        <v>13</v>
      </c>
      <c r="K9" s="36">
        <v>4</v>
      </c>
      <c r="L9" s="36">
        <v>10</v>
      </c>
      <c r="M9" s="36">
        <v>9</v>
      </c>
      <c r="N9" s="248">
        <v>10</v>
      </c>
      <c r="O9" s="27">
        <f t="shared" si="0"/>
        <v>3.8700000000000006</v>
      </c>
      <c r="P9" s="27">
        <f t="shared" si="1"/>
        <v>8.5139999999999993</v>
      </c>
      <c r="Q9" s="27">
        <f t="shared" si="2"/>
        <v>1.9350000000000003</v>
      </c>
      <c r="R9" s="27">
        <f t="shared" si="3"/>
        <v>14.474666666666666</v>
      </c>
      <c r="S9" s="27">
        <f t="shared" si="4"/>
        <v>1.6033333333333335</v>
      </c>
      <c r="T9" s="27">
        <f t="shared" si="5"/>
        <v>3.4406666666666665</v>
      </c>
      <c r="U9" s="27">
        <f t="shared" si="6"/>
        <v>0.80166666666666675</v>
      </c>
      <c r="V9" s="27">
        <f t="shared" si="7"/>
        <v>2.7090000000000001</v>
      </c>
      <c r="W9" s="27">
        <f t="shared" si="8"/>
        <v>5.7333333333333343</v>
      </c>
      <c r="X9" s="27">
        <f t="shared" si="9"/>
        <v>1.3545</v>
      </c>
      <c r="Y9" s="27">
        <f t="shared" si="10"/>
        <v>15.333333333333334</v>
      </c>
      <c r="Z9" s="27">
        <f t="shared" si="11"/>
        <v>3.1203333333333334</v>
      </c>
      <c r="AA9" s="27">
        <f t="shared" si="12"/>
        <v>6.5856666666666674</v>
      </c>
      <c r="AB9" s="27">
        <f t="shared" si="13"/>
        <v>1.5601666666666667</v>
      </c>
      <c r="AC9" s="280">
        <v>4500</v>
      </c>
      <c r="AD9" s="281">
        <v>19.7</v>
      </c>
      <c r="AE9" s="279">
        <v>1500</v>
      </c>
      <c r="AF9" s="296"/>
      <c r="AG9" s="291">
        <f t="shared" si="14"/>
        <v>4035.6571428571424</v>
      </c>
      <c r="AH9" s="299"/>
      <c r="AI9" s="291">
        <f t="shared" si="16"/>
        <v>856.04848484848469</v>
      </c>
      <c r="AJ9" s="291"/>
    </row>
    <row r="10" spans="1:41" x14ac:dyDescent="0.25">
      <c r="A10" s="245" t="s">
        <v>1581</v>
      </c>
      <c r="B10" s="187">
        <v>30</v>
      </c>
      <c r="C10" s="25">
        <v>20</v>
      </c>
      <c r="D10" s="42" t="s">
        <v>159</v>
      </c>
      <c r="E10" s="244">
        <v>5</v>
      </c>
      <c r="F10" s="246">
        <v>1</v>
      </c>
      <c r="G10" s="247">
        <v>6</v>
      </c>
      <c r="H10" s="36">
        <v>0</v>
      </c>
      <c r="I10" s="36">
        <v>6</v>
      </c>
      <c r="J10" s="36">
        <v>12</v>
      </c>
      <c r="K10" s="36">
        <v>3</v>
      </c>
      <c r="L10" s="36">
        <v>10</v>
      </c>
      <c r="M10" s="36">
        <v>7</v>
      </c>
      <c r="N10" s="248">
        <v>20</v>
      </c>
      <c r="O10" s="27">
        <f t="shared" si="0"/>
        <v>2.1701344501381121</v>
      </c>
      <c r="P10" s="27">
        <f t="shared" si="1"/>
        <v>4.7742957903038459</v>
      </c>
      <c r="Q10" s="27">
        <f t="shared" si="2"/>
        <v>1.0850672250690561</v>
      </c>
      <c r="R10" s="27">
        <f t="shared" si="3"/>
        <v>13.25143304048288</v>
      </c>
      <c r="S10" s="27">
        <f t="shared" si="4"/>
        <v>1.5648795500664983</v>
      </c>
      <c r="T10" s="27">
        <f t="shared" si="5"/>
        <v>3.0079977551498764</v>
      </c>
      <c r="U10" s="27">
        <f t="shared" si="6"/>
        <v>0.78243977503324913</v>
      </c>
      <c r="V10" s="27">
        <f t="shared" si="7"/>
        <v>1.5190941150966784</v>
      </c>
      <c r="W10" s="27">
        <f t="shared" si="8"/>
        <v>3.2150140002046101</v>
      </c>
      <c r="X10" s="27">
        <f t="shared" si="9"/>
        <v>0.75954705754833918</v>
      </c>
      <c r="Y10" s="27">
        <f t="shared" si="10"/>
        <v>14.037535000511525</v>
      </c>
      <c r="Z10" s="27">
        <f t="shared" si="11"/>
        <v>3.0454963551294161</v>
      </c>
      <c r="AA10" s="27">
        <f t="shared" si="12"/>
        <v>6.002681785281851</v>
      </c>
      <c r="AB10" s="27">
        <f t="shared" si="13"/>
        <v>1.522748177564708</v>
      </c>
      <c r="AC10" s="304">
        <v>1500</v>
      </c>
      <c r="AD10" s="281">
        <v>10.7</v>
      </c>
      <c r="AE10" s="279">
        <v>550</v>
      </c>
      <c r="AF10" s="296">
        <v>220</v>
      </c>
      <c r="AG10" s="291">
        <f t="shared" si="14"/>
        <v>1494.1714285714286</v>
      </c>
      <c r="AH10" s="299">
        <f t="shared" si="15"/>
        <v>2166.5714285714284</v>
      </c>
      <c r="AI10" s="291">
        <f t="shared" si="16"/>
        <v>309.90222222222224</v>
      </c>
      <c r="AJ10" s="291">
        <f t="shared" si="17"/>
        <v>317.61256544502618</v>
      </c>
    </row>
    <row r="11" spans="1:41" x14ac:dyDescent="0.25">
      <c r="A11" s="245" t="s">
        <v>1582</v>
      </c>
      <c r="B11" s="187">
        <v>30</v>
      </c>
      <c r="C11" s="25">
        <v>63</v>
      </c>
      <c r="D11" s="42" t="s">
        <v>159</v>
      </c>
      <c r="E11" s="244">
        <v>3</v>
      </c>
      <c r="F11" s="246">
        <v>1</v>
      </c>
      <c r="G11" s="247">
        <v>9</v>
      </c>
      <c r="H11" s="36">
        <v>0</v>
      </c>
      <c r="I11" s="36">
        <v>6</v>
      </c>
      <c r="J11" s="36">
        <v>15.25</v>
      </c>
      <c r="K11" s="36">
        <v>2</v>
      </c>
      <c r="L11" s="36">
        <v>14</v>
      </c>
      <c r="M11" s="36">
        <v>9</v>
      </c>
      <c r="N11" s="248">
        <v>5</v>
      </c>
      <c r="O11" s="27">
        <f t="shared" si="0"/>
        <v>2.2335273033981569</v>
      </c>
      <c r="P11" s="27">
        <f t="shared" si="1"/>
        <v>4.9137600674759447</v>
      </c>
      <c r="Q11" s="27">
        <f t="shared" si="2"/>
        <v>1.1167636516990784</v>
      </c>
      <c r="R11" s="27">
        <f t="shared" si="3"/>
        <v>16.541073238547632</v>
      </c>
      <c r="S11" s="27">
        <f t="shared" si="4"/>
        <v>2.1154020349694833</v>
      </c>
      <c r="T11" s="27">
        <f t="shared" si="5"/>
        <v>3.9027907403542961</v>
      </c>
      <c r="U11" s="27">
        <f t="shared" si="6"/>
        <v>1.0577010174847417</v>
      </c>
      <c r="V11" s="27">
        <f t="shared" si="7"/>
        <v>1.5634691123787099</v>
      </c>
      <c r="W11" s="27">
        <f t="shared" si="8"/>
        <v>3.3089293383676401</v>
      </c>
      <c r="X11" s="27">
        <f t="shared" si="9"/>
        <v>0.78173455618935495</v>
      </c>
      <c r="Y11" s="27">
        <f t="shared" si="10"/>
        <v>17.522323345919101</v>
      </c>
      <c r="Z11" s="27">
        <f t="shared" si="11"/>
        <v>4.1168978065175326</v>
      </c>
      <c r="AA11" s="27">
        <f t="shared" si="12"/>
        <v>7.9160501636014242</v>
      </c>
      <c r="AB11" s="27">
        <f t="shared" si="13"/>
        <v>2.0584489032587663</v>
      </c>
      <c r="AC11" s="280">
        <v>3990</v>
      </c>
      <c r="AD11" s="281">
        <v>39</v>
      </c>
      <c r="AE11" s="279">
        <v>2400</v>
      </c>
      <c r="AF11" s="296"/>
      <c r="AG11" s="291">
        <f t="shared" si="14"/>
        <v>3813</v>
      </c>
      <c r="AH11" s="299"/>
      <c r="AI11" s="291">
        <f t="shared" si="16"/>
        <v>859.26760563380287</v>
      </c>
      <c r="AJ11" s="291"/>
    </row>
    <row r="12" spans="1:41" x14ac:dyDescent="0.25">
      <c r="A12" s="245" t="s">
        <v>1583</v>
      </c>
      <c r="B12" s="187">
        <v>30</v>
      </c>
      <c r="C12" s="25">
        <v>85</v>
      </c>
      <c r="D12" s="42" t="s">
        <v>159</v>
      </c>
      <c r="E12" s="244">
        <v>1</v>
      </c>
      <c r="F12" s="246">
        <v>1</v>
      </c>
      <c r="G12" s="247">
        <v>9</v>
      </c>
      <c r="H12" s="36">
        <v>0</v>
      </c>
      <c r="I12" s="36">
        <v>11</v>
      </c>
      <c r="J12" s="36">
        <v>14</v>
      </c>
      <c r="K12" s="36">
        <v>3</v>
      </c>
      <c r="L12" s="36">
        <v>11</v>
      </c>
      <c r="M12" s="36">
        <v>8</v>
      </c>
      <c r="N12" s="248">
        <v>2</v>
      </c>
      <c r="O12" s="27">
        <f t="shared" si="0"/>
        <v>3.5835273033981569</v>
      </c>
      <c r="P12" s="27">
        <f t="shared" si="1"/>
        <v>7.8837600674759445</v>
      </c>
      <c r="Q12" s="27">
        <f t="shared" si="2"/>
        <v>1.7917636516990785</v>
      </c>
      <c r="R12" s="27">
        <f t="shared" si="3"/>
        <v>15.361073238547631</v>
      </c>
      <c r="S12" s="27">
        <f t="shared" si="4"/>
        <v>1.725402034969483</v>
      </c>
      <c r="T12" s="27">
        <f t="shared" si="5"/>
        <v>3.3697907403542962</v>
      </c>
      <c r="U12" s="27">
        <f t="shared" si="6"/>
        <v>0.86270101748474148</v>
      </c>
      <c r="V12" s="27">
        <f t="shared" si="7"/>
        <v>2.5084691123787097</v>
      </c>
      <c r="W12" s="27">
        <f t="shared" si="8"/>
        <v>5.3089293383676406</v>
      </c>
      <c r="X12" s="27">
        <f t="shared" si="9"/>
        <v>1.2542345561893549</v>
      </c>
      <c r="Y12" s="27">
        <f t="shared" si="10"/>
        <v>16.272323345919101</v>
      </c>
      <c r="Z12" s="27">
        <f t="shared" si="11"/>
        <v>3.3578978065175322</v>
      </c>
      <c r="AA12" s="27">
        <f t="shared" si="12"/>
        <v>6.6830501636014237</v>
      </c>
      <c r="AB12" s="27">
        <f t="shared" si="13"/>
        <v>1.6789489032587661</v>
      </c>
      <c r="AC12" s="280">
        <v>3500</v>
      </c>
      <c r="AD12" s="281">
        <v>34.4</v>
      </c>
      <c r="AE12" s="279">
        <v>2100</v>
      </c>
      <c r="AF12" s="296"/>
      <c r="AG12" s="291">
        <f t="shared" si="14"/>
        <v>3468.9142857142851</v>
      </c>
      <c r="AH12" s="299">
        <f t="shared" si="15"/>
        <v>6669.7142857142853</v>
      </c>
      <c r="AI12" s="291">
        <f t="shared" si="16"/>
        <v>817.9334736842103</v>
      </c>
      <c r="AJ12" s="291">
        <f t="shared" si="17"/>
        <v>1068.6809728183118</v>
      </c>
    </row>
    <row r="13" spans="1:41" x14ac:dyDescent="0.25">
      <c r="A13" s="245"/>
      <c r="B13" s="187"/>
      <c r="C13" s="25"/>
      <c r="E13" s="244"/>
      <c r="F13" s="246"/>
      <c r="G13" s="247"/>
      <c r="H13" s="36"/>
      <c r="I13" s="36"/>
      <c r="J13" s="36"/>
      <c r="K13" s="36"/>
      <c r="L13" s="36"/>
      <c r="M13" s="36"/>
      <c r="N13" s="248"/>
      <c r="O13" s="27" t="e">
        <f t="shared" si="0"/>
        <v>#NUM!</v>
      </c>
      <c r="P13" s="27" t="e">
        <f t="shared" si="1"/>
        <v>#NUM!</v>
      </c>
      <c r="Q13" s="27" t="e">
        <f t="shared" si="2"/>
        <v>#NUM!</v>
      </c>
      <c r="R13" s="27" t="e">
        <f t="shared" si="3"/>
        <v>#NUM!</v>
      </c>
      <c r="S13" s="27" t="e">
        <f t="shared" si="4"/>
        <v>#NUM!</v>
      </c>
      <c r="T13" s="27" t="e">
        <f t="shared" si="5"/>
        <v>#NUM!</v>
      </c>
      <c r="U13" s="27" t="e">
        <f t="shared" si="6"/>
        <v>#NUM!</v>
      </c>
      <c r="V13" s="27" t="e">
        <f t="shared" si="7"/>
        <v>#NUM!</v>
      </c>
      <c r="W13" s="27" t="e">
        <f t="shared" si="8"/>
        <v>#NUM!</v>
      </c>
      <c r="X13" s="27" t="e">
        <f t="shared" si="9"/>
        <v>#NUM!</v>
      </c>
      <c r="Y13" s="27" t="e">
        <f t="shared" si="10"/>
        <v>#NUM!</v>
      </c>
      <c r="Z13" s="27" t="e">
        <f t="shared" si="11"/>
        <v>#NUM!</v>
      </c>
      <c r="AA13" s="27" t="e">
        <f t="shared" si="12"/>
        <v>#NUM!</v>
      </c>
      <c r="AB13" s="27" t="e">
        <f t="shared" si="13"/>
        <v>#NUM!</v>
      </c>
      <c r="AC13" s="280"/>
      <c r="AD13" s="281"/>
      <c r="AF13" s="296"/>
      <c r="AG13" s="291">
        <f t="shared" si="14"/>
        <v>0</v>
      </c>
      <c r="AH13" s="299">
        <f t="shared" si="15"/>
        <v>0</v>
      </c>
      <c r="AI13" s="291">
        <f t="shared" si="16"/>
        <v>0</v>
      </c>
      <c r="AJ13" s="291">
        <f t="shared" si="17"/>
        <v>0</v>
      </c>
    </row>
    <row r="14" spans="1:41" x14ac:dyDescent="0.25">
      <c r="A14" s="245"/>
      <c r="B14" s="187"/>
      <c r="C14" s="25"/>
      <c r="E14" s="244"/>
      <c r="F14" s="246"/>
      <c r="G14" s="247"/>
      <c r="H14" s="36"/>
      <c r="I14" s="36"/>
      <c r="J14" s="36"/>
      <c r="K14" s="36"/>
      <c r="L14" s="36"/>
      <c r="M14" s="36"/>
      <c r="N14" s="248"/>
      <c r="O14" s="27" t="e">
        <f t="shared" si="0"/>
        <v>#NUM!</v>
      </c>
      <c r="P14" s="27" t="e">
        <f t="shared" si="1"/>
        <v>#NUM!</v>
      </c>
      <c r="Q14" s="27" t="e">
        <f t="shared" si="2"/>
        <v>#NUM!</v>
      </c>
      <c r="R14" s="27" t="e">
        <f t="shared" si="3"/>
        <v>#NUM!</v>
      </c>
      <c r="S14" s="27" t="e">
        <f t="shared" si="4"/>
        <v>#NUM!</v>
      </c>
      <c r="T14" s="27" t="e">
        <f t="shared" si="5"/>
        <v>#NUM!</v>
      </c>
      <c r="U14" s="27" t="e">
        <f t="shared" si="6"/>
        <v>#NUM!</v>
      </c>
      <c r="V14" s="27" t="e">
        <f t="shared" si="7"/>
        <v>#NUM!</v>
      </c>
      <c r="W14" s="27" t="e">
        <f t="shared" si="8"/>
        <v>#NUM!</v>
      </c>
      <c r="X14" s="27" t="e">
        <f t="shared" si="9"/>
        <v>#NUM!</v>
      </c>
      <c r="Y14" s="27" t="e">
        <f t="shared" si="10"/>
        <v>#NUM!</v>
      </c>
      <c r="Z14" s="27" t="e">
        <f t="shared" si="11"/>
        <v>#NUM!</v>
      </c>
      <c r="AA14" s="27" t="e">
        <f t="shared" si="12"/>
        <v>#NUM!</v>
      </c>
      <c r="AB14" s="27" t="e">
        <f t="shared" si="13"/>
        <v>#NUM!</v>
      </c>
      <c r="AC14" s="305"/>
      <c r="AD14" s="306"/>
      <c r="AE14" s="297"/>
      <c r="AF14" s="298"/>
      <c r="AG14" s="300">
        <f t="shared" si="14"/>
        <v>0</v>
      </c>
      <c r="AH14" s="301">
        <f t="shared" si="15"/>
        <v>0</v>
      </c>
      <c r="AI14" s="291">
        <f t="shared" si="16"/>
        <v>0</v>
      </c>
      <c r="AJ14" s="291">
        <f t="shared" si="17"/>
        <v>0</v>
      </c>
    </row>
  </sheetData>
  <conditionalFormatting sqref="G3:G14">
    <cfRule type="cellIs" dxfId="8" priority="5" operator="greaterThan">
      <formula>7</formula>
    </cfRule>
  </conditionalFormatting>
  <conditionalFormatting sqref="O3:AB14">
    <cfRule type="cellIs" dxfId="7" priority="4" operator="greaterThan">
      <formula>12.5</formula>
    </cfRule>
  </conditionalFormatting>
  <conditionalFormatting sqref="H3:N14">
    <cfRule type="colorScale" priority="391">
      <colorScale>
        <cfvo type="min"/>
        <cfvo type="max"/>
        <color rgb="FFFCFCFF"/>
        <color rgb="FFF8696B"/>
      </colorScale>
    </cfRule>
  </conditionalFormatting>
  <conditionalFormatting sqref="S3:U14 Z3:AB14">
    <cfRule type="colorScale" priority="393">
      <colorScale>
        <cfvo type="min"/>
        <cfvo type="max"/>
        <color rgb="FFFCFCFF"/>
        <color rgb="FF63BE7B"/>
      </colorScale>
    </cfRule>
  </conditionalFormatting>
  <conditionalFormatting sqref="O3:Q14 V3:X14">
    <cfRule type="colorScale" priority="397">
      <colorScale>
        <cfvo type="min"/>
        <cfvo type="max"/>
        <color rgb="FFFCFCFF"/>
        <color rgb="FFF8696B"/>
      </colorScale>
    </cfRule>
  </conditionalFormatting>
  <conditionalFormatting sqref="R3:R14 Y3:Y14">
    <cfRule type="colorScale" priority="4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3:AJ14">
    <cfRule type="dataBar" priority="4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{1B909588-D67C-40E7-BE9F-48276713F4F4}</x14:id>
        </ext>
      </extLst>
    </cfRule>
  </conditionalFormatting>
  <conditionalFormatting sqref="AG3:AH14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{6B1DA2F3-496B-49E1-A19A-EAED362318BD}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909588-D67C-40E7-BE9F-48276713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AI3:AJ14</xm:sqref>
        </x14:conditionalFormatting>
        <x14:conditionalFormatting xmlns:xm="http://schemas.microsoft.com/office/excel/2006/main">
          <x14:cfRule type="dataBar" id="{6B1DA2F3-496B-49E1-A19A-EAED36231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J29"/>
  <sheetViews>
    <sheetView workbookViewId="0">
      <pane ySplit="2" topLeftCell="A3" activePane="bottomLeft" state="frozen"/>
      <selection pane="bottomLeft" activeCell="D13" sqref="D13"/>
    </sheetView>
  </sheetViews>
  <sheetFormatPr baseColWidth="10" defaultColWidth="10.7109375" defaultRowHeight="15" x14ac:dyDescent="0.25"/>
  <cols>
    <col min="1" max="1" width="19.85546875" bestFit="1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0" width="7.140625" style="41" customWidth="1"/>
    <col min="31" max="32" width="9" customWidth="1"/>
    <col min="33" max="34" width="8.42578125" customWidth="1"/>
  </cols>
  <sheetData>
    <row r="1" spans="1:36" s="41" customFormat="1" x14ac:dyDescent="0.25">
      <c r="D1" s="43"/>
      <c r="O1" s="41" t="s">
        <v>651</v>
      </c>
      <c r="S1" s="41" t="s">
        <v>627</v>
      </c>
      <c r="W1" s="41" t="s">
        <v>171</v>
      </c>
    </row>
    <row r="2" spans="1:36" x14ac:dyDescent="0.25">
      <c r="A2" s="250" t="s">
        <v>176</v>
      </c>
      <c r="B2" s="250" t="s">
        <v>628</v>
      </c>
      <c r="C2" s="251" t="s">
        <v>109</v>
      </c>
      <c r="D2" s="252" t="s">
        <v>290</v>
      </c>
      <c r="E2" s="253" t="s">
        <v>652</v>
      </c>
      <c r="F2" s="254" t="s">
        <v>117</v>
      </c>
      <c r="G2" s="255" t="s">
        <v>517</v>
      </c>
      <c r="H2" s="256" t="s">
        <v>149</v>
      </c>
      <c r="I2" s="256" t="s">
        <v>182</v>
      </c>
      <c r="J2" s="256" t="s">
        <v>183</v>
      </c>
      <c r="K2" s="256" t="s">
        <v>314</v>
      </c>
      <c r="L2" s="256" t="s">
        <v>185</v>
      </c>
      <c r="M2" s="256" t="s">
        <v>186</v>
      </c>
      <c r="N2" s="257" t="s">
        <v>187</v>
      </c>
      <c r="O2" s="258" t="s">
        <v>168</v>
      </c>
      <c r="P2" s="258" t="s">
        <v>637</v>
      </c>
      <c r="Q2" s="258" t="s">
        <v>638</v>
      </c>
      <c r="R2" s="259" t="s">
        <v>637</v>
      </c>
      <c r="S2" s="258" t="s">
        <v>168</v>
      </c>
      <c r="T2" s="258" t="s">
        <v>637</v>
      </c>
      <c r="U2" s="258" t="s">
        <v>638</v>
      </c>
      <c r="V2" s="259" t="s">
        <v>637</v>
      </c>
      <c r="W2" s="260" t="s">
        <v>168</v>
      </c>
      <c r="X2" s="260" t="s">
        <v>637</v>
      </c>
      <c r="Y2" s="260" t="s">
        <v>638</v>
      </c>
      <c r="Z2" s="261" t="s">
        <v>637</v>
      </c>
      <c r="AA2" s="260" t="s">
        <v>653</v>
      </c>
      <c r="AB2" s="261" t="s">
        <v>293</v>
      </c>
      <c r="AC2" s="260" t="s">
        <v>654</v>
      </c>
      <c r="AD2" s="260" t="s">
        <v>655</v>
      </c>
      <c r="AE2" s="260" t="s">
        <v>656</v>
      </c>
      <c r="AF2" s="260" t="s">
        <v>657</v>
      </c>
      <c r="AG2" s="260" t="s">
        <v>658</v>
      </c>
      <c r="AH2" s="260" t="s">
        <v>659</v>
      </c>
    </row>
    <row r="3" spans="1:36" x14ac:dyDescent="0.25">
      <c r="A3" s="276" t="s">
        <v>730</v>
      </c>
      <c r="B3" s="268">
        <v>32</v>
      </c>
      <c r="C3" s="25">
        <v>6</v>
      </c>
      <c r="D3" s="42" t="s">
        <v>162</v>
      </c>
      <c r="E3" s="269">
        <v>2</v>
      </c>
      <c r="F3" s="270">
        <v>1</v>
      </c>
      <c r="G3" s="271">
        <v>15</v>
      </c>
      <c r="H3" s="36">
        <v>0</v>
      </c>
      <c r="I3" s="36">
        <v>1</v>
      </c>
      <c r="J3" s="36">
        <v>9</v>
      </c>
      <c r="K3" s="36">
        <v>14</v>
      </c>
      <c r="L3" s="36">
        <v>11</v>
      </c>
      <c r="M3" s="36">
        <v>10.95</v>
      </c>
      <c r="N3" s="272">
        <v>12</v>
      </c>
      <c r="O3" s="27">
        <f>((J3+F3+(LOG(G3)*4/3))*0.15)</f>
        <v>1.7352182518111363</v>
      </c>
      <c r="P3" s="27">
        <f>((M3+F3+(LOG(G3)*4/3))*0.552)+((K3+F3+(LOG(G3)*4/3))*0.576)+((L3+F3+(LOG(G3)*4/3))*0.195)</f>
        <v>19.651024980974221</v>
      </c>
      <c r="Q3" s="27">
        <f>((M3+F3+(LOG(G3)*4/3))*0.607)+((L3+F3+(LOG(G3)*4/3))*0.248)</f>
        <v>11.570394035323476</v>
      </c>
      <c r="R3" s="273">
        <f>((M3+F3+(LOG(G3)*4/3))*0.223)+((K3+F3+(LOG(G3)*4/3))*0)+((L3+F3+(LOG(G3)*4/3))*0)</f>
        <v>3.0145411343592223</v>
      </c>
      <c r="S3" s="27">
        <f>((J3+F3+(LOG(G3)*4/3))*0.406)</f>
        <v>4.6966574015688094</v>
      </c>
      <c r="T3" s="27">
        <f>IF(D3="TEC",((K3+F3+(LOG(G3)*4/3))*0.15)+((L3+F3+(LOG(G3)*4/3))*0.324)+((M3+F3+(LOG(G3)*4/3))*0.127),((K3+F3+(LOG(G3)*4/3))*0.144)+((L3+F3+(LOG(G3)*4/3))*0.25)+((M3+F3+(LOG(G3)*4/3))*0.127))</f>
        <v>7.4946413946240131</v>
      </c>
      <c r="U3" s="27">
        <f>IF(D3="TEC",((L3+F3+(LOG(G3)*4/3))*0.543)+((M3+F3+(LOG(G3)*4/3))*0.583),((L3+F3+(LOG(G3)*4/3))*0.543)+((M3+F3+(LOG(G3)*4/3))*0.583))</f>
        <v>15.248555010262262</v>
      </c>
      <c r="V3" s="273">
        <f>T3</f>
        <v>7.4946413946240131</v>
      </c>
      <c r="W3" s="27">
        <f>((J3+F3+(LOG(G3)*4/3))*0.25)</f>
        <v>2.8920304196852271</v>
      </c>
      <c r="X3" s="27">
        <f>((M3+F3+(LOG(G3)*4/3))*0.26)+((K3+F3+(LOG(G3)*4/3))*0.221)+((L3+F3+(LOG(G3)*4/3))*0.142)</f>
        <v>9.1029398058555859</v>
      </c>
      <c r="Y3" s="27">
        <f>((M3+F3+(LOG(G3)*4/3))*1)+((L3+F3+(LOG(G3)*4/3))*0.369)</f>
        <v>18.524758578196302</v>
      </c>
      <c r="Z3" s="273">
        <f>X3</f>
        <v>9.1029398058555859</v>
      </c>
      <c r="AB3" s="274"/>
      <c r="AE3" s="25"/>
      <c r="AF3" s="25"/>
      <c r="AG3" s="25"/>
      <c r="AH3" s="25"/>
    </row>
    <row r="4" spans="1:36" x14ac:dyDescent="0.25">
      <c r="A4" s="276" t="s">
        <v>759</v>
      </c>
      <c r="B4" s="187">
        <v>29</v>
      </c>
      <c r="C4" s="25">
        <v>11</v>
      </c>
      <c r="E4" s="244">
        <v>1</v>
      </c>
      <c r="F4" s="246">
        <v>1</v>
      </c>
      <c r="G4" s="247">
        <v>7</v>
      </c>
      <c r="H4" s="36">
        <v>0</v>
      </c>
      <c r="I4" s="36">
        <v>4</v>
      </c>
      <c r="J4" s="36">
        <v>2</v>
      </c>
      <c r="K4" s="36">
        <v>9</v>
      </c>
      <c r="L4" s="36">
        <v>14</v>
      </c>
      <c r="M4" s="36">
        <v>13.95</v>
      </c>
      <c r="N4" s="248">
        <v>6</v>
      </c>
      <c r="O4" s="27">
        <f>((J4+F4+(LOG(G4)*4/3))*0.15)</f>
        <v>0.61901960800285127</v>
      </c>
      <c r="P4" s="27">
        <f>((M4+F4+(LOG(G4)*4/3))*0.552)+((K4+F4+(LOG(G4)*4/3))*0.576)+((L4+F4+(LOG(G4)*4/3))*0.195)</f>
        <v>18.42815294258515</v>
      </c>
      <c r="Q4" s="27">
        <f>((M4+F4+(LOG(G4)*4/3))*0.607)+((L4+F4+(LOG(G4)*4/3))*0.248)</f>
        <v>13.758061765616253</v>
      </c>
      <c r="R4" s="249">
        <f>((M4+F4+(LOG(G4)*4/3))*0.223)+((K4+F4+(LOG(G4)*4/3))*0)+((L4+F4+(LOG(G4)*4/3))*0)</f>
        <v>3.5851258172309057</v>
      </c>
      <c r="S4" s="27">
        <f>((J4+F4+(LOG(G4)*4/3))*0.406)</f>
        <v>1.6754797389943843</v>
      </c>
      <c r="T4" s="27">
        <f>IF(D4="TEC",((K4+F4+(LOG(G4)*4/3))*0.15)+((L4+F4+(LOG(G4)*4/3))*0.324)+((M4+F4+(LOG(G4)*4/3))*0.127),((K4+F4+(LOG(G4)*4/3))*0.144)+((L4+F4+(LOG(G4)*4/3))*0.25)+((M4+F4+(LOG(G4)*4/3))*0.127))</f>
        <v>7.675711438463237</v>
      </c>
      <c r="U4" s="27">
        <f>IF(D4="TEC",((L4+F4+(LOG(G4)*4/3))*0.543)+((M4+F4+(LOG(G4)*4/3))*0.583),((L4+F4+(LOG(G4)*4/3))*0.543)+((M4+F4+(LOG(G4)*4/3))*0.583))</f>
        <v>18.12962385740807</v>
      </c>
      <c r="V4" s="249">
        <f>T4</f>
        <v>7.675711438463237</v>
      </c>
      <c r="W4" s="27">
        <f>((J4+F4+(LOG(G4)*4/3))*0.25)</f>
        <v>1.0316993466714188</v>
      </c>
      <c r="X4" s="27">
        <f>((M4+F4+(LOG(G4)*4/3))*0.26)+((K4+F4+(LOG(G4)*4/3))*0.221)+((L4+F4+(LOG(G4)*4/3))*0.142)</f>
        <v>8.9289947719051774</v>
      </c>
      <c r="Y4" s="27">
        <f>((M4+F4+(LOG(G4)*4/3))*1)+((L4+F4+(LOG(G4)*4/3))*0.369)</f>
        <v>22.02758562237269</v>
      </c>
      <c r="Z4" s="249">
        <f>X4</f>
        <v>8.9289947719051774</v>
      </c>
      <c r="AB4" s="188"/>
      <c r="AE4" s="25"/>
      <c r="AF4" s="25"/>
      <c r="AG4" s="25"/>
      <c r="AH4" s="25"/>
    </row>
    <row r="5" spans="1:36" x14ac:dyDescent="0.25">
      <c r="A5" s="276" t="s">
        <v>675</v>
      </c>
      <c r="B5" s="268">
        <v>29</v>
      </c>
      <c r="C5" s="25">
        <v>102</v>
      </c>
      <c r="D5" s="42" t="s">
        <v>162</v>
      </c>
      <c r="E5" s="269">
        <v>1</v>
      </c>
      <c r="F5" s="270">
        <v>1</v>
      </c>
      <c r="G5" s="271">
        <v>8</v>
      </c>
      <c r="H5" s="36">
        <v>0</v>
      </c>
      <c r="I5" s="36">
        <v>4</v>
      </c>
      <c r="J5" s="36">
        <v>8</v>
      </c>
      <c r="K5" s="36">
        <v>11</v>
      </c>
      <c r="L5" s="36">
        <v>12</v>
      </c>
      <c r="M5" s="36">
        <v>14</v>
      </c>
      <c r="N5" s="272">
        <v>14</v>
      </c>
      <c r="O5" s="27">
        <f>((J5+F5+(LOG(G5)*4/3))*0.15)</f>
        <v>1.5306179973983887</v>
      </c>
      <c r="P5" s="27">
        <f>((M5+F5+(LOG(G5)*4/3))*0.552)+((K5+F5+(LOG(G5)*4/3))*0.576)+((L5+F5+(LOG(G5)*4/3))*0.195)</f>
        <v>19.320050737053791</v>
      </c>
      <c r="Q5" s="27">
        <f>((M5+F5+(LOG(G5)*4/3))*0.607)+((L5+F5+(LOG(G5)*4/3))*0.248)</f>
        <v>13.358522585170816</v>
      </c>
      <c r="R5" s="273">
        <f>((M5+F5+(LOG(G5)*4/3))*0.223)+((K5+F5+(LOG(G5)*4/3))*0)+((L5+F5+(LOG(G5)*4/3))*0)</f>
        <v>3.6135187561322715</v>
      </c>
      <c r="S5" s="27">
        <f>((J5+F5+(LOG(G5)*4/3))*0.406)</f>
        <v>4.1428727129583063</v>
      </c>
      <c r="T5" s="27">
        <f>IF(D5="TEC",((K5+F5+(LOG(G5)*4/3))*0.15)+((L5+F5+(LOG(G5)*4/3))*0.324)+((M5+F5+(LOG(G5)*4/3))*0.127),((K5+F5+(LOG(G5)*4/3))*0.144)+((L5+F5+(LOG(G5)*4/3))*0.25)+((M5+F5+(LOG(G5)*4/3))*0.127))</f>
        <v>7.5103465109637373</v>
      </c>
      <c r="U5" s="27">
        <f>IF(D5="TEC",((L5+F5+(LOG(G5)*4/3))*0.543)+((M5+F5+(LOG(G5)*4/3))*0.583),((L5+F5+(LOG(G5)*4/3))*0.543)+((M5+F5+(LOG(G5)*4/3))*0.583))</f>
        <v>17.15983910047057</v>
      </c>
      <c r="V5" s="273">
        <f>T5</f>
        <v>7.5103465109637373</v>
      </c>
      <c r="W5" s="27">
        <f>((J5+F5+(LOG(G5)*4/3))*0.25)</f>
        <v>2.5510299956639813</v>
      </c>
      <c r="X5" s="27">
        <f>((M5+F5+(LOG(G5)*4/3))*0.26)+((K5+F5+(LOG(G5)*4/3))*0.221)+((L5+F5+(LOG(G5)*4/3))*0.142)</f>
        <v>9.1481667491946403</v>
      </c>
      <c r="Y5" s="27">
        <f>((M5+F5+(LOG(G5)*4/3))*1)+((L5+F5+(LOG(G5)*4/3))*0.369)</f>
        <v>21.44544025625596</v>
      </c>
      <c r="Z5" s="273">
        <f>X5</f>
        <v>9.1481667491946403</v>
      </c>
      <c r="AB5" s="274"/>
      <c r="AE5" s="25"/>
      <c r="AF5" s="25"/>
      <c r="AG5" s="25"/>
      <c r="AH5" s="25"/>
    </row>
    <row r="6" spans="1:36" x14ac:dyDescent="0.25">
      <c r="A6" s="245" t="s">
        <v>1585</v>
      </c>
      <c r="B6" s="187">
        <v>30</v>
      </c>
      <c r="C6" s="25">
        <v>102</v>
      </c>
      <c r="D6" s="42" t="s">
        <v>162</v>
      </c>
      <c r="E6" s="244">
        <v>1</v>
      </c>
      <c r="F6" s="246">
        <v>1</v>
      </c>
      <c r="G6" s="247">
        <v>7</v>
      </c>
      <c r="H6" s="36">
        <v>0</v>
      </c>
      <c r="I6" s="36">
        <v>5</v>
      </c>
      <c r="J6" s="36">
        <v>8</v>
      </c>
      <c r="K6" s="36">
        <v>10</v>
      </c>
      <c r="L6" s="36">
        <v>11</v>
      </c>
      <c r="M6" s="36">
        <v>13</v>
      </c>
      <c r="N6" s="248">
        <v>8</v>
      </c>
      <c r="O6" s="27">
        <f t="shared" ref="O6:O23" si="0">((J6+F6+(LOG(G6)*4/3))*0.15)</f>
        <v>1.5190196080028513</v>
      </c>
      <c r="P6" s="27">
        <f t="shared" ref="P6:P23" si="1">((M6+F6+(LOG(G6)*4/3))*0.552)+((K6+F6+(LOG(G6)*4/3))*0.576)+((L6+F6+(LOG(G6)*4/3))*0.195)</f>
        <v>17.89475294258515</v>
      </c>
      <c r="Q6" s="27">
        <f t="shared" ref="Q6:Q23" si="2">((M6+F6+(LOG(G6)*4/3))*0.607)+((L6+F6+(LOG(G6)*4/3))*0.248)</f>
        <v>12.437411765616252</v>
      </c>
      <c r="R6" s="273">
        <f t="shared" ref="R6:R23" si="3">((M6+F6+(LOG(G6)*4/3))*0.223)+((K6+F6+(LOG(G6)*4/3))*0)+((L6+F6+(LOG(G6)*4/3))*0)</f>
        <v>3.3732758172309056</v>
      </c>
      <c r="S6" s="27">
        <f t="shared" ref="S6:S23" si="4">((J6+F6+(LOG(G6)*4/3))*0.406)</f>
        <v>4.111479738994384</v>
      </c>
      <c r="T6" s="27">
        <f t="shared" ref="T6:T23" si="5">IF(D6="TEC",((K6+F6+(LOG(G6)*4/3))*0.15)+((L6+F6+(LOG(G6)*4/3))*0.324)+((M6+F6+(LOG(G6)*4/3))*0.127),((K6+F6+(LOG(G6)*4/3))*0.144)+((L6+F6+(LOG(G6)*4/3))*0.25)+((M6+F6+(LOG(G6)*4/3))*0.127))</f>
        <v>6.9490614384632359</v>
      </c>
      <c r="U6" s="27">
        <f t="shared" ref="U6:U23" si="6">IF(D6="TEC",((L6+F6+(LOG(G6)*4/3))*0.543)+((M6+F6+(LOG(G6)*4/3))*0.583),((L6+F6+(LOG(G6)*4/3))*0.543)+((M6+F6+(LOG(G6)*4/3))*0.583))</f>
        <v>15.94677385740807</v>
      </c>
      <c r="V6" s="273">
        <f t="shared" ref="V6:V23" si="7">T6</f>
        <v>6.9490614384632359</v>
      </c>
      <c r="W6" s="27">
        <f t="shared" ref="W6:W23" si="8">((J6+F6+(LOG(G6)*4/3))*0.25)</f>
        <v>2.5316993466714188</v>
      </c>
      <c r="X6" s="27">
        <f t="shared" ref="X6:X23" si="9">((M6+F6+(LOG(G6)*4/3))*0.26)+((K6+F6+(LOG(G6)*4/3))*0.221)+((L6+F6+(LOG(G6)*4/3))*0.142)</f>
        <v>8.4769947719051757</v>
      </c>
      <c r="Y6" s="27">
        <f t="shared" ref="Y6:Y23" si="10">((M6+F6+(LOG(G6)*4/3))*1)+((L6+F6+(LOG(G6)*4/3))*0.369)</f>
        <v>19.970585622372688</v>
      </c>
      <c r="Z6" s="273">
        <f t="shared" ref="Z6:Z23" si="11">X6</f>
        <v>8.4769947719051757</v>
      </c>
      <c r="AB6" s="274"/>
      <c r="AE6" s="25"/>
      <c r="AF6" s="25"/>
      <c r="AG6" s="25"/>
      <c r="AH6" s="25"/>
    </row>
    <row r="7" spans="1:36" x14ac:dyDescent="0.25">
      <c r="A7" s="245" t="s">
        <v>1568</v>
      </c>
      <c r="B7" s="187">
        <v>29</v>
      </c>
      <c r="C7" s="25">
        <v>25</v>
      </c>
      <c r="D7" s="42" t="s">
        <v>159</v>
      </c>
      <c r="E7" s="244">
        <v>3</v>
      </c>
      <c r="F7" s="246">
        <v>1</v>
      </c>
      <c r="G7" s="247">
        <v>7</v>
      </c>
      <c r="H7" s="36">
        <v>0</v>
      </c>
      <c r="I7" s="36">
        <v>2</v>
      </c>
      <c r="J7" s="36">
        <v>12</v>
      </c>
      <c r="K7" s="36">
        <v>7</v>
      </c>
      <c r="L7" s="36">
        <v>10</v>
      </c>
      <c r="M7" s="36">
        <v>11</v>
      </c>
      <c r="N7" s="248">
        <v>1</v>
      </c>
      <c r="O7" s="27">
        <f t="shared" si="0"/>
        <v>2.1190196080028514</v>
      </c>
      <c r="P7" s="27">
        <f t="shared" si="1"/>
        <v>14.867752942585149</v>
      </c>
      <c r="Q7" s="27">
        <f t="shared" si="2"/>
        <v>10.975411765616252</v>
      </c>
      <c r="R7" s="249">
        <f t="shared" si="3"/>
        <v>2.9272758172309055</v>
      </c>
      <c r="S7" s="27">
        <f t="shared" si="4"/>
        <v>5.7354797389943846</v>
      </c>
      <c r="T7" s="27">
        <f t="shared" si="5"/>
        <v>6.0130614384632368</v>
      </c>
      <c r="U7" s="27">
        <f t="shared" si="6"/>
        <v>14.237773857408071</v>
      </c>
      <c r="V7" s="249">
        <f t="shared" si="7"/>
        <v>6.0130614384632368</v>
      </c>
      <c r="W7" s="27">
        <f t="shared" si="8"/>
        <v>3.5316993466714188</v>
      </c>
      <c r="X7" s="27">
        <f t="shared" si="9"/>
        <v>7.1519947719051746</v>
      </c>
      <c r="Y7" s="27">
        <f t="shared" si="10"/>
        <v>17.601585622372689</v>
      </c>
      <c r="Z7" s="249">
        <f t="shared" si="11"/>
        <v>7.1519947719051746</v>
      </c>
      <c r="AA7">
        <v>4740</v>
      </c>
      <c r="AB7" s="188">
        <v>20.399999999999999</v>
      </c>
      <c r="AC7" s="41">
        <v>950</v>
      </c>
      <c r="AD7" s="41">
        <v>1900</v>
      </c>
      <c r="AE7" s="25">
        <f t="shared" ref="AE7:AE11" si="12">AA7+(AB7*16*(36-B7-((112-C7)/112)))-AC7</f>
        <v>5821.2571428571428</v>
      </c>
      <c r="AF7" s="25">
        <f t="shared" ref="AF7:AF12" si="13">AA7+(AB7*16*(34-B7-((112-C7)/112)))-AD7</f>
        <v>4218.4571428571426</v>
      </c>
      <c r="AG7" s="25">
        <f t="shared" ref="AG7:AG11" si="14">(AE7)/(36-B7+((112-C7)/112))</f>
        <v>748.54282433983929</v>
      </c>
      <c r="AH7" s="25">
        <f t="shared" ref="AH7:AH17" si="15">(AF7)/(34-B7+((112-C7)/112))</f>
        <v>730.24296754250383</v>
      </c>
    </row>
    <row r="8" spans="1:36" x14ac:dyDescent="0.25">
      <c r="A8" s="245" t="s">
        <v>1531</v>
      </c>
      <c r="B8" s="187">
        <v>30</v>
      </c>
      <c r="C8" s="25">
        <v>7</v>
      </c>
      <c r="D8" s="42" t="s">
        <v>159</v>
      </c>
      <c r="E8" s="244">
        <v>5</v>
      </c>
      <c r="F8" s="246">
        <v>1</v>
      </c>
      <c r="G8" s="247">
        <v>7</v>
      </c>
      <c r="H8" s="36">
        <v>0</v>
      </c>
      <c r="I8" s="36">
        <v>4</v>
      </c>
      <c r="J8" s="36">
        <v>4</v>
      </c>
      <c r="K8" s="36">
        <v>12</v>
      </c>
      <c r="L8" s="36">
        <v>14</v>
      </c>
      <c r="M8" s="36">
        <v>11</v>
      </c>
      <c r="N8" s="248">
        <v>2</v>
      </c>
      <c r="O8" s="27">
        <f t="shared" si="0"/>
        <v>0.91901960800285121</v>
      </c>
      <c r="P8" s="27">
        <f t="shared" si="1"/>
        <v>18.527752942585149</v>
      </c>
      <c r="Q8" s="27">
        <f t="shared" si="2"/>
        <v>11.967411765616253</v>
      </c>
      <c r="R8" s="249">
        <f t="shared" si="3"/>
        <v>2.9272758172309055</v>
      </c>
      <c r="S8" s="27">
        <f t="shared" si="4"/>
        <v>2.4874797389943843</v>
      </c>
      <c r="T8" s="27">
        <f t="shared" si="5"/>
        <v>7.7330614384632366</v>
      </c>
      <c r="U8" s="27">
        <f t="shared" si="6"/>
        <v>16.409773857408073</v>
      </c>
      <c r="V8" s="249">
        <f t="shared" si="7"/>
        <v>7.7330614384632366</v>
      </c>
      <c r="W8" s="27">
        <f t="shared" si="8"/>
        <v>1.5316993466714188</v>
      </c>
      <c r="X8" s="27">
        <f t="shared" si="9"/>
        <v>8.8249947719051747</v>
      </c>
      <c r="Y8" s="27">
        <f t="shared" si="10"/>
        <v>19.077585622372691</v>
      </c>
      <c r="Z8" s="249">
        <f t="shared" si="11"/>
        <v>8.8249947719051747</v>
      </c>
      <c r="AA8">
        <v>5000</v>
      </c>
      <c r="AB8" s="188">
        <v>21.5</v>
      </c>
      <c r="AC8" s="41">
        <v>1800</v>
      </c>
      <c r="AD8" s="41">
        <v>2500</v>
      </c>
      <c r="AE8" s="25">
        <f t="shared" si="12"/>
        <v>4941.5</v>
      </c>
      <c r="AF8" s="25">
        <f t="shared" si="13"/>
        <v>3553.5</v>
      </c>
      <c r="AG8" s="25">
        <f t="shared" si="14"/>
        <v>712.2882882882883</v>
      </c>
      <c r="AH8" s="25">
        <f t="shared" si="15"/>
        <v>719.69620253164555</v>
      </c>
    </row>
    <row r="9" spans="1:36" x14ac:dyDescent="0.25">
      <c r="A9" s="245" t="s">
        <v>1571</v>
      </c>
      <c r="B9" s="187">
        <v>27</v>
      </c>
      <c r="C9" s="25">
        <v>101</v>
      </c>
      <c r="D9" s="42" t="s">
        <v>199</v>
      </c>
      <c r="E9" s="244">
        <v>2</v>
      </c>
      <c r="F9" s="246">
        <v>1</v>
      </c>
      <c r="G9" s="247">
        <v>7</v>
      </c>
      <c r="H9" s="36">
        <v>0</v>
      </c>
      <c r="I9" s="36">
        <v>5</v>
      </c>
      <c r="J9" s="36">
        <v>11</v>
      </c>
      <c r="K9" s="36">
        <v>12</v>
      </c>
      <c r="L9" s="36">
        <v>13</v>
      </c>
      <c r="M9" s="36">
        <v>13</v>
      </c>
      <c r="N9" s="248">
        <v>9</v>
      </c>
      <c r="O9" s="27">
        <f t="shared" si="0"/>
        <v>1.9690196080028513</v>
      </c>
      <c r="P9" s="27">
        <f t="shared" si="1"/>
        <v>19.436752942585152</v>
      </c>
      <c r="Q9" s="27">
        <f t="shared" si="2"/>
        <v>12.933411765616253</v>
      </c>
      <c r="R9" s="249">
        <f t="shared" si="3"/>
        <v>3.3732758172309056</v>
      </c>
      <c r="S9" s="27">
        <f t="shared" si="4"/>
        <v>5.3294797389943849</v>
      </c>
      <c r="T9" s="27">
        <f t="shared" si="5"/>
        <v>8.9412052293980917</v>
      </c>
      <c r="U9" s="27">
        <f t="shared" si="6"/>
        <v>17.03277385740807</v>
      </c>
      <c r="V9" s="249">
        <f t="shared" si="7"/>
        <v>8.9412052293980917</v>
      </c>
      <c r="W9" s="27">
        <f t="shared" si="8"/>
        <v>3.2816993466714188</v>
      </c>
      <c r="X9" s="27">
        <f t="shared" si="9"/>
        <v>9.2029947719051748</v>
      </c>
      <c r="Y9" s="27">
        <f t="shared" si="10"/>
        <v>20.708585622372688</v>
      </c>
      <c r="Z9" s="249">
        <f t="shared" si="11"/>
        <v>9.2029947719051748</v>
      </c>
      <c r="AA9">
        <v>5000</v>
      </c>
      <c r="AB9" s="188">
        <f>21.8*1.2</f>
        <v>26.16</v>
      </c>
      <c r="AC9" s="41">
        <v>1400</v>
      </c>
      <c r="AD9" s="41">
        <v>1800</v>
      </c>
      <c r="AE9" s="25">
        <f t="shared" si="12"/>
        <v>7325.9314285714281</v>
      </c>
      <c r="AF9" s="25">
        <f t="shared" si="13"/>
        <v>6088.8114285714291</v>
      </c>
      <c r="AG9" s="25">
        <f t="shared" si="14"/>
        <v>805.20541707556413</v>
      </c>
      <c r="AH9" s="25">
        <f t="shared" si="15"/>
        <v>857.79481761006298</v>
      </c>
    </row>
    <row r="10" spans="1:36" x14ac:dyDescent="0.25">
      <c r="A10" s="245" t="s">
        <v>1573</v>
      </c>
      <c r="B10" s="187">
        <v>28</v>
      </c>
      <c r="C10" s="25">
        <v>82</v>
      </c>
      <c r="D10" s="42" t="s">
        <v>169</v>
      </c>
      <c r="E10" s="244">
        <v>4</v>
      </c>
      <c r="F10" s="246">
        <v>1</v>
      </c>
      <c r="G10" s="247">
        <v>7</v>
      </c>
      <c r="H10" s="36">
        <v>0</v>
      </c>
      <c r="I10" s="36">
        <v>3</v>
      </c>
      <c r="J10" s="36">
        <v>2</v>
      </c>
      <c r="K10" s="36">
        <v>7</v>
      </c>
      <c r="L10" s="36">
        <v>13</v>
      </c>
      <c r="M10" s="36">
        <v>13</v>
      </c>
      <c r="N10" s="248">
        <v>9</v>
      </c>
      <c r="O10" s="27">
        <f t="shared" si="0"/>
        <v>0.61901960800285127</v>
      </c>
      <c r="P10" s="27">
        <f t="shared" si="1"/>
        <v>16.556752942585149</v>
      </c>
      <c r="Q10" s="27">
        <f t="shared" si="2"/>
        <v>12.933411765616253</v>
      </c>
      <c r="R10" s="249">
        <f t="shared" si="3"/>
        <v>3.3732758172309056</v>
      </c>
      <c r="S10" s="27">
        <f t="shared" si="4"/>
        <v>1.6754797389943843</v>
      </c>
      <c r="T10" s="27">
        <f t="shared" si="5"/>
        <v>7.0170614384632373</v>
      </c>
      <c r="U10" s="27">
        <f t="shared" si="6"/>
        <v>17.03277385740807</v>
      </c>
      <c r="V10" s="249">
        <f t="shared" si="7"/>
        <v>7.0170614384632373</v>
      </c>
      <c r="W10" s="27">
        <f t="shared" si="8"/>
        <v>1.0316993466714188</v>
      </c>
      <c r="X10" s="27">
        <f t="shared" si="9"/>
        <v>8.0979947719051744</v>
      </c>
      <c r="Y10" s="27">
        <f t="shared" si="10"/>
        <v>20.708585622372688</v>
      </c>
      <c r="Z10" s="249">
        <f t="shared" si="11"/>
        <v>8.0979947719051744</v>
      </c>
      <c r="AA10">
        <v>3900</v>
      </c>
      <c r="AB10" s="188">
        <v>28.2</v>
      </c>
      <c r="AC10" s="41">
        <v>1400</v>
      </c>
      <c r="AD10" s="41">
        <v>1700</v>
      </c>
      <c r="AE10" s="25">
        <f t="shared" si="12"/>
        <v>5988.7428571428572</v>
      </c>
      <c r="AF10" s="25">
        <f t="shared" si="13"/>
        <v>4786.3428571428567</v>
      </c>
      <c r="AG10" s="25">
        <f t="shared" si="14"/>
        <v>724.34038876889849</v>
      </c>
      <c r="AH10" s="25">
        <f t="shared" si="15"/>
        <v>763.63304843304832</v>
      </c>
    </row>
    <row r="11" spans="1:36" x14ac:dyDescent="0.25">
      <c r="A11" s="245" t="s">
        <v>1574</v>
      </c>
      <c r="B11" s="187">
        <v>30</v>
      </c>
      <c r="C11" s="25">
        <v>85</v>
      </c>
      <c r="D11" s="42" t="s">
        <v>169</v>
      </c>
      <c r="E11" s="244">
        <v>2</v>
      </c>
      <c r="F11" s="246">
        <v>1</v>
      </c>
      <c r="G11" s="247">
        <v>6</v>
      </c>
      <c r="H11" s="36">
        <v>0</v>
      </c>
      <c r="I11" s="36">
        <v>4</v>
      </c>
      <c r="J11" s="36">
        <v>5</v>
      </c>
      <c r="K11" s="36">
        <v>9</v>
      </c>
      <c r="L11" s="36">
        <v>12</v>
      </c>
      <c r="M11" s="36">
        <v>14</v>
      </c>
      <c r="N11" s="248">
        <v>5</v>
      </c>
      <c r="O11" s="27">
        <f t="shared" si="0"/>
        <v>1.0556302500767287</v>
      </c>
      <c r="P11" s="27">
        <f t="shared" si="1"/>
        <v>17.947658805676749</v>
      </c>
      <c r="Q11" s="27">
        <f t="shared" si="2"/>
        <v>13.216092425437354</v>
      </c>
      <c r="R11" s="249">
        <f t="shared" si="3"/>
        <v>3.5763703051140703</v>
      </c>
      <c r="S11" s="27">
        <f t="shared" si="4"/>
        <v>2.8572392102076796</v>
      </c>
      <c r="T11" s="27">
        <f t="shared" si="5"/>
        <v>7.1355557352665038</v>
      </c>
      <c r="U11" s="27">
        <f t="shared" si="6"/>
        <v>16.972264410575978</v>
      </c>
      <c r="V11" s="249">
        <f t="shared" si="7"/>
        <v>7.1355557352665038</v>
      </c>
      <c r="W11" s="27">
        <f t="shared" si="8"/>
        <v>1.7593837501278813</v>
      </c>
      <c r="X11" s="27">
        <f t="shared" si="9"/>
        <v>8.6023843053186813</v>
      </c>
      <c r="Y11" s="27">
        <f t="shared" si="10"/>
        <v>21.217385415700278</v>
      </c>
      <c r="Z11" s="249">
        <f t="shared" si="11"/>
        <v>8.6023843053186813</v>
      </c>
      <c r="AA11">
        <v>4950</v>
      </c>
      <c r="AB11" s="188">
        <v>21.7</v>
      </c>
      <c r="AC11" s="41">
        <v>2200</v>
      </c>
      <c r="AD11" s="41">
        <v>3000</v>
      </c>
      <c r="AE11" s="25">
        <f t="shared" si="12"/>
        <v>4749.5</v>
      </c>
      <c r="AF11" s="25">
        <f t="shared" si="13"/>
        <v>3255.1000000000004</v>
      </c>
      <c r="AG11" s="25">
        <f t="shared" si="14"/>
        <v>761.00715307582254</v>
      </c>
      <c r="AH11" s="25">
        <f t="shared" si="15"/>
        <v>767.51831578947372</v>
      </c>
    </row>
    <row r="12" spans="1:36" x14ac:dyDescent="0.25">
      <c r="A12" s="473" t="s">
        <v>1588</v>
      </c>
      <c r="B12" s="187">
        <v>30</v>
      </c>
      <c r="C12" s="25">
        <v>87</v>
      </c>
      <c r="D12" s="42" t="s">
        <v>159</v>
      </c>
      <c r="E12" s="244">
        <v>3</v>
      </c>
      <c r="F12" s="246">
        <v>1</v>
      </c>
      <c r="G12" s="247">
        <v>8</v>
      </c>
      <c r="H12" s="36">
        <v>0</v>
      </c>
      <c r="I12" s="36">
        <v>4</v>
      </c>
      <c r="J12" s="36">
        <v>6</v>
      </c>
      <c r="K12" s="36">
        <v>9</v>
      </c>
      <c r="L12" s="36">
        <v>14</v>
      </c>
      <c r="M12" s="36">
        <v>12</v>
      </c>
      <c r="N12" s="248">
        <v>4</v>
      </c>
      <c r="O12" s="27">
        <f>((J12+F12+(LOG(G12)*4/3))*0.15)</f>
        <v>1.2306179973983886</v>
      </c>
      <c r="P12" s="27">
        <f>((M12+F12+(LOG(G12)*4/3))*0.552)+((K12+F12+(LOG(G12)*4/3))*0.576)+((L12+F12+(LOG(G12)*4/3))*0.195)</f>
        <v>17.454050737053791</v>
      </c>
      <c r="Q12" s="27">
        <f>((M12+F12+(LOG(G12)*4/3))*0.607)+((L12+F12+(LOG(G12)*4/3))*0.248)</f>
        <v>12.640522585170816</v>
      </c>
      <c r="R12" s="249">
        <f>((M12+F12+(LOG(G12)*4/3))*0.223)+((K12+F12+(LOG(G12)*4/3))*0)+((L12+F12+(LOG(G12)*4/3))*0)</f>
        <v>3.1675187561322713</v>
      </c>
      <c r="S12" s="27">
        <f>((J12+F12+(LOG(G12)*4/3))*0.406)</f>
        <v>3.330872712958306</v>
      </c>
      <c r="T12" s="27">
        <f>IF(D12="TEC",((K12+F12+(LOG(G12)*4/3))*0.15)+((L12+F12+(LOG(G12)*4/3))*0.324)+((M12+F12+(LOG(G12)*4/3))*0.127),((K12+F12+(LOG(G12)*4/3))*0.144)+((L12+F12+(LOG(G12)*4/3))*0.25)+((M12+F12+(LOG(G12)*4/3))*0.127))</f>
        <v>7.4683465109637375</v>
      </c>
      <c r="U12" s="27">
        <f>IF(D12="TEC",((L12+F12+(LOG(G12)*4/3))*0.543)+((M12+F12+(LOG(G12)*4/3))*0.583),((L12+F12+(LOG(G12)*4/3))*0.543)+((M12+F12+(LOG(G12)*4/3))*0.583))</f>
        <v>17.079839100470572</v>
      </c>
      <c r="V12" s="249">
        <f>T12</f>
        <v>7.4683465109637375</v>
      </c>
      <c r="W12" s="27">
        <f>((J12+F12+(LOG(G12)*4/3))*0.25)</f>
        <v>2.0510299956639813</v>
      </c>
      <c r="X12" s="27">
        <f>((M12+F12+(LOG(G12)*4/3))*0.26)+((K12+F12+(LOG(G12)*4/3))*0.221)+((L12+F12+(LOG(G12)*4/3))*0.142)</f>
        <v>8.4701667491946413</v>
      </c>
      <c r="Y12" s="27">
        <f>((M12+F12+(LOG(G12)*4/3))*1)+((L12+F12+(LOG(G12)*4/3))*0.369)</f>
        <v>20.183440256255963</v>
      </c>
      <c r="Z12" s="249">
        <f>X12</f>
        <v>8.4701667491946413</v>
      </c>
      <c r="AA12" s="275">
        <v>3750</v>
      </c>
      <c r="AB12" s="188">
        <v>18.7</v>
      </c>
      <c r="AD12" s="41">
        <v>1550</v>
      </c>
      <c r="AE12" s="25"/>
      <c r="AF12" s="25">
        <f t="shared" si="13"/>
        <v>3330.0142857142855</v>
      </c>
      <c r="AG12" s="25"/>
      <c r="AH12" s="25">
        <f t="shared" si="15"/>
        <v>788.50232558139533</v>
      </c>
    </row>
    <row r="13" spans="1:36" x14ac:dyDescent="0.25">
      <c r="A13" s="473" t="s">
        <v>1587</v>
      </c>
      <c r="B13" s="187">
        <v>30</v>
      </c>
      <c r="C13" s="25">
        <v>56</v>
      </c>
      <c r="D13" s="42" t="s">
        <v>162</v>
      </c>
      <c r="E13" s="244">
        <v>4</v>
      </c>
      <c r="F13" s="246">
        <v>1</v>
      </c>
      <c r="G13" s="247">
        <v>10.8</v>
      </c>
      <c r="H13" s="36">
        <v>0</v>
      </c>
      <c r="I13" s="36">
        <v>4</v>
      </c>
      <c r="J13" s="36">
        <v>5</v>
      </c>
      <c r="K13" s="36">
        <v>10</v>
      </c>
      <c r="L13" s="36">
        <v>10</v>
      </c>
      <c r="M13" s="36">
        <v>14.5</v>
      </c>
      <c r="N13" s="248">
        <v>11</v>
      </c>
      <c r="O13" s="27">
        <f>((J13+F13+(LOG(G13)*4/3))*0.15)</f>
        <v>1.1066847510973898</v>
      </c>
      <c r="P13" s="27">
        <f>((M13+F13+(LOG(G13)*4/3))*0.552)+((K13+F13+(LOG(G13)*4/3))*0.576)+((L13+F13+(LOG(G13)*4/3))*0.195)</f>
        <v>18.859959504678979</v>
      </c>
      <c r="Q13" s="27">
        <f>((M13+F13+(LOG(G13)*4/3))*0.607)+((L13+F13+(LOG(G13)*4/3))*0.248)</f>
        <v>13.314603081255122</v>
      </c>
      <c r="R13" s="249">
        <f>((M13+F13+(LOG(G13)*4/3))*0.223)+((K13+F13+(LOG(G13)*4/3))*0)+((L13+F13+(LOG(G13)*4/3))*0)</f>
        <v>3.7637713299647868</v>
      </c>
      <c r="S13" s="27">
        <f>((J13+F13+(LOG(G13)*4/3))*0.406)</f>
        <v>2.9954267263036023</v>
      </c>
      <c r="T13" s="27">
        <f>IF(D13="TEC",((K13+F13+(LOG(G13)*4/3))*0.15)+((L13+F13+(LOG(G13)*4/3))*0.324)+((M13+F13+(LOG(G13)*4/3))*0.127),((K13+F13+(LOG(G13)*4/3))*0.144)+((L13+F13+(LOG(G13)*4/3))*0.25)+((M13+F13+(LOG(G13)*4/3))*0.127))</f>
        <v>7.0203850354782684</v>
      </c>
      <c r="U13" s="27">
        <f>IF(D13="TEC",((L13+F13+(LOG(G13)*4/3))*0.543)+((M13+F13+(LOG(G13)*4/3))*0.583),((L13+F13+(LOG(G13)*4/3))*0.543)+((M13+F13+(LOG(G13)*4/3))*0.583))</f>
        <v>16.561013531571074</v>
      </c>
      <c r="V13" s="249">
        <f>T13</f>
        <v>7.0203850354782684</v>
      </c>
      <c r="W13" s="27">
        <f>((J13+F13+(LOG(G13)*4/3))*0.25)</f>
        <v>1.8444745851623165</v>
      </c>
      <c r="X13" s="27">
        <f>((M13+F13+(LOG(G13)*4/3))*0.26)+((K13+F13+(LOG(G13)*4/3))*0.221)+((L13+F13+(LOG(G13)*4/3))*0.142)</f>
        <v>8.8814306662244924</v>
      </c>
      <c r="Y13" s="27">
        <f>((M13+F13+(LOG(G13)*4/3))*1)+((L13+F13+(LOG(G13)*4/3))*0.369)</f>
        <v>21.445342828348846</v>
      </c>
      <c r="Z13" s="249">
        <f>X13</f>
        <v>8.8814306662244924</v>
      </c>
      <c r="AA13" s="275">
        <v>5000</v>
      </c>
      <c r="AB13" s="188">
        <v>28</v>
      </c>
      <c r="AD13" s="41">
        <v>2850</v>
      </c>
      <c r="AE13" s="25"/>
      <c r="AF13" s="25">
        <f>AA13+(AB13*16*(34-B13-((112-C13)/112)))-AD13</f>
        <v>3718</v>
      </c>
      <c r="AG13" s="25"/>
      <c r="AH13" s="25">
        <f>(AF13)/(34-B13+((112-C13)/112))</f>
        <v>826.22222222222217</v>
      </c>
      <c r="AI13" s="193"/>
      <c r="AJ13" s="193"/>
    </row>
    <row r="14" spans="1:36" x14ac:dyDescent="0.25">
      <c r="A14" s="473" t="s">
        <v>1575</v>
      </c>
      <c r="B14" s="187">
        <v>30</v>
      </c>
      <c r="C14" s="25">
        <v>69</v>
      </c>
      <c r="D14" s="42" t="s">
        <v>162</v>
      </c>
      <c r="E14" s="244">
        <v>2</v>
      </c>
      <c r="F14" s="246">
        <v>1</v>
      </c>
      <c r="G14" s="247">
        <v>10.1</v>
      </c>
      <c r="H14" s="36">
        <v>0</v>
      </c>
      <c r="I14" s="36">
        <v>4</v>
      </c>
      <c r="J14" s="36">
        <v>6</v>
      </c>
      <c r="K14" s="36">
        <v>12</v>
      </c>
      <c r="L14" s="36">
        <v>10</v>
      </c>
      <c r="M14" s="36">
        <v>12</v>
      </c>
      <c r="N14" s="248">
        <v>4</v>
      </c>
      <c r="O14" s="27">
        <f t="shared" si="0"/>
        <v>1.2508642747565286</v>
      </c>
      <c r="P14" s="27">
        <f t="shared" si="1"/>
        <v>18.580622903352584</v>
      </c>
      <c r="Q14" s="27">
        <f t="shared" si="2"/>
        <v>11.763926366112212</v>
      </c>
      <c r="R14" s="249">
        <f t="shared" si="3"/>
        <v>3.197618221804706</v>
      </c>
      <c r="S14" s="27">
        <f t="shared" si="4"/>
        <v>3.3856726370076711</v>
      </c>
      <c r="T14" s="27">
        <f t="shared" si="5"/>
        <v>6.9706685809876765</v>
      </c>
      <c r="U14" s="27">
        <f t="shared" si="6"/>
        <v>15.059821155839009</v>
      </c>
      <c r="V14" s="249">
        <f t="shared" si="7"/>
        <v>6.9706685809876765</v>
      </c>
      <c r="W14" s="27">
        <f t="shared" si="8"/>
        <v>2.084773791260881</v>
      </c>
      <c r="X14" s="27">
        <f t="shared" si="9"/>
        <v>8.6492562878221158</v>
      </c>
      <c r="Y14" s="27">
        <f t="shared" si="10"/>
        <v>18.892221280944582</v>
      </c>
      <c r="Z14" s="249">
        <f t="shared" si="11"/>
        <v>8.6492562878221158</v>
      </c>
      <c r="AA14">
        <v>3800</v>
      </c>
      <c r="AB14" s="188">
        <v>16.600000000000001</v>
      </c>
      <c r="AC14" s="41">
        <v>1000</v>
      </c>
      <c r="AD14" s="41">
        <v>1900</v>
      </c>
      <c r="AE14" s="25">
        <f t="shared" ref="AE14" si="16">AA14+(AB14*16*(36-B14-((112-C14)/112)))-AC14</f>
        <v>4291.6285714285714</v>
      </c>
      <c r="AF14" s="25">
        <f t="shared" ref="AF14:AF15" si="17">AA14+(AB14*16*(34-B14-((112-C14)/112)))-AD14</f>
        <v>2860.4285714285716</v>
      </c>
      <c r="AG14" s="25">
        <f t="shared" ref="AG14" si="18">(AE14)/(36-B14+((112-C14)/112))</f>
        <v>672.25510489510486</v>
      </c>
      <c r="AH14" s="25">
        <f t="shared" si="15"/>
        <v>652.48065173116095</v>
      </c>
    </row>
    <row r="15" spans="1:36" x14ac:dyDescent="0.25">
      <c r="A15" s="473" t="s">
        <v>1589</v>
      </c>
      <c r="B15" s="187">
        <v>30</v>
      </c>
      <c r="C15" s="25">
        <v>96</v>
      </c>
      <c r="D15" s="42" t="s">
        <v>169</v>
      </c>
      <c r="E15" s="244">
        <v>4</v>
      </c>
      <c r="F15" s="246">
        <v>1</v>
      </c>
      <c r="G15" s="247">
        <v>10</v>
      </c>
      <c r="H15" s="36">
        <v>0</v>
      </c>
      <c r="I15" s="36">
        <v>3</v>
      </c>
      <c r="J15" s="36">
        <v>7</v>
      </c>
      <c r="K15" s="36">
        <v>12</v>
      </c>
      <c r="L15" s="36">
        <v>11</v>
      </c>
      <c r="M15" s="36">
        <v>14</v>
      </c>
      <c r="N15" s="248">
        <v>13</v>
      </c>
      <c r="O15" s="27">
        <f>((J15+F15+(LOG(G15)*4/3))*0.15)</f>
        <v>1.4000000000000001</v>
      </c>
      <c r="P15" s="27">
        <f>((M15+F15+(LOG(G15)*4/3))*0.552)+((K15+F15+(LOG(G15)*4/3))*0.576)+((L15+F15+(LOG(G15)*4/3))*0.195)</f>
        <v>19.872</v>
      </c>
      <c r="Q15" s="27">
        <f>((M15+F15+(LOG(G15)*4/3))*0.607)+((L15+F15+(LOG(G15)*4/3))*0.248)</f>
        <v>13.220999999999998</v>
      </c>
      <c r="R15" s="249">
        <f>((M15+F15+(LOG(G15)*4/3))*0.223)+((K15+F15+(LOG(G15)*4/3))*0)+((L15+F15+(LOG(G15)*4/3))*0)</f>
        <v>3.6423333333333332</v>
      </c>
      <c r="S15" s="27">
        <f>((J15+F15+(LOG(G15)*4/3))*0.406)</f>
        <v>3.7893333333333339</v>
      </c>
      <c r="T15" s="27">
        <f>IF(D15="TEC",((K15+F15+(LOG(G15)*4/3))*0.15)+((L15+F15+(LOG(G15)*4/3))*0.324)+((M15+F15+(LOG(G15)*4/3))*0.127),((K15+F15+(LOG(G15)*4/3))*0.144)+((L15+F15+(LOG(G15)*4/3))*0.25)+((M15+F15+(LOG(G15)*4/3))*0.127))</f>
        <v>7.4716666666666676</v>
      </c>
      <c r="U15" s="27">
        <f>IF(D15="TEC",((L15+F15+(LOG(G15)*4/3))*0.543)+((M15+F15+(LOG(G15)*4/3))*0.583),((L15+F15+(LOG(G15)*4/3))*0.543)+((M15+F15+(LOG(G15)*4/3))*0.583))</f>
        <v>16.762333333333334</v>
      </c>
      <c r="V15" s="249">
        <f>T15</f>
        <v>7.4716666666666676</v>
      </c>
      <c r="W15" s="27">
        <f>((J15+F15+(LOG(G15)*4/3))*0.25)</f>
        <v>2.3333333333333335</v>
      </c>
      <c r="X15" s="27">
        <f>((M15+F15+(LOG(G15)*4/3))*0.26)+((K15+F15+(LOG(G15)*4/3))*0.221)+((L15+F15+(LOG(G15)*4/3))*0.142)</f>
        <v>9.3076666666666661</v>
      </c>
      <c r="Y15" s="27">
        <f>((M15+F15+(LOG(G15)*4/3))*1)+((L15+F15+(LOG(G15)*4/3))*0.369)</f>
        <v>21.25333333333333</v>
      </c>
      <c r="Z15" s="249">
        <f>X15</f>
        <v>9.3076666666666661</v>
      </c>
      <c r="AA15">
        <v>6500</v>
      </c>
      <c r="AB15" s="188">
        <v>28.6</v>
      </c>
      <c r="AD15" s="41">
        <v>3900</v>
      </c>
      <c r="AE15" s="25"/>
      <c r="AF15" s="25">
        <f t="shared" si="17"/>
        <v>4365.028571428571</v>
      </c>
      <c r="AG15" s="25"/>
      <c r="AH15" s="25">
        <f t="shared" si="15"/>
        <v>1053.6275862068965</v>
      </c>
    </row>
    <row r="16" spans="1:36" x14ac:dyDescent="0.25">
      <c r="A16" s="245" t="s">
        <v>1576</v>
      </c>
      <c r="B16" s="187">
        <v>27</v>
      </c>
      <c r="C16" s="25">
        <v>34</v>
      </c>
      <c r="D16" s="42" t="s">
        <v>162</v>
      </c>
      <c r="E16" s="244">
        <v>4</v>
      </c>
      <c r="F16" s="246">
        <v>1</v>
      </c>
      <c r="G16" s="247">
        <v>8</v>
      </c>
      <c r="H16" s="36">
        <v>0</v>
      </c>
      <c r="I16" s="36">
        <v>2</v>
      </c>
      <c r="J16" s="36">
        <v>3</v>
      </c>
      <c r="K16" s="36">
        <v>16</v>
      </c>
      <c r="L16" s="36">
        <v>10</v>
      </c>
      <c r="M16" s="36">
        <v>12</v>
      </c>
      <c r="N16" s="248">
        <v>3</v>
      </c>
      <c r="O16" s="27">
        <f t="shared" si="0"/>
        <v>0.78061799739838877</v>
      </c>
      <c r="P16" s="27">
        <f t="shared" si="1"/>
        <v>20.70605073705379</v>
      </c>
      <c r="Q16" s="27">
        <f t="shared" si="2"/>
        <v>11.648522585170817</v>
      </c>
      <c r="R16" s="249">
        <f t="shared" si="3"/>
        <v>3.1675187561322713</v>
      </c>
      <c r="S16" s="27">
        <f t="shared" si="4"/>
        <v>2.1128727129583056</v>
      </c>
      <c r="T16" s="27">
        <f t="shared" si="5"/>
        <v>7.4763465109637366</v>
      </c>
      <c r="U16" s="27">
        <f t="shared" si="6"/>
        <v>14.907839100470571</v>
      </c>
      <c r="V16" s="249">
        <f t="shared" si="7"/>
        <v>7.4763465109637366</v>
      </c>
      <c r="W16" s="27">
        <f t="shared" si="8"/>
        <v>1.3010299956639813</v>
      </c>
      <c r="X16" s="27">
        <f t="shared" si="9"/>
        <v>9.4491667491946405</v>
      </c>
      <c r="Y16" s="27">
        <f t="shared" si="10"/>
        <v>18.707440256255961</v>
      </c>
      <c r="Z16" s="249">
        <f t="shared" si="11"/>
        <v>9.4491667491946405</v>
      </c>
      <c r="AA16">
        <v>5400</v>
      </c>
      <c r="AB16" s="188">
        <v>36.299999999999997</v>
      </c>
      <c r="AD16" s="41">
        <v>4450</v>
      </c>
      <c r="AE16" s="25"/>
      <c r="AF16" s="25">
        <f t="shared" ref="AF16:AF17" si="19">AA16+(AB16*16*(34-B16-((112-C16)/112)))-AD16</f>
        <v>4611.1142857142859</v>
      </c>
      <c r="AG16" s="25"/>
      <c r="AH16" s="25">
        <f t="shared" si="15"/>
        <v>599.12389791183296</v>
      </c>
    </row>
    <row r="17" spans="1:34" x14ac:dyDescent="0.25">
      <c r="A17" s="245" t="s">
        <v>1578</v>
      </c>
      <c r="B17" s="187">
        <v>30</v>
      </c>
      <c r="C17" s="25">
        <v>30</v>
      </c>
      <c r="D17" s="42" t="s">
        <v>169</v>
      </c>
      <c r="E17" s="244">
        <v>3</v>
      </c>
      <c r="F17" s="246">
        <v>1</v>
      </c>
      <c r="G17" s="247">
        <v>9</v>
      </c>
      <c r="H17" s="36">
        <v>0</v>
      </c>
      <c r="I17" s="36">
        <v>3</v>
      </c>
      <c r="J17" s="36">
        <v>3</v>
      </c>
      <c r="K17" s="36">
        <v>9</v>
      </c>
      <c r="L17" s="36">
        <v>15</v>
      </c>
      <c r="M17" s="36">
        <v>13</v>
      </c>
      <c r="N17" s="248">
        <v>15</v>
      </c>
      <c r="O17" s="27">
        <f t="shared" si="0"/>
        <v>0.79084850188786493</v>
      </c>
      <c r="P17" s="27">
        <f t="shared" si="1"/>
        <v>18.291283786650968</v>
      </c>
      <c r="Q17" s="27">
        <f t="shared" si="2"/>
        <v>13.553836460760831</v>
      </c>
      <c r="R17" s="249">
        <f t="shared" si="3"/>
        <v>3.4057281061399594</v>
      </c>
      <c r="S17" s="27">
        <f t="shared" si="4"/>
        <v>2.1405632784431545</v>
      </c>
      <c r="T17" s="27">
        <f t="shared" si="5"/>
        <v>7.8808804632238516</v>
      </c>
      <c r="U17" s="27">
        <f t="shared" si="6"/>
        <v>18.282636087504905</v>
      </c>
      <c r="V17" s="249">
        <f t="shared" si="7"/>
        <v>7.8808804632238516</v>
      </c>
      <c r="W17" s="27">
        <f t="shared" si="8"/>
        <v>1.3180808364797749</v>
      </c>
      <c r="X17" s="27">
        <f t="shared" si="9"/>
        <v>8.9146574445076006</v>
      </c>
      <c r="Y17" s="27">
        <f t="shared" si="10"/>
        <v>21.645810660563249</v>
      </c>
      <c r="Z17" s="249">
        <f t="shared" si="11"/>
        <v>8.9146574445076006</v>
      </c>
      <c r="AA17">
        <v>4300</v>
      </c>
      <c r="AB17" s="188">
        <v>28.5</v>
      </c>
      <c r="AD17" s="41">
        <v>2300</v>
      </c>
      <c r="AE17" s="25"/>
      <c r="AF17" s="25">
        <f t="shared" si="19"/>
        <v>3490.1428571428569</v>
      </c>
      <c r="AG17" s="25"/>
      <c r="AH17" s="25">
        <f t="shared" si="15"/>
        <v>737.53962264150948</v>
      </c>
    </row>
    <row r="18" spans="1:34" x14ac:dyDescent="0.25">
      <c r="A18" s="245" t="s">
        <v>1586</v>
      </c>
      <c r="B18" s="187">
        <v>29</v>
      </c>
      <c r="C18" s="25">
        <v>69</v>
      </c>
      <c r="D18" s="42" t="s">
        <v>162</v>
      </c>
      <c r="E18" s="244">
        <v>6</v>
      </c>
      <c r="F18" s="246">
        <v>1</v>
      </c>
      <c r="G18" s="247">
        <v>6</v>
      </c>
      <c r="H18" s="36">
        <v>0</v>
      </c>
      <c r="I18" s="36">
        <v>2</v>
      </c>
      <c r="J18" s="36">
        <v>11</v>
      </c>
      <c r="K18" s="36">
        <v>9</v>
      </c>
      <c r="L18" s="36">
        <v>9</v>
      </c>
      <c r="M18" s="36">
        <v>12</v>
      </c>
      <c r="N18" s="248">
        <v>12</v>
      </c>
      <c r="O18" s="27">
        <f t="shared" si="0"/>
        <v>1.9556302500767286</v>
      </c>
      <c r="P18" s="27">
        <f t="shared" si="1"/>
        <v>16.258658805676749</v>
      </c>
      <c r="Q18" s="27">
        <f t="shared" si="2"/>
        <v>11.258092425437354</v>
      </c>
      <c r="R18" s="249">
        <f t="shared" si="3"/>
        <v>3.1303703051140701</v>
      </c>
      <c r="S18" s="27">
        <f t="shared" si="4"/>
        <v>5.2932392102076795</v>
      </c>
      <c r="T18" s="27">
        <f t="shared" si="5"/>
        <v>6.1315557352665042</v>
      </c>
      <c r="U18" s="27">
        <f t="shared" si="6"/>
        <v>14.177264410575978</v>
      </c>
      <c r="V18" s="249">
        <f t="shared" si="7"/>
        <v>6.1315557352665042</v>
      </c>
      <c r="W18" s="27">
        <f t="shared" si="8"/>
        <v>3.2593837501278813</v>
      </c>
      <c r="X18" s="27">
        <f t="shared" si="9"/>
        <v>7.6563843053186798</v>
      </c>
      <c r="Y18" s="27">
        <f t="shared" si="10"/>
        <v>18.110385415700279</v>
      </c>
      <c r="Z18" s="249">
        <f t="shared" si="11"/>
        <v>7.6563843053186798</v>
      </c>
      <c r="AB18" s="188"/>
      <c r="AE18" s="25"/>
      <c r="AF18" s="25"/>
      <c r="AG18" s="25"/>
      <c r="AH18" s="25"/>
    </row>
    <row r="19" spans="1:34" x14ac:dyDescent="0.25">
      <c r="A19" s="245" t="s">
        <v>777</v>
      </c>
      <c r="B19" s="187">
        <v>29</v>
      </c>
      <c r="C19" s="25">
        <v>89</v>
      </c>
      <c r="D19" s="42" t="s">
        <v>159</v>
      </c>
      <c r="E19" s="244">
        <v>6</v>
      </c>
      <c r="F19" s="246">
        <v>1</v>
      </c>
      <c r="G19" s="247">
        <v>9</v>
      </c>
      <c r="H19" s="36">
        <v>0</v>
      </c>
      <c r="I19" s="36">
        <v>13</v>
      </c>
      <c r="J19" s="36">
        <v>6</v>
      </c>
      <c r="K19" s="36">
        <v>15</v>
      </c>
      <c r="L19" s="36">
        <v>9</v>
      </c>
      <c r="M19" s="36">
        <v>7</v>
      </c>
      <c r="N19" s="248">
        <v>16</v>
      </c>
      <c r="O19" s="27">
        <f t="shared" si="0"/>
        <v>1.240848501887865</v>
      </c>
      <c r="P19" s="27">
        <f t="shared" si="1"/>
        <v>17.265283786650969</v>
      </c>
      <c r="Q19" s="27">
        <f t="shared" si="2"/>
        <v>8.42383646076083</v>
      </c>
      <c r="R19" s="249">
        <f t="shared" si="3"/>
        <v>2.0677281061399593</v>
      </c>
      <c r="S19" s="27">
        <f t="shared" si="4"/>
        <v>3.3585632784431545</v>
      </c>
      <c r="T19" s="27">
        <f t="shared" si="5"/>
        <v>6.482880463223851</v>
      </c>
      <c r="U19" s="27">
        <f t="shared" si="6"/>
        <v>11.526636087504906</v>
      </c>
      <c r="V19" s="249">
        <f t="shared" si="7"/>
        <v>6.482880463223851</v>
      </c>
      <c r="W19" s="27">
        <f t="shared" si="8"/>
        <v>2.0680808364797749</v>
      </c>
      <c r="X19" s="27">
        <f t="shared" si="9"/>
        <v>7.8286574445075994</v>
      </c>
      <c r="Y19" s="27">
        <f t="shared" si="10"/>
        <v>13.431810660563247</v>
      </c>
      <c r="Z19" s="249">
        <f t="shared" si="11"/>
        <v>7.8286574445075994</v>
      </c>
      <c r="AB19" s="188"/>
      <c r="AE19" s="25"/>
      <c r="AF19" s="25"/>
      <c r="AG19" s="25"/>
      <c r="AH19" s="25"/>
    </row>
    <row r="20" spans="1:34" x14ac:dyDescent="0.25">
      <c r="A20" s="245" t="s">
        <v>1590</v>
      </c>
      <c r="B20" s="187">
        <v>30</v>
      </c>
      <c r="C20" s="25">
        <v>95</v>
      </c>
      <c r="D20" s="42" t="s">
        <v>159</v>
      </c>
      <c r="E20" s="244">
        <v>1</v>
      </c>
      <c r="F20" s="246">
        <v>1</v>
      </c>
      <c r="G20" s="247">
        <v>9</v>
      </c>
      <c r="H20" s="36">
        <v>0</v>
      </c>
      <c r="I20" s="36">
        <v>5</v>
      </c>
      <c r="J20" s="36">
        <v>9</v>
      </c>
      <c r="K20" s="36">
        <v>9</v>
      </c>
      <c r="L20" s="36">
        <v>12</v>
      </c>
      <c r="M20" s="36">
        <v>13.5</v>
      </c>
      <c r="N20" s="248">
        <v>12</v>
      </c>
      <c r="O20" s="27">
        <f t="shared" si="0"/>
        <v>1.690848501887865</v>
      </c>
      <c r="P20" s="27">
        <f t="shared" si="1"/>
        <v>17.982283786650967</v>
      </c>
      <c r="Q20" s="27">
        <f t="shared" si="2"/>
        <v>13.113336460760829</v>
      </c>
      <c r="R20" s="249">
        <f t="shared" si="3"/>
        <v>3.5172281061399593</v>
      </c>
      <c r="S20" s="27">
        <f t="shared" si="4"/>
        <v>4.5765632784431549</v>
      </c>
      <c r="T20" s="27">
        <f t="shared" si="5"/>
        <v>7.1943804632238511</v>
      </c>
      <c r="U20" s="27">
        <f t="shared" si="6"/>
        <v>16.945136087504906</v>
      </c>
      <c r="V20" s="249">
        <f t="shared" si="7"/>
        <v>7.1943804632238511</v>
      </c>
      <c r="W20" s="27">
        <f t="shared" si="8"/>
        <v>2.8180808364797749</v>
      </c>
      <c r="X20" s="27">
        <f t="shared" si="9"/>
        <v>8.6186574445075976</v>
      </c>
      <c r="Y20" s="27">
        <f t="shared" si="10"/>
        <v>21.038810660563247</v>
      </c>
      <c r="Z20" s="249">
        <f t="shared" si="11"/>
        <v>8.6186574445075976</v>
      </c>
      <c r="AB20" s="188"/>
      <c r="AE20" s="25"/>
      <c r="AF20" s="25"/>
      <c r="AG20" s="25"/>
      <c r="AH20" s="25"/>
    </row>
    <row r="21" spans="1:34" x14ac:dyDescent="0.25">
      <c r="A21" s="245" t="s">
        <v>1591</v>
      </c>
      <c r="B21" s="187">
        <v>28</v>
      </c>
      <c r="C21" s="25">
        <v>20</v>
      </c>
      <c r="D21" s="42" t="s">
        <v>162</v>
      </c>
      <c r="E21" s="244">
        <v>5</v>
      </c>
      <c r="F21" s="246">
        <v>1</v>
      </c>
      <c r="G21" s="247">
        <v>9</v>
      </c>
      <c r="H21" s="36">
        <v>0</v>
      </c>
      <c r="I21" s="36">
        <v>5</v>
      </c>
      <c r="J21" s="36">
        <v>3</v>
      </c>
      <c r="K21" s="36">
        <v>13</v>
      </c>
      <c r="L21" s="36">
        <v>10</v>
      </c>
      <c r="M21" s="36">
        <v>12</v>
      </c>
      <c r="N21" s="248">
        <v>11</v>
      </c>
      <c r="O21" s="27">
        <f t="shared" si="0"/>
        <v>0.79084850188786493</v>
      </c>
      <c r="P21" s="27">
        <f t="shared" si="1"/>
        <v>19.068283786650969</v>
      </c>
      <c r="Q21" s="27">
        <f t="shared" si="2"/>
        <v>11.70683646076083</v>
      </c>
      <c r="R21" s="249">
        <f t="shared" si="3"/>
        <v>3.1827281061399595</v>
      </c>
      <c r="S21" s="27">
        <f t="shared" si="4"/>
        <v>2.1405632784431545</v>
      </c>
      <c r="T21" s="27">
        <f t="shared" si="5"/>
        <v>7.0798804632238515</v>
      </c>
      <c r="U21" s="27">
        <f t="shared" si="6"/>
        <v>14.984636087504906</v>
      </c>
      <c r="V21" s="249">
        <f t="shared" si="7"/>
        <v>7.0798804632238515</v>
      </c>
      <c r="W21" s="27">
        <f t="shared" si="8"/>
        <v>1.3180808364797749</v>
      </c>
      <c r="X21" s="27">
        <f t="shared" si="9"/>
        <v>8.8286574445075985</v>
      </c>
      <c r="Y21" s="27">
        <f t="shared" si="10"/>
        <v>18.800810660563247</v>
      </c>
      <c r="Z21" s="249">
        <f t="shared" si="11"/>
        <v>8.8286574445075985</v>
      </c>
      <c r="AB21" s="188"/>
      <c r="AE21" s="25"/>
      <c r="AF21" s="25"/>
      <c r="AG21" s="25"/>
      <c r="AH21" s="25"/>
    </row>
    <row r="22" spans="1:34" x14ac:dyDescent="0.25">
      <c r="A22" s="245" t="s">
        <v>1592</v>
      </c>
      <c r="B22" s="187">
        <v>28</v>
      </c>
      <c r="C22" s="25">
        <v>109</v>
      </c>
      <c r="D22" s="42" t="s">
        <v>162</v>
      </c>
      <c r="E22" s="244">
        <v>1</v>
      </c>
      <c r="F22" s="246">
        <v>1</v>
      </c>
      <c r="G22" s="247">
        <v>9</v>
      </c>
      <c r="H22" s="36">
        <v>0</v>
      </c>
      <c r="I22" s="36">
        <v>2</v>
      </c>
      <c r="J22" s="36">
        <v>5</v>
      </c>
      <c r="K22" s="36">
        <v>7</v>
      </c>
      <c r="L22" s="36">
        <v>11</v>
      </c>
      <c r="M22" s="36">
        <v>14</v>
      </c>
      <c r="N22" s="248">
        <v>13</v>
      </c>
      <c r="O22" s="27">
        <f t="shared" si="0"/>
        <v>1.0908485018878649</v>
      </c>
      <c r="P22" s="27">
        <f t="shared" si="1"/>
        <v>16.911283786650969</v>
      </c>
      <c r="Q22" s="27">
        <f t="shared" si="2"/>
        <v>13.168836460760831</v>
      </c>
      <c r="R22" s="249">
        <f t="shared" si="3"/>
        <v>3.6287281061399597</v>
      </c>
      <c r="S22" s="27">
        <f t="shared" si="4"/>
        <v>2.9525632784431548</v>
      </c>
      <c r="T22" s="27">
        <f t="shared" si="5"/>
        <v>6.719880463223852</v>
      </c>
      <c r="U22" s="27">
        <f t="shared" si="6"/>
        <v>16.693636087504906</v>
      </c>
      <c r="V22" s="249">
        <f t="shared" si="7"/>
        <v>6.719880463223852</v>
      </c>
      <c r="W22" s="27">
        <f t="shared" si="8"/>
        <v>1.8180808364797749</v>
      </c>
      <c r="X22" s="27">
        <f t="shared" si="9"/>
        <v>8.1646574445075988</v>
      </c>
      <c r="Y22" s="27">
        <f t="shared" si="10"/>
        <v>21.16981066056325</v>
      </c>
      <c r="Z22" s="249">
        <f t="shared" si="11"/>
        <v>8.1646574445075988</v>
      </c>
      <c r="AB22" s="188"/>
      <c r="AE22" s="25"/>
      <c r="AF22" s="25"/>
      <c r="AG22" s="25"/>
      <c r="AH22" s="25"/>
    </row>
    <row r="23" spans="1:34" x14ac:dyDescent="0.25">
      <c r="A23" s="245" t="s">
        <v>1593</v>
      </c>
      <c r="B23" s="187">
        <v>30</v>
      </c>
      <c r="C23" s="25">
        <v>90</v>
      </c>
      <c r="D23" s="42" t="s">
        <v>159</v>
      </c>
      <c r="E23" s="244">
        <v>2</v>
      </c>
      <c r="F23" s="246">
        <v>1</v>
      </c>
      <c r="G23" s="247">
        <v>8</v>
      </c>
      <c r="H23" s="36">
        <v>0</v>
      </c>
      <c r="I23" s="36">
        <v>2</v>
      </c>
      <c r="J23" s="36">
        <v>11</v>
      </c>
      <c r="K23" s="36">
        <v>3</v>
      </c>
      <c r="L23" s="36">
        <v>13</v>
      </c>
      <c r="M23" s="36">
        <v>12</v>
      </c>
      <c r="N23" s="248">
        <v>19</v>
      </c>
      <c r="O23" s="27">
        <f t="shared" si="0"/>
        <v>1.9806179973983886</v>
      </c>
      <c r="P23" s="27">
        <f t="shared" si="1"/>
        <v>13.803050737053788</v>
      </c>
      <c r="Q23" s="27">
        <f t="shared" si="2"/>
        <v>12.392522585170816</v>
      </c>
      <c r="R23" s="249">
        <f t="shared" si="3"/>
        <v>3.1675187561322713</v>
      </c>
      <c r="S23" s="27">
        <f t="shared" si="4"/>
        <v>5.3608727129583063</v>
      </c>
      <c r="T23" s="27">
        <f t="shared" si="5"/>
        <v>6.3543465109637367</v>
      </c>
      <c r="U23" s="27">
        <f t="shared" si="6"/>
        <v>16.536839100470573</v>
      </c>
      <c r="V23" s="249">
        <f t="shared" si="7"/>
        <v>6.3543465109637367</v>
      </c>
      <c r="W23" s="27">
        <f t="shared" si="8"/>
        <v>3.3010299956639813</v>
      </c>
      <c r="X23" s="27">
        <f t="shared" si="9"/>
        <v>7.0021667491946413</v>
      </c>
      <c r="Y23" s="27">
        <f t="shared" si="10"/>
        <v>19.814440256255963</v>
      </c>
      <c r="Z23" s="249">
        <f t="shared" si="11"/>
        <v>7.0021667491946413</v>
      </c>
      <c r="AB23" s="188"/>
      <c r="AE23" s="25"/>
      <c r="AF23" s="25"/>
      <c r="AG23" s="25"/>
      <c r="AH23" s="25"/>
    </row>
    <row r="24" spans="1:34" x14ac:dyDescent="0.25">
      <c r="A24" s="245"/>
      <c r="B24" s="187"/>
      <c r="C24" s="25"/>
      <c r="E24" s="244"/>
      <c r="F24" s="246"/>
      <c r="G24" s="247"/>
      <c r="H24" s="36"/>
      <c r="I24" s="36"/>
      <c r="J24" s="36"/>
      <c r="K24" s="36"/>
      <c r="L24" s="36"/>
      <c r="M24" s="36"/>
      <c r="N24" s="248"/>
      <c r="O24" s="27"/>
      <c r="P24" s="27"/>
      <c r="Q24" s="27"/>
      <c r="R24" s="249"/>
      <c r="S24" s="27"/>
      <c r="T24" s="27"/>
      <c r="U24" s="27"/>
      <c r="V24" s="249"/>
      <c r="W24" s="27"/>
      <c r="X24" s="27"/>
      <c r="Y24" s="27"/>
      <c r="Z24" s="249"/>
      <c r="AB24" s="188"/>
      <c r="AE24" s="25"/>
      <c r="AF24" s="25"/>
      <c r="AG24" s="25"/>
      <c r="AH24" s="25"/>
    </row>
    <row r="25" spans="1:34" x14ac:dyDescent="0.25">
      <c r="A25" s="245"/>
      <c r="B25" s="187"/>
      <c r="C25" s="25"/>
      <c r="E25" s="244"/>
      <c r="F25" s="246"/>
      <c r="G25" s="247"/>
      <c r="H25" s="36"/>
      <c r="I25" s="36"/>
      <c r="J25" s="36"/>
      <c r="K25" s="36"/>
      <c r="L25" s="36"/>
      <c r="M25" s="36"/>
      <c r="N25" s="248"/>
      <c r="O25" s="27"/>
      <c r="P25" s="27"/>
      <c r="Q25" s="27"/>
      <c r="R25" s="249"/>
      <c r="S25" s="27"/>
      <c r="T25" s="27"/>
      <c r="U25" s="27"/>
      <c r="V25" s="249"/>
      <c r="W25" s="27"/>
      <c r="X25" s="27"/>
      <c r="Y25" s="27"/>
      <c r="Z25" s="249"/>
      <c r="AB25" s="188"/>
      <c r="AE25" s="25"/>
      <c r="AF25" s="25"/>
      <c r="AG25" s="25"/>
      <c r="AH25" s="25"/>
    </row>
    <row r="26" spans="1:34" x14ac:dyDescent="0.25">
      <c r="A26" s="245"/>
      <c r="B26" s="187"/>
      <c r="C26" s="25"/>
      <c r="E26" s="244"/>
      <c r="F26" s="246"/>
      <c r="G26" s="247"/>
      <c r="H26" s="36"/>
      <c r="I26" s="36"/>
      <c r="J26" s="36"/>
      <c r="K26" s="36"/>
      <c r="L26" s="36"/>
      <c r="M26" s="36"/>
      <c r="N26" s="248"/>
      <c r="O26" s="27"/>
      <c r="P26" s="27"/>
      <c r="Q26" s="27"/>
      <c r="R26" s="249"/>
      <c r="S26" s="27"/>
      <c r="T26" s="27"/>
      <c r="U26" s="27"/>
      <c r="V26" s="249"/>
      <c r="W26" s="27"/>
      <c r="X26" s="27"/>
      <c r="Y26" s="27"/>
      <c r="Z26" s="249"/>
      <c r="AB26" s="188"/>
      <c r="AE26" s="25"/>
      <c r="AF26" s="25"/>
      <c r="AG26" s="25"/>
      <c r="AH26" s="25"/>
    </row>
    <row r="27" spans="1:34" x14ac:dyDescent="0.25">
      <c r="A27" s="245"/>
      <c r="B27" s="187"/>
      <c r="C27" s="25"/>
      <c r="E27" s="244"/>
      <c r="F27" s="246"/>
      <c r="G27" s="247"/>
      <c r="H27" s="36"/>
      <c r="I27" s="36"/>
      <c r="J27" s="36"/>
      <c r="K27" s="36"/>
      <c r="L27" s="36"/>
      <c r="M27" s="36"/>
      <c r="N27" s="248"/>
      <c r="O27" s="27"/>
      <c r="P27" s="27"/>
      <c r="Q27" s="27"/>
      <c r="R27" s="249"/>
      <c r="S27" s="27"/>
      <c r="T27" s="27"/>
      <c r="U27" s="27"/>
      <c r="V27" s="249"/>
      <c r="W27" s="27"/>
      <c r="X27" s="27"/>
      <c r="Y27" s="27"/>
      <c r="Z27" s="249"/>
      <c r="AB27" s="188"/>
      <c r="AE27" s="25"/>
      <c r="AF27" s="25"/>
      <c r="AG27" s="25"/>
      <c r="AH27" s="25"/>
    </row>
    <row r="28" spans="1:34" x14ac:dyDescent="0.25">
      <c r="A28" s="245"/>
      <c r="B28" s="187"/>
      <c r="C28" s="25"/>
      <c r="E28" s="244"/>
      <c r="F28" s="246"/>
      <c r="G28" s="247"/>
      <c r="H28" s="36"/>
      <c r="I28" s="36"/>
      <c r="J28" s="36"/>
      <c r="K28" s="36"/>
      <c r="L28" s="36"/>
      <c r="M28" s="36"/>
      <c r="N28" s="248"/>
      <c r="O28" s="27"/>
      <c r="P28" s="27"/>
      <c r="Q28" s="27"/>
      <c r="R28" s="249"/>
      <c r="S28" s="27"/>
      <c r="T28" s="27"/>
      <c r="U28" s="27"/>
      <c r="V28" s="249"/>
      <c r="W28" s="27"/>
      <c r="X28" s="27"/>
      <c r="Y28" s="27"/>
      <c r="Z28" s="249"/>
      <c r="AB28" s="188"/>
      <c r="AE28" s="25"/>
      <c r="AF28" s="25"/>
      <c r="AG28" s="25"/>
      <c r="AH28" s="25"/>
    </row>
    <row r="29" spans="1:34" x14ac:dyDescent="0.25">
      <c r="A29" s="245"/>
      <c r="B29" s="187"/>
      <c r="C29" s="25"/>
      <c r="E29" s="244"/>
      <c r="F29" s="246"/>
      <c r="G29" s="247"/>
      <c r="H29" s="36"/>
      <c r="I29" s="36"/>
      <c r="J29" s="36"/>
      <c r="K29" s="36"/>
      <c r="L29" s="36"/>
      <c r="M29" s="36"/>
      <c r="N29" s="248"/>
      <c r="O29" s="27"/>
      <c r="P29" s="27"/>
      <c r="Q29" s="27"/>
      <c r="R29" s="249"/>
      <c r="S29" s="27"/>
      <c r="T29" s="27"/>
      <c r="U29" s="27"/>
      <c r="V29" s="249"/>
      <c r="W29" s="27"/>
      <c r="X29" s="27"/>
      <c r="Y29" s="27"/>
      <c r="Z29" s="249"/>
      <c r="AB29" s="188"/>
      <c r="AE29" s="25"/>
      <c r="AF29" s="25"/>
      <c r="AG29" s="25"/>
      <c r="AH29" s="25"/>
    </row>
  </sheetData>
  <conditionalFormatting sqref="G3:G5 G7:G21">
    <cfRule type="cellIs" dxfId="6" priority="16" operator="greaterThan">
      <formula>7</formula>
    </cfRule>
  </conditionalFormatting>
  <conditionalFormatting sqref="O17:O21 O15 O12:O13 S17:S21 S15 S12:S13 W17:W21 W15 W12:W1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P21 P15 P12:P13 R17:R21 R15 R12:R13 T17:T21 T15 T12:T13 V17:V21 V15 V12:V13 X17:X21 X15 X12:X13 Z17:Z21 Z15 Z12:Z13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Q21 Q15 Q12:Q13 U17:U21 U15 U12:U13 Y17:Y21 Y15 Y12:Y1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N5 H7:N21">
    <cfRule type="colorScale" priority="447">
      <colorScale>
        <cfvo type="min"/>
        <cfvo type="max"/>
        <color rgb="FFFCFCFF"/>
        <color rgb="FFF8696B"/>
      </colorScale>
    </cfRule>
  </conditionalFormatting>
  <conditionalFormatting sqref="G6">
    <cfRule type="cellIs" dxfId="5" priority="10" operator="greaterThan">
      <formula>7</formula>
    </cfRule>
  </conditionalFormatting>
  <conditionalFormatting sqref="H6:N6">
    <cfRule type="colorScale" priority="11">
      <colorScale>
        <cfvo type="min"/>
        <cfvo type="max"/>
        <color rgb="FFFCFCFF"/>
        <color rgb="FFF8696B"/>
      </colorScale>
    </cfRule>
  </conditionalFormatting>
  <conditionalFormatting sqref="AG3:AH21">
    <cfRule type="dataBar" priority="5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AE3:AF2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conditionalFormatting sqref="P3:Q11 P14:Q14 P16:Q16 Y3:Y11 Y14 Y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1 W14 W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9">
    <cfRule type="cellIs" dxfId="4" priority="1" operator="greaterThan">
      <formula>7</formula>
    </cfRule>
  </conditionalFormatting>
  <conditionalFormatting sqref="O22:O29 S22:S29 W22:W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P29 R22:R29 T22:T29 V22:V29 X22:X29 Z22:Z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Q29 U22:U29 Y22:Y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N29">
    <cfRule type="colorScale" priority="5">
      <colorScale>
        <cfvo type="min"/>
        <cfvo type="max"/>
        <color rgb="FFFCFCFF"/>
        <color rgb="FFF8696B"/>
      </colorScale>
    </cfRule>
  </conditionalFormatting>
  <conditionalFormatting sqref="AG22:AH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{A6362A1A-82CC-4C2D-8571-EED35FDAC463}</x14:id>
        </ext>
      </extLst>
    </cfRule>
  </conditionalFormatting>
  <conditionalFormatting sqref="AE22:AF2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{22849F8C-BE60-4BA8-BF29-AA00EB86A2AE}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AG3:AH21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AE3:AF21</xm:sqref>
        </x14:conditionalFormatting>
        <x14:conditionalFormatting xmlns:xm="http://schemas.microsoft.com/office/excel/2006/main">
          <x14:cfRule type="dataBar" id="{A6362A1A-82CC-4C2D-8571-EED35FDAC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AG22:AH29</xm:sqref>
        </x14:conditionalFormatting>
        <x14:conditionalFormatting xmlns:xm="http://schemas.microsoft.com/office/excel/2006/main">
          <x14:cfRule type="dataBar" id="{22849F8C-BE60-4BA8-BF29-AA00EB86A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AE22:AF29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616</v>
      </c>
    </row>
    <row r="2" spans="1:22" x14ac:dyDescent="0.25">
      <c r="A2" s="31" t="s">
        <v>176</v>
      </c>
      <c r="B2" s="31" t="s">
        <v>628</v>
      </c>
      <c r="C2" s="31" t="s">
        <v>109</v>
      </c>
      <c r="D2" s="51" t="s">
        <v>290</v>
      </c>
      <c r="E2" s="31" t="s">
        <v>653</v>
      </c>
      <c r="F2" s="40" t="s">
        <v>117</v>
      </c>
      <c r="G2" s="39" t="s">
        <v>293</v>
      </c>
      <c r="H2" s="32" t="s">
        <v>517</v>
      </c>
      <c r="I2" s="32" t="s">
        <v>149</v>
      </c>
      <c r="J2" s="32" t="s">
        <v>182</v>
      </c>
      <c r="K2" s="32" t="s">
        <v>183</v>
      </c>
      <c r="L2" s="32" t="s">
        <v>314</v>
      </c>
      <c r="M2" s="32" t="s">
        <v>185</v>
      </c>
      <c r="N2" s="32" t="s">
        <v>186</v>
      </c>
      <c r="O2" s="32" t="s">
        <v>187</v>
      </c>
      <c r="P2" s="34" t="s">
        <v>635</v>
      </c>
      <c r="Q2" s="34" t="s">
        <v>636</v>
      </c>
      <c r="R2" s="32" t="s">
        <v>660</v>
      </c>
      <c r="S2" s="32" t="s">
        <v>661</v>
      </c>
      <c r="T2" s="32" t="s">
        <v>662</v>
      </c>
      <c r="U2" s="32" t="s">
        <v>663</v>
      </c>
      <c r="V2" s="32" t="s">
        <v>384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191">
        <f>PLANTILLA!V4</f>
        <v>20500</v>
      </c>
      <c r="H3" s="29">
        <f>PLANTILLA!I4</f>
        <v>14</v>
      </c>
      <c r="I3" s="36">
        <f>PLANTILLA!X4</f>
        <v>15</v>
      </c>
      <c r="J3" s="36">
        <f>PLANTILLA!Y4</f>
        <v>13.214285714285714</v>
      </c>
      <c r="K3" s="36">
        <f>PLANTILLA!Z4</f>
        <v>0</v>
      </c>
      <c r="L3" s="36">
        <f>PLANTILLA!AA4</f>
        <v>2</v>
      </c>
      <c r="M3" s="36">
        <f>PLANTILLA!AB4</f>
        <v>1</v>
      </c>
      <c r="N3" s="36">
        <f>PLANTILLA!AC4</f>
        <v>1</v>
      </c>
      <c r="O3" s="36">
        <f>PLANTILLA!AD4</f>
        <v>19</v>
      </c>
      <c r="P3" s="27">
        <f t="shared" ref="P3:P10" ca="1" si="0">((I3+F3+(LOG(H3)*4/3))*0.597)+((J3+F3+(LOG(H3)*4/3))*0.276)</f>
        <v>14.809235890672326</v>
      </c>
      <c r="Q3" s="27">
        <f t="shared" ref="Q3:Q10" ca="1" si="1">((I3+F3+(LOG(H3)*4/3))*0.866)+((J3+F3+(LOG(H3)*4/3))*0.425)</f>
        <v>21.869939820652235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191">
        <f>PLANTILLA!V5</f>
        <v>830</v>
      </c>
      <c r="H4" s="29">
        <f>PLANTILLA!I5</f>
        <v>2.2999999999999998</v>
      </c>
      <c r="I4" s="36">
        <f>PLANTILLA!X5</f>
        <v>5.95</v>
      </c>
      <c r="J4" s="36">
        <f>PLANTILLA!Y5</f>
        <v>6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7</v>
      </c>
      <c r="P4" s="27">
        <f t="shared" ca="1" si="0"/>
        <v>6.5022012011244783</v>
      </c>
      <c r="Q4" s="27">
        <f t="shared" ca="1" si="1"/>
        <v>9.6163541817316158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664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191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665</v>
      </c>
      <c r="B6">
        <v>23</v>
      </c>
      <c r="C6">
        <v>53</v>
      </c>
      <c r="E6" s="45">
        <v>9282257</v>
      </c>
      <c r="F6" s="104">
        <f t="shared" ca="1" si="3"/>
        <v>1</v>
      </c>
      <c r="G6" s="191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666</v>
      </c>
      <c r="B7">
        <v>23</v>
      </c>
      <c r="C7">
        <v>18</v>
      </c>
      <c r="D7" t="s">
        <v>159</v>
      </c>
      <c r="E7" s="45">
        <v>9000000</v>
      </c>
      <c r="F7" s="104">
        <f t="shared" ca="1" si="3"/>
        <v>1</v>
      </c>
      <c r="G7" s="191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667</v>
      </c>
      <c r="B8">
        <v>23</v>
      </c>
      <c r="C8">
        <v>14</v>
      </c>
      <c r="E8" s="45">
        <v>10250000</v>
      </c>
      <c r="F8" s="104">
        <f t="shared" ca="1" si="3"/>
        <v>1</v>
      </c>
      <c r="G8" s="191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191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191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AS30"/>
  <sheetViews>
    <sheetView workbookViewId="0">
      <selection activeCell="P6" sqref="P6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 t="e">
        <f>SUM(N3:N15)</f>
        <v>#REF!</v>
      </c>
      <c r="AH1" s="77" t="e">
        <f>SUM(AH3:AH15)</f>
        <v>#REF!</v>
      </c>
    </row>
    <row r="2" spans="1:45" x14ac:dyDescent="0.25">
      <c r="A2" s="96" t="s">
        <v>289</v>
      </c>
      <c r="B2" s="96" t="s">
        <v>105</v>
      </c>
      <c r="C2" s="96" t="s">
        <v>290</v>
      </c>
      <c r="D2" s="96" t="s">
        <v>107</v>
      </c>
      <c r="E2" s="96" t="s">
        <v>291</v>
      </c>
      <c r="F2" s="96" t="s">
        <v>292</v>
      </c>
      <c r="G2" s="96" t="s">
        <v>127</v>
      </c>
      <c r="H2" s="96" t="s">
        <v>128</v>
      </c>
      <c r="I2" s="96" t="s">
        <v>129</v>
      </c>
      <c r="J2" s="96" t="s">
        <v>130</v>
      </c>
      <c r="K2" s="96" t="s">
        <v>131</v>
      </c>
      <c r="L2" s="96" t="s">
        <v>132</v>
      </c>
      <c r="M2" s="96" t="s">
        <v>110</v>
      </c>
      <c r="N2" s="96" t="s">
        <v>293</v>
      </c>
      <c r="O2" s="96" t="s">
        <v>294</v>
      </c>
      <c r="P2" s="96" t="s">
        <v>295</v>
      </c>
      <c r="Q2" s="96" t="s">
        <v>296</v>
      </c>
      <c r="R2" s="96" t="s">
        <v>297</v>
      </c>
      <c r="S2" s="96" t="s">
        <v>298</v>
      </c>
      <c r="T2" s="96" t="s">
        <v>299</v>
      </c>
      <c r="U2" s="96" t="s">
        <v>300</v>
      </c>
      <c r="V2" s="96" t="s">
        <v>301</v>
      </c>
      <c r="X2" s="13" t="s">
        <v>289</v>
      </c>
      <c r="Y2" s="13" t="s">
        <v>291</v>
      </c>
      <c r="Z2" s="13" t="s">
        <v>292</v>
      </c>
      <c r="AA2" s="13" t="s">
        <v>127</v>
      </c>
      <c r="AB2" s="13" t="s">
        <v>128</v>
      </c>
      <c r="AC2" s="13" t="s">
        <v>129</v>
      </c>
      <c r="AD2" s="13" t="s">
        <v>130</v>
      </c>
      <c r="AE2" s="13" t="s">
        <v>131</v>
      </c>
      <c r="AF2" s="13" t="s">
        <v>132</v>
      </c>
      <c r="AG2" s="13" t="s">
        <v>110</v>
      </c>
      <c r="AH2" s="13" t="s">
        <v>293</v>
      </c>
      <c r="AI2" s="13" t="s">
        <v>294</v>
      </c>
      <c r="AJ2" s="13" t="s">
        <v>295</v>
      </c>
      <c r="AK2" s="13" t="s">
        <v>296</v>
      </c>
      <c r="AL2" s="13" t="s">
        <v>297</v>
      </c>
      <c r="AM2" s="13" t="s">
        <v>298</v>
      </c>
      <c r="AN2" s="13" t="s">
        <v>299</v>
      </c>
      <c r="AO2" s="13" t="s">
        <v>300</v>
      </c>
      <c r="AP2" s="13" t="s">
        <v>301</v>
      </c>
    </row>
    <row r="3" spans="1:45" x14ac:dyDescent="0.25">
      <c r="A3" t="s">
        <v>148</v>
      </c>
      <c r="B3" s="18" t="s">
        <v>149</v>
      </c>
      <c r="C3" s="6"/>
      <c r="D3" s="6" t="s">
        <v>302</v>
      </c>
      <c r="E3" s="6">
        <f>PLANTILLA!E4</f>
        <v>32</v>
      </c>
      <c r="F3" s="20">
        <f ca="1">PLANTILLA!F4</f>
        <v>2</v>
      </c>
      <c r="G3" s="89">
        <f>PLANTILLA!X4</f>
        <v>15</v>
      </c>
      <c r="H3" s="89">
        <f>PLANTILLA!Y4</f>
        <v>13.214285714285714</v>
      </c>
      <c r="I3" s="89">
        <f>PLANTILLA!Z4</f>
        <v>0</v>
      </c>
      <c r="J3" s="89">
        <f>PLANTILLA!AA4</f>
        <v>2</v>
      </c>
      <c r="K3" s="89">
        <f>PLANTILLA!AB4</f>
        <v>1</v>
      </c>
      <c r="L3" s="89">
        <f>PLANTILLA!AC4</f>
        <v>1</v>
      </c>
      <c r="M3" s="89">
        <f>PLANTILLA!AD4</f>
        <v>19</v>
      </c>
      <c r="N3" s="37">
        <f>PLANTILLA!V4</f>
        <v>20500</v>
      </c>
      <c r="O3" s="42">
        <v>51.5</v>
      </c>
      <c r="P3" s="42">
        <v>62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194">
        <f t="shared" ref="V3:V15" si="0">SUM(O3:U3)</f>
        <v>131.5</v>
      </c>
      <c r="X3" t="s">
        <v>148</v>
      </c>
      <c r="Y3" s="6">
        <f>E3</f>
        <v>32</v>
      </c>
      <c r="Z3" s="6">
        <f ca="1">F3+(7*$AR$8)</f>
        <v>2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2</v>
      </c>
      <c r="AE3" s="55">
        <f>K3</f>
        <v>1</v>
      </c>
      <c r="AF3" s="55">
        <f>L3</f>
        <v>1</v>
      </c>
      <c r="AG3" s="55">
        <f>M3</f>
        <v>19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62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194">
        <f t="shared" ref="AP3:AP15" si="9">SUM(AI3:AO3)</f>
        <v>131.5</v>
      </c>
    </row>
    <row r="4" spans="1:45" x14ac:dyDescent="0.25">
      <c r="A4" t="s">
        <v>151</v>
      </c>
      <c r="B4" s="18" t="s">
        <v>182</v>
      </c>
      <c r="C4" s="6"/>
      <c r="D4" s="6" t="s">
        <v>303</v>
      </c>
      <c r="E4" s="6" t="e">
        <f>PLANTILLA!#REF!</f>
        <v>#REF!</v>
      </c>
      <c r="F4" s="20" t="e">
        <f>PLANTILLA!#REF!</f>
        <v>#REF!</v>
      </c>
      <c r="G4" s="89" t="e">
        <f>PLANTILLA!#REF!</f>
        <v>#REF!</v>
      </c>
      <c r="H4" s="89" t="e">
        <f>PLANTILLA!#REF!</f>
        <v>#REF!</v>
      </c>
      <c r="I4" s="89" t="e">
        <f>PLANTILLA!#REF!</f>
        <v>#REF!</v>
      </c>
      <c r="J4" s="89" t="e">
        <f>PLANTILLA!#REF!</f>
        <v>#REF!</v>
      </c>
      <c r="K4" s="89" t="e">
        <f>PLANTILLA!#REF!</f>
        <v>#REF!</v>
      </c>
      <c r="L4" s="89" t="e">
        <f>PLANTILLA!#REF!</f>
        <v>#REF!</v>
      </c>
      <c r="M4" s="89" t="e">
        <f>PLANTILLA!#REF!</f>
        <v>#REF!</v>
      </c>
      <c r="N4" s="37" t="e">
        <f>PLANTILLA!#REF!</f>
        <v>#REF!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194">
        <f t="shared" si="0"/>
        <v>165.3</v>
      </c>
      <c r="X4" t="s">
        <v>151</v>
      </c>
      <c r="Y4" s="6" t="e">
        <f>E4</f>
        <v>#REF!</v>
      </c>
      <c r="Z4" s="6" t="e">
        <f>F4+(7*$AR$8)</f>
        <v>#REF!</v>
      </c>
      <c r="AA4" s="55" t="e">
        <f t="shared" si="1"/>
        <v>#REF!</v>
      </c>
      <c r="AB4" s="55">
        <f>15+3/18</f>
        <v>15.166666666666666</v>
      </c>
      <c r="AC4" s="55" t="e">
        <f t="shared" ref="AC4:AC15" si="10">I4</f>
        <v>#REF!</v>
      </c>
      <c r="AD4" s="55">
        <f>5+2/10</f>
        <v>5.2</v>
      </c>
      <c r="AE4" s="55" t="e">
        <f t="shared" ref="AE4:AE15" si="11">K4</f>
        <v>#REF!</v>
      </c>
      <c r="AF4" s="55" t="e">
        <f t="shared" ref="AF4:AF15" si="12">L4</f>
        <v>#REF!</v>
      </c>
      <c r="AG4" s="55" t="e">
        <f t="shared" ref="AG4:AG15" si="13">M4</f>
        <v>#REF!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194">
        <f t="shared" si="9"/>
        <v>165.3</v>
      </c>
    </row>
    <row r="5" spans="1:45" x14ac:dyDescent="0.25">
      <c r="A5" t="s">
        <v>160</v>
      </c>
      <c r="B5" s="18" t="s">
        <v>182</v>
      </c>
      <c r="C5" s="6"/>
      <c r="D5" s="6" t="s">
        <v>304</v>
      </c>
      <c r="E5" s="6">
        <f>PLANTILLA!E7</f>
        <v>32</v>
      </c>
      <c r="F5" s="20">
        <f ca="1">PLANTILLA!F7</f>
        <v>30</v>
      </c>
      <c r="G5" s="89">
        <f>PLANTILLA!X7</f>
        <v>0</v>
      </c>
      <c r="H5" s="89">
        <f>PLANTILLA!Y7</f>
        <v>15</v>
      </c>
      <c r="I5" s="89">
        <f>PLANTILLA!Z7</f>
        <v>3.4569444444444448</v>
      </c>
      <c r="J5" s="89">
        <f>PLANTILLA!AA7</f>
        <v>9.4</v>
      </c>
      <c r="K5" s="89">
        <f>PLANTILLA!AB7</f>
        <v>12</v>
      </c>
      <c r="L5" s="89">
        <f>PLANTILLA!AC7</f>
        <v>3.95</v>
      </c>
      <c r="M5" s="89">
        <f>PLANTILLA!AD7</f>
        <v>17</v>
      </c>
      <c r="N5" s="37">
        <f>PLANTILLA!V7</f>
        <v>18780</v>
      </c>
      <c r="O5" s="42">
        <v>0</v>
      </c>
      <c r="P5" s="42">
        <v>83</v>
      </c>
      <c r="Q5" s="42">
        <v>3</v>
      </c>
      <c r="R5" s="42">
        <v>15.5</v>
      </c>
      <c r="S5" s="42">
        <v>43</v>
      </c>
      <c r="T5" s="42">
        <v>5</v>
      </c>
      <c r="U5" s="42">
        <v>16</v>
      </c>
      <c r="V5" s="194">
        <f t="shared" si="0"/>
        <v>165.5</v>
      </c>
      <c r="X5" t="s">
        <v>160</v>
      </c>
      <c r="Y5" s="6">
        <f>E5</f>
        <v>32</v>
      </c>
      <c r="Z5" s="6">
        <f ca="1">F5+(7*$AR$8)</f>
        <v>30</v>
      </c>
      <c r="AA5" s="55">
        <f t="shared" si="1"/>
        <v>0</v>
      </c>
      <c r="AB5" s="55">
        <f>13+5/12</f>
        <v>13.416666666666666</v>
      </c>
      <c r="AC5" s="55">
        <f t="shared" si="10"/>
        <v>3.4569444444444448</v>
      </c>
      <c r="AD5" s="55">
        <f>7+1/12</f>
        <v>7.083333333333333</v>
      </c>
      <c r="AE5" s="55">
        <f t="shared" si="11"/>
        <v>12</v>
      </c>
      <c r="AF5" s="55">
        <f t="shared" si="12"/>
        <v>3.95</v>
      </c>
      <c r="AG5" s="55">
        <f t="shared" si="13"/>
        <v>17</v>
      </c>
      <c r="AH5" s="37">
        <f>(195+13000+190)*1.008</f>
        <v>13492.08</v>
      </c>
      <c r="AI5" s="42">
        <f t="shared" si="2"/>
        <v>0</v>
      </c>
      <c r="AJ5" s="42">
        <f t="shared" si="3"/>
        <v>83</v>
      </c>
      <c r="AK5" s="42">
        <f t="shared" si="4"/>
        <v>3</v>
      </c>
      <c r="AL5" s="42">
        <f t="shared" si="5"/>
        <v>15.5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194">
        <f t="shared" si="9"/>
        <v>165.5</v>
      </c>
    </row>
    <row r="6" spans="1:45" x14ac:dyDescent="0.25">
      <c r="A6" t="s">
        <v>154</v>
      </c>
      <c r="B6" s="18" t="s">
        <v>182</v>
      </c>
      <c r="C6" s="6"/>
      <c r="D6" s="6" t="s">
        <v>305</v>
      </c>
      <c r="E6" s="6">
        <f>PLANTILLA!E6</f>
        <v>31</v>
      </c>
      <c r="F6" s="20">
        <f ca="1">PLANTILLA!F6</f>
        <v>92</v>
      </c>
      <c r="G6" s="89">
        <f>PLANTILLA!X6</f>
        <v>0</v>
      </c>
      <c r="H6" s="89">
        <f>PLANTILLA!Y6</f>
        <v>16.043478260869566</v>
      </c>
      <c r="I6" s="89">
        <f>PLANTILLA!Z6</f>
        <v>5.25</v>
      </c>
      <c r="J6" s="89">
        <f>PLANTILLA!AA6</f>
        <v>9</v>
      </c>
      <c r="K6" s="89">
        <f>PLANTILLA!AB6</f>
        <v>9</v>
      </c>
      <c r="L6" s="89">
        <f>PLANTILLA!AC6</f>
        <v>1</v>
      </c>
      <c r="M6" s="89">
        <f>PLANTILLA!AD6</f>
        <v>17</v>
      </c>
      <c r="N6" s="37">
        <f>PLANTILLA!V6</f>
        <v>30200</v>
      </c>
      <c r="O6" s="42">
        <v>0</v>
      </c>
      <c r="P6" s="42">
        <v>105</v>
      </c>
      <c r="Q6" s="42">
        <v>9</v>
      </c>
      <c r="R6" s="42">
        <v>14.5</v>
      </c>
      <c r="S6" s="42">
        <v>22</v>
      </c>
      <c r="T6" s="42">
        <v>0</v>
      </c>
      <c r="U6" s="42">
        <v>14</v>
      </c>
      <c r="V6" s="194">
        <f t="shared" si="0"/>
        <v>164.5</v>
      </c>
      <c r="X6" t="s">
        <v>154</v>
      </c>
      <c r="Y6" s="6">
        <f>E6</f>
        <v>31</v>
      </c>
      <c r="Z6" s="6">
        <f ca="1">F6+(7*$AR$8)</f>
        <v>92</v>
      </c>
      <c r="AA6" s="55">
        <f t="shared" si="1"/>
        <v>0</v>
      </c>
      <c r="AB6" s="55">
        <f>15+3/18</f>
        <v>15.166666666666666</v>
      </c>
      <c r="AC6" s="55">
        <f t="shared" si="10"/>
        <v>5.25</v>
      </c>
      <c r="AD6" s="55">
        <f>J6+(0.5*AR9)/4</f>
        <v>9</v>
      </c>
      <c r="AE6" s="55">
        <f t="shared" si="11"/>
        <v>9</v>
      </c>
      <c r="AF6" s="55">
        <f t="shared" si="12"/>
        <v>1</v>
      </c>
      <c r="AG6" s="55">
        <f t="shared" si="13"/>
        <v>17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105</v>
      </c>
      <c r="AK6" s="42">
        <f t="shared" si="4"/>
        <v>9</v>
      </c>
      <c r="AL6" s="42">
        <f t="shared" si="5"/>
        <v>14.5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194">
        <f t="shared" si="9"/>
        <v>164.5</v>
      </c>
    </row>
    <row r="7" spans="1:45" x14ac:dyDescent="0.25">
      <c r="A7" t="s">
        <v>163</v>
      </c>
      <c r="B7" s="18" t="s">
        <v>182</v>
      </c>
      <c r="C7" s="6"/>
      <c r="D7" s="6" t="s">
        <v>306</v>
      </c>
      <c r="E7" s="6">
        <f>PLANTILLA!E8</f>
        <v>32</v>
      </c>
      <c r="F7" s="20">
        <f ca="1">PLANTILLA!F8</f>
        <v>15</v>
      </c>
      <c r="G7" s="89">
        <f>PLANTILLA!X8</f>
        <v>0</v>
      </c>
      <c r="H7" s="89">
        <f>PLANTILLA!Y8</f>
        <v>13.1875</v>
      </c>
      <c r="I7" s="89">
        <f>PLANTILLA!Z8</f>
        <v>11.666666666666666</v>
      </c>
      <c r="J7" s="89">
        <f>PLANTILLA!AA8</f>
        <v>5.25</v>
      </c>
      <c r="K7" s="89">
        <f>PLANTILLA!AB8</f>
        <v>11.142857142857142</v>
      </c>
      <c r="L7" s="89">
        <f>PLANTILLA!AC8</f>
        <v>4</v>
      </c>
      <c r="M7" s="89">
        <f>PLANTILLA!AD8</f>
        <v>17</v>
      </c>
      <c r="N7" s="37">
        <f>PLANTILLA!V8</f>
        <v>13100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194">
        <f t="shared" si="0"/>
        <v>161.5</v>
      </c>
      <c r="X7" t="s">
        <v>163</v>
      </c>
      <c r="Y7" s="6">
        <f>E7</f>
        <v>32</v>
      </c>
      <c r="Z7" s="6">
        <f ca="1">F7+(7*$AR$8)</f>
        <v>15</v>
      </c>
      <c r="AA7" s="55">
        <f t="shared" si="1"/>
        <v>0</v>
      </c>
      <c r="AB7" s="55">
        <f>11+7/10</f>
        <v>11.7</v>
      </c>
      <c r="AC7" s="55">
        <f t="shared" si="10"/>
        <v>11.666666666666666</v>
      </c>
      <c r="AD7" s="55">
        <f>J7</f>
        <v>5.25</v>
      </c>
      <c r="AE7" s="55">
        <f t="shared" si="11"/>
        <v>11.142857142857142</v>
      </c>
      <c r="AF7" s="55">
        <f t="shared" si="12"/>
        <v>4</v>
      </c>
      <c r="AG7" s="55">
        <f t="shared" si="13"/>
        <v>17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194">
        <f t="shared" si="9"/>
        <v>161.5</v>
      </c>
      <c r="AR7" s="90" t="s">
        <v>133</v>
      </c>
      <c r="AS7" s="90" t="s">
        <v>307</v>
      </c>
    </row>
    <row r="8" spans="1:45" x14ac:dyDescent="0.25">
      <c r="A8" t="s">
        <v>167</v>
      </c>
      <c r="B8" s="18" t="s">
        <v>182</v>
      </c>
      <c r="C8" s="6"/>
      <c r="D8" s="6" t="s">
        <v>308</v>
      </c>
      <c r="E8" s="6">
        <f>PLANTILLA!E9</f>
        <v>32</v>
      </c>
      <c r="F8" s="20">
        <f ca="1">PLANTILLA!F9</f>
        <v>58</v>
      </c>
      <c r="G8" s="89">
        <f>PLANTILLA!X9</f>
        <v>0</v>
      </c>
      <c r="H8" s="89">
        <f>PLANTILLA!Y9</f>
        <v>15</v>
      </c>
      <c r="I8" s="89">
        <f>PLANTILLA!Z9</f>
        <v>6</v>
      </c>
      <c r="J8" s="89">
        <f>PLANTILLA!AA9</f>
        <v>3.3333333333333335</v>
      </c>
      <c r="K8" s="89">
        <f>PLANTILLA!AB9</f>
        <v>12.222222222222221</v>
      </c>
      <c r="L8" s="89">
        <f>PLANTILLA!AC9</f>
        <v>5.95</v>
      </c>
      <c r="M8" s="89">
        <f>PLANTILLA!AD9</f>
        <v>17</v>
      </c>
      <c r="N8" s="37">
        <f>PLANTILLA!V9</f>
        <v>19100</v>
      </c>
      <c r="O8" s="42">
        <v>0</v>
      </c>
      <c r="P8" s="42">
        <v>83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194">
        <f t="shared" si="0"/>
        <v>161.5</v>
      </c>
      <c r="X8" t="s">
        <v>167</v>
      </c>
      <c r="Y8" s="6">
        <f>E8+1</f>
        <v>33</v>
      </c>
      <c r="Z8" s="6">
        <f ca="1">F8+(7*$AR$8)-112</f>
        <v>-54</v>
      </c>
      <c r="AA8" s="55">
        <f t="shared" si="1"/>
        <v>0</v>
      </c>
      <c r="AB8" s="55">
        <f>H8</f>
        <v>15</v>
      </c>
      <c r="AC8" s="55">
        <f t="shared" si="10"/>
        <v>6</v>
      </c>
      <c r="AD8" s="55">
        <f>J8</f>
        <v>3.3333333333333335</v>
      </c>
      <c r="AE8" s="55">
        <f t="shared" si="11"/>
        <v>12.222222222222221</v>
      </c>
      <c r="AF8" s="55">
        <f t="shared" si="12"/>
        <v>5.95</v>
      </c>
      <c r="AG8" s="55">
        <f t="shared" si="13"/>
        <v>17</v>
      </c>
      <c r="AH8" s="37"/>
      <c r="AI8" s="42">
        <f t="shared" si="2"/>
        <v>0</v>
      </c>
      <c r="AJ8" s="42">
        <f t="shared" si="3"/>
        <v>83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194">
        <f t="shared" si="9"/>
        <v>161.5</v>
      </c>
      <c r="AQ8" s="90" t="s">
        <v>182</v>
      </c>
      <c r="AR8" s="54">
        <v>0</v>
      </c>
      <c r="AS8" s="97">
        <f>AR8/16</f>
        <v>0</v>
      </c>
    </row>
    <row r="9" spans="1:45" x14ac:dyDescent="0.25">
      <c r="A9" t="s">
        <v>156</v>
      </c>
      <c r="B9" s="18" t="s">
        <v>182</v>
      </c>
      <c r="C9" s="6" t="s">
        <v>159</v>
      </c>
      <c r="D9" s="6" t="s">
        <v>309</v>
      </c>
      <c r="E9" s="6">
        <f>PLANTILLA!E10</f>
        <v>31</v>
      </c>
      <c r="F9" s="20">
        <f ca="1">PLANTILLA!F10</f>
        <v>107</v>
      </c>
      <c r="G9" s="89">
        <f>PLANTILLA!X10</f>
        <v>0</v>
      </c>
      <c r="H9" s="89">
        <f>PLANTILLA!Y10</f>
        <v>14.375</v>
      </c>
      <c r="I9" s="89">
        <f>PLANTILLA!Z10</f>
        <v>5</v>
      </c>
      <c r="J9" s="89">
        <f>PLANTILLA!AA10</f>
        <v>14</v>
      </c>
      <c r="K9" s="89">
        <f>PLANTILLA!AB10</f>
        <v>9</v>
      </c>
      <c r="L9" s="89">
        <f>PLANTILLA!AC10</f>
        <v>6.95</v>
      </c>
      <c r="M9" s="89">
        <f>PLANTILLA!AD10</f>
        <v>18</v>
      </c>
      <c r="N9" s="37">
        <f>PLANTILLA!V10</f>
        <v>21560</v>
      </c>
      <c r="O9" s="42">
        <v>0</v>
      </c>
      <c r="P9" s="42">
        <v>76</v>
      </c>
      <c r="Q9" s="42">
        <v>6</v>
      </c>
      <c r="R9" s="42">
        <v>40.5</v>
      </c>
      <c r="S9" s="42">
        <v>18</v>
      </c>
      <c r="T9" s="42">
        <v>16</v>
      </c>
      <c r="U9" s="42">
        <v>16</v>
      </c>
      <c r="V9" s="194">
        <f t="shared" si="0"/>
        <v>172.5</v>
      </c>
      <c r="X9" t="s">
        <v>156</v>
      </c>
      <c r="Y9" s="6">
        <f>E9</f>
        <v>31</v>
      </c>
      <c r="Z9" s="6">
        <f ca="1">F9+(7*$AR$8)</f>
        <v>107</v>
      </c>
      <c r="AA9" s="55">
        <f t="shared" si="1"/>
        <v>0</v>
      </c>
      <c r="AB9" s="55">
        <f>12+10/11</f>
        <v>12.909090909090908</v>
      </c>
      <c r="AC9" s="55">
        <f t="shared" si="10"/>
        <v>5</v>
      </c>
      <c r="AD9" s="55">
        <v>12.5</v>
      </c>
      <c r="AE9" s="55">
        <f t="shared" si="11"/>
        <v>9</v>
      </c>
      <c r="AF9" s="55">
        <f t="shared" si="12"/>
        <v>6.95</v>
      </c>
      <c r="AG9" s="55">
        <f t="shared" si="13"/>
        <v>18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76</v>
      </c>
      <c r="AK9" s="42">
        <f t="shared" si="4"/>
        <v>6</v>
      </c>
      <c r="AL9" s="42">
        <f t="shared" si="5"/>
        <v>40.5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194">
        <f t="shared" si="9"/>
        <v>172.5</v>
      </c>
      <c r="AR9" s="98"/>
      <c r="AS9" s="98"/>
    </row>
    <row r="10" spans="1:45" x14ac:dyDescent="0.25">
      <c r="A10" t="s">
        <v>164</v>
      </c>
      <c r="B10" s="18" t="s">
        <v>182</v>
      </c>
      <c r="C10" s="6" t="s">
        <v>159</v>
      </c>
      <c r="D10" s="6" t="s">
        <v>310</v>
      </c>
      <c r="E10" s="6">
        <f>PLANTILLA!E12</f>
        <v>31</v>
      </c>
      <c r="F10" s="20">
        <f ca="1">PLANTILLA!F12</f>
        <v>107</v>
      </c>
      <c r="G10" s="89">
        <f>PLANTILLA!X12</f>
        <v>0</v>
      </c>
      <c r="H10" s="89">
        <f>PLANTILLA!Y12</f>
        <v>13.333333333333334</v>
      </c>
      <c r="I10" s="89">
        <f>PLANTILLA!Z12</f>
        <v>5</v>
      </c>
      <c r="J10" s="89">
        <f>PLANTILLA!AA12</f>
        <v>14</v>
      </c>
      <c r="K10" s="89">
        <f>PLANTILLA!AB12</f>
        <v>10</v>
      </c>
      <c r="L10" s="89">
        <f>PLANTILLA!AC12</f>
        <v>6.95</v>
      </c>
      <c r="M10" s="89">
        <f>PLANTILLA!AD12</f>
        <v>18</v>
      </c>
      <c r="N10" s="37">
        <f>PLANTILLA!V12</f>
        <v>16090</v>
      </c>
      <c r="O10" s="42">
        <v>0</v>
      </c>
      <c r="P10" s="42">
        <v>62</v>
      </c>
      <c r="Q10" s="42">
        <v>3.5</v>
      </c>
      <c r="R10" s="29">
        <v>42</v>
      </c>
      <c r="S10" s="42">
        <v>24</v>
      </c>
      <c r="T10" s="42">
        <v>17</v>
      </c>
      <c r="U10" s="42">
        <v>17</v>
      </c>
      <c r="V10" s="194">
        <f t="shared" si="0"/>
        <v>165.5</v>
      </c>
      <c r="X10" t="s">
        <v>164</v>
      </c>
      <c r="Y10" s="6">
        <f>E10</f>
        <v>31</v>
      </c>
      <c r="Z10" s="6">
        <f ca="1">F10+(7*$AR$8)</f>
        <v>107</v>
      </c>
      <c r="AA10" s="55">
        <f t="shared" si="1"/>
        <v>0</v>
      </c>
      <c r="AB10" s="55">
        <v>12</v>
      </c>
      <c r="AC10" s="55">
        <f t="shared" si="10"/>
        <v>5</v>
      </c>
      <c r="AD10" s="55">
        <v>11.9</v>
      </c>
      <c r="AE10" s="55">
        <f t="shared" si="11"/>
        <v>10</v>
      </c>
      <c r="AF10" s="55">
        <f t="shared" si="12"/>
        <v>6.95</v>
      </c>
      <c r="AG10" s="55">
        <f t="shared" si="13"/>
        <v>18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62</v>
      </c>
      <c r="AK10" s="42">
        <f t="shared" si="4"/>
        <v>3.5</v>
      </c>
      <c r="AL10" s="29">
        <f t="shared" si="5"/>
        <v>42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194">
        <f t="shared" si="9"/>
        <v>165.5</v>
      </c>
      <c r="AR10" s="98"/>
      <c r="AS10" s="98"/>
    </row>
    <row r="11" spans="1:45" x14ac:dyDescent="0.25">
      <c r="A11" t="s">
        <v>157</v>
      </c>
      <c r="B11" s="18" t="s">
        <v>311</v>
      </c>
      <c r="C11" s="6" t="s">
        <v>162</v>
      </c>
      <c r="D11" s="6" t="s">
        <v>312</v>
      </c>
      <c r="E11" s="6" t="e">
        <f>PLANTILLA!#REF!</f>
        <v>#REF!</v>
      </c>
      <c r="F11" s="20" t="e">
        <f>PLANTILLA!#REF!</f>
        <v>#REF!</v>
      </c>
      <c r="G11" s="89" t="e">
        <f>PLANTILLA!#REF!</f>
        <v>#REF!</v>
      </c>
      <c r="H11" s="89" t="e">
        <f>PLANTILLA!#REF!</f>
        <v>#REF!</v>
      </c>
      <c r="I11" s="89" t="e">
        <f>PLANTILLA!#REF!</f>
        <v>#REF!</v>
      </c>
      <c r="J11" s="89" t="e">
        <f>PLANTILLA!#REF!</f>
        <v>#REF!</v>
      </c>
      <c r="K11" s="89" t="e">
        <f>PLANTILLA!#REF!</f>
        <v>#REF!</v>
      </c>
      <c r="L11" s="89" t="e">
        <f>PLANTILLA!#REF!</f>
        <v>#REF!</v>
      </c>
      <c r="M11" s="89" t="e">
        <f>PLANTILLA!#REF!</f>
        <v>#REF!</v>
      </c>
      <c r="N11" s="37" t="e">
        <f>PLANTILLA!#REF!</f>
        <v>#REF!</v>
      </c>
      <c r="O11" s="42">
        <v>0</v>
      </c>
      <c r="P11" s="42">
        <v>62.5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194">
        <f t="shared" si="0"/>
        <v>159</v>
      </c>
      <c r="X11" t="s">
        <v>157</v>
      </c>
      <c r="Y11" s="6" t="e">
        <f>E11</f>
        <v>#REF!</v>
      </c>
      <c r="Z11" s="6" t="e">
        <f>F11+(7*$AR$8)</f>
        <v>#REF!</v>
      </c>
      <c r="AA11" s="55" t="e">
        <f t="shared" si="1"/>
        <v>#REF!</v>
      </c>
      <c r="AB11" s="55" t="e">
        <f>H11+2/10</f>
        <v>#REF!</v>
      </c>
      <c r="AC11" s="55" t="e">
        <f t="shared" si="10"/>
        <v>#REF!</v>
      </c>
      <c r="AD11" s="55" t="e">
        <f>J11</f>
        <v>#REF!</v>
      </c>
      <c r="AE11" s="55" t="e">
        <f t="shared" si="11"/>
        <v>#REF!</v>
      </c>
      <c r="AF11" s="55" t="e">
        <f t="shared" si="12"/>
        <v>#REF!</v>
      </c>
      <c r="AG11" s="55" t="e">
        <f t="shared" si="13"/>
        <v>#REF!</v>
      </c>
      <c r="AH11" s="37" t="e">
        <f>N11</f>
        <v>#REF!</v>
      </c>
      <c r="AI11" s="42">
        <f t="shared" si="2"/>
        <v>0</v>
      </c>
      <c r="AJ11" s="42">
        <f t="shared" si="3"/>
        <v>62.5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194">
        <f t="shared" si="9"/>
        <v>159</v>
      </c>
    </row>
    <row r="12" spans="1:45" x14ac:dyDescent="0.25">
      <c r="A12" t="s">
        <v>313</v>
      </c>
      <c r="B12" s="18" t="s">
        <v>311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194">
        <f t="shared" si="0"/>
        <v>0</v>
      </c>
      <c r="X12" t="s">
        <v>313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194">
        <f t="shared" si="9"/>
        <v>0</v>
      </c>
    </row>
    <row r="13" spans="1:45" x14ac:dyDescent="0.25">
      <c r="A13" t="s">
        <v>165</v>
      </c>
      <c r="B13" s="18" t="s">
        <v>314</v>
      </c>
      <c r="C13" s="6" t="s">
        <v>162</v>
      </c>
      <c r="D13" s="6" t="s">
        <v>315</v>
      </c>
      <c r="E13" s="6">
        <f>PLANTILLA!E13</f>
        <v>31</v>
      </c>
      <c r="F13" s="20">
        <f ca="1">PLANTILLA!F13</f>
        <v>103</v>
      </c>
      <c r="G13" s="89">
        <f>PLANTILLA!X13</f>
        <v>0</v>
      </c>
      <c r="H13" s="89">
        <f>PLANTILLA!Y13</f>
        <v>12.666666666666666</v>
      </c>
      <c r="I13" s="89">
        <f>PLANTILLA!Z13</f>
        <v>7</v>
      </c>
      <c r="J13" s="89">
        <f>PLANTILLA!AA13</f>
        <v>16</v>
      </c>
      <c r="K13" s="89">
        <f>PLANTILLA!AB13</f>
        <v>10</v>
      </c>
      <c r="L13" s="89">
        <f>PLANTILLA!AC13</f>
        <v>7.8</v>
      </c>
      <c r="M13" s="89">
        <f>PLANTILLA!AD13</f>
        <v>19</v>
      </c>
      <c r="N13" s="37">
        <f>PLANTILLA!V13</f>
        <v>23860</v>
      </c>
      <c r="O13" s="42">
        <v>0</v>
      </c>
      <c r="P13" s="42">
        <v>52</v>
      </c>
      <c r="Q13" s="42">
        <v>11</v>
      </c>
      <c r="R13" s="42">
        <v>55</v>
      </c>
      <c r="S13" s="42">
        <v>23</v>
      </c>
      <c r="T13" s="42">
        <v>20</v>
      </c>
      <c r="U13" s="42">
        <v>18</v>
      </c>
      <c r="V13" s="194">
        <f t="shared" si="0"/>
        <v>179</v>
      </c>
      <c r="X13" t="s">
        <v>165</v>
      </c>
      <c r="Y13" s="6">
        <f>E13</f>
        <v>31</v>
      </c>
      <c r="Z13" s="6">
        <f ca="1">F13+(7*$AR$8)</f>
        <v>103</v>
      </c>
      <c r="AA13" s="55">
        <f t="shared" si="1"/>
        <v>0</v>
      </c>
      <c r="AB13" s="55">
        <f>10+6/9</f>
        <v>10.666666666666666</v>
      </c>
      <c r="AC13" s="55">
        <f t="shared" si="10"/>
        <v>7</v>
      </c>
      <c r="AD13" s="55">
        <v>14</v>
      </c>
      <c r="AE13" s="55">
        <f t="shared" si="11"/>
        <v>10</v>
      </c>
      <c r="AF13" s="55">
        <f t="shared" si="12"/>
        <v>7.8</v>
      </c>
      <c r="AG13" s="55">
        <f t="shared" si="13"/>
        <v>19</v>
      </c>
      <c r="AH13" s="37">
        <f>(11610+300+145+150+1200)*1.016</f>
        <v>13619.48</v>
      </c>
      <c r="AI13" s="42">
        <f t="shared" si="2"/>
        <v>0</v>
      </c>
      <c r="AJ13" s="42">
        <f>P13+$AR$8</f>
        <v>52</v>
      </c>
      <c r="AK13" s="42">
        <f t="shared" si="4"/>
        <v>11</v>
      </c>
      <c r="AL13" s="42">
        <f t="shared" si="5"/>
        <v>55</v>
      </c>
      <c r="AM13" s="42">
        <f t="shared" si="6"/>
        <v>23</v>
      </c>
      <c r="AN13" s="42">
        <f t="shared" si="7"/>
        <v>20</v>
      </c>
      <c r="AO13" s="42">
        <f t="shared" si="8"/>
        <v>18</v>
      </c>
      <c r="AP13" s="194">
        <f t="shared" si="9"/>
        <v>179</v>
      </c>
    </row>
    <row r="14" spans="1:45" x14ac:dyDescent="0.25">
      <c r="A14" t="s">
        <v>316</v>
      </c>
      <c r="B14" s="18" t="s">
        <v>314</v>
      </c>
      <c r="C14" s="6" t="s">
        <v>162</v>
      </c>
      <c r="D14" s="6" t="s">
        <v>317</v>
      </c>
      <c r="E14" s="6">
        <f>PLANTILLA!E11</f>
        <v>31</v>
      </c>
      <c r="F14" s="20">
        <f ca="1">PLANTILLA!F11</f>
        <v>68</v>
      </c>
      <c r="G14" s="89">
        <f>PLANTILLA!X11</f>
        <v>0</v>
      </c>
      <c r="H14" s="89">
        <f>PLANTILLA!Y11</f>
        <v>14</v>
      </c>
      <c r="I14" s="89">
        <f>PLANTILLA!Z11</f>
        <v>5</v>
      </c>
      <c r="J14" s="89">
        <f>PLANTILLA!AA11</f>
        <v>15.111111111111111</v>
      </c>
      <c r="K14" s="89">
        <f>PLANTILLA!AB11</f>
        <v>10</v>
      </c>
      <c r="L14" s="89">
        <f>PLANTILLA!AC11</f>
        <v>6.95</v>
      </c>
      <c r="M14" s="89">
        <f>PLANTILLA!AD11</f>
        <v>18</v>
      </c>
      <c r="N14" s="37">
        <f>PLANTILLA!V11</f>
        <v>22110</v>
      </c>
      <c r="O14" s="42">
        <v>0</v>
      </c>
      <c r="P14" s="42">
        <v>68</v>
      </c>
      <c r="Q14" s="42">
        <v>3.5</v>
      </c>
      <c r="R14" s="42">
        <v>46.5</v>
      </c>
      <c r="S14" s="42">
        <v>26</v>
      </c>
      <c r="T14" s="42">
        <v>16</v>
      </c>
      <c r="U14" s="42">
        <v>17</v>
      </c>
      <c r="V14" s="194">
        <f t="shared" si="0"/>
        <v>177</v>
      </c>
      <c r="X14" t="s">
        <v>316</v>
      </c>
      <c r="Y14" s="6">
        <f>E14+1</f>
        <v>32</v>
      </c>
      <c r="Z14" s="6">
        <f ca="1">F14+(7*$AR$8)-112</f>
        <v>-44</v>
      </c>
      <c r="AA14" s="55">
        <f t="shared" si="1"/>
        <v>0</v>
      </c>
      <c r="AB14" s="55">
        <f>12+2/11</f>
        <v>12.181818181818182</v>
      </c>
      <c r="AC14" s="55">
        <f t="shared" si="10"/>
        <v>5</v>
      </c>
      <c r="AD14" s="55">
        <f>12+5/6</f>
        <v>12.833333333333334</v>
      </c>
      <c r="AE14" s="55">
        <f t="shared" si="11"/>
        <v>10</v>
      </c>
      <c r="AF14" s="55">
        <f t="shared" si="12"/>
        <v>6.95</v>
      </c>
      <c r="AG14" s="55">
        <f t="shared" si="13"/>
        <v>18</v>
      </c>
      <c r="AH14" s="37">
        <f>(7000+165+125+245+3505)*1.012</f>
        <v>11172.48</v>
      </c>
      <c r="AI14" s="42">
        <f t="shared" si="2"/>
        <v>0</v>
      </c>
      <c r="AJ14" s="42">
        <f>P14+$AR$8</f>
        <v>68</v>
      </c>
      <c r="AK14" s="42">
        <f t="shared" si="4"/>
        <v>3.5</v>
      </c>
      <c r="AL14" s="42">
        <f t="shared" si="5"/>
        <v>46.5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194">
        <f t="shared" si="9"/>
        <v>177</v>
      </c>
    </row>
    <row r="15" spans="1:45" x14ac:dyDescent="0.25">
      <c r="A15" t="s">
        <v>153</v>
      </c>
      <c r="B15" s="18" t="s">
        <v>314</v>
      </c>
      <c r="C15" s="6" t="s">
        <v>159</v>
      </c>
      <c r="D15" s="6" t="s">
        <v>318</v>
      </c>
      <c r="E15" s="6">
        <f>PLANTILLA!E14</f>
        <v>31</v>
      </c>
      <c r="F15" s="20">
        <f ca="1">PLANTILLA!F14</f>
        <v>103</v>
      </c>
      <c r="G15" s="89">
        <f>PLANTILLA!X14</f>
        <v>0</v>
      </c>
      <c r="H15" s="89">
        <f>PLANTILLA!Y14</f>
        <v>13</v>
      </c>
      <c r="I15" s="89">
        <f>PLANTILLA!Z14</f>
        <v>6.4</v>
      </c>
      <c r="J15" s="89">
        <f>PLANTILLA!AA14</f>
        <v>15</v>
      </c>
      <c r="K15" s="89">
        <f>PLANTILLA!AB14</f>
        <v>9</v>
      </c>
      <c r="L15" s="89">
        <f>PLANTILLA!AC14</f>
        <v>7.95</v>
      </c>
      <c r="M15" s="89">
        <f>PLANTILLA!AD14</f>
        <v>18</v>
      </c>
      <c r="N15" s="37">
        <f>PLANTILLA!V14</f>
        <v>18700</v>
      </c>
      <c r="O15" s="42">
        <v>0</v>
      </c>
      <c r="P15" s="42">
        <v>55</v>
      </c>
      <c r="Q15" s="42">
        <v>10</v>
      </c>
      <c r="R15" s="42">
        <v>46.5</v>
      </c>
      <c r="S15" s="42">
        <v>20</v>
      </c>
      <c r="T15" s="42">
        <v>21</v>
      </c>
      <c r="U15" s="42">
        <v>16</v>
      </c>
      <c r="V15" s="194">
        <f t="shared" si="0"/>
        <v>168.5</v>
      </c>
      <c r="X15" t="s">
        <v>153</v>
      </c>
      <c r="Y15" s="6">
        <f>E15</f>
        <v>31</v>
      </c>
      <c r="Z15" s="6">
        <f ca="1">F15+(7*$AR$8)</f>
        <v>103</v>
      </c>
      <c r="AA15" s="55">
        <f t="shared" si="1"/>
        <v>0</v>
      </c>
      <c r="AB15" s="55">
        <f>11+1/10</f>
        <v>11.1</v>
      </c>
      <c r="AC15" s="55">
        <f t="shared" si="10"/>
        <v>6.4</v>
      </c>
      <c r="AD15" s="55">
        <f>13+2/6</f>
        <v>13.333333333333334</v>
      </c>
      <c r="AE15" s="55">
        <f t="shared" si="11"/>
        <v>9</v>
      </c>
      <c r="AF15" s="55">
        <f t="shared" si="12"/>
        <v>7.95</v>
      </c>
      <c r="AG15" s="55">
        <f t="shared" si="13"/>
        <v>18</v>
      </c>
      <c r="AH15" s="37">
        <f>(9000+135+135+350+3900)*1.012</f>
        <v>13682.24</v>
      </c>
      <c r="AI15" s="42">
        <f t="shared" si="2"/>
        <v>0</v>
      </c>
      <c r="AJ15" s="42">
        <f>P15+$AR$8</f>
        <v>55</v>
      </c>
      <c r="AK15" s="42">
        <f t="shared" si="4"/>
        <v>10</v>
      </c>
      <c r="AL15" s="42">
        <f t="shared" si="5"/>
        <v>46.5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194">
        <f t="shared" si="9"/>
        <v>168.5</v>
      </c>
    </row>
    <row r="16" spans="1:45" x14ac:dyDescent="0.25">
      <c r="N16" s="77" t="e">
        <f>SUM(N18:N30)</f>
        <v>#REF!</v>
      </c>
      <c r="AH16" s="77">
        <f>SUM(AH18:AH30)</f>
        <v>236304.655</v>
      </c>
    </row>
    <row r="17" spans="1:45" x14ac:dyDescent="0.25">
      <c r="A17" s="13" t="s">
        <v>289</v>
      </c>
      <c r="B17" s="13" t="s">
        <v>105</v>
      </c>
      <c r="C17" s="13" t="s">
        <v>290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127</v>
      </c>
      <c r="H17" s="13" t="s">
        <v>128</v>
      </c>
      <c r="I17" s="13" t="s">
        <v>129</v>
      </c>
      <c r="J17" s="13" t="s">
        <v>130</v>
      </c>
      <c r="K17" s="13" t="s">
        <v>131</v>
      </c>
      <c r="L17" s="13" t="s">
        <v>132</v>
      </c>
      <c r="M17" s="13" t="s">
        <v>110</v>
      </c>
      <c r="N17" s="13" t="s">
        <v>293</v>
      </c>
      <c r="O17" s="13" t="s">
        <v>294</v>
      </c>
      <c r="P17" s="13" t="s">
        <v>295</v>
      </c>
      <c r="Q17" s="13" t="s">
        <v>296</v>
      </c>
      <c r="R17" s="13" t="s">
        <v>297</v>
      </c>
      <c r="S17" s="13" t="s">
        <v>298</v>
      </c>
      <c r="T17" s="13" t="s">
        <v>299</v>
      </c>
      <c r="U17" s="13" t="s">
        <v>300</v>
      </c>
      <c r="V17" s="13" t="s">
        <v>301</v>
      </c>
      <c r="X17" s="13" t="s">
        <v>289</v>
      </c>
      <c r="Y17" s="13" t="str">
        <f>Y2</f>
        <v>Año</v>
      </c>
      <c r="Z17" s="13" t="str">
        <f>Z2</f>
        <v>Dia</v>
      </c>
      <c r="AA17" s="13" t="s">
        <v>127</v>
      </c>
      <c r="AB17" s="13" t="s">
        <v>128</v>
      </c>
      <c r="AC17" s="13" t="s">
        <v>129</v>
      </c>
      <c r="AD17" s="13" t="s">
        <v>130</v>
      </c>
      <c r="AE17" s="13" t="s">
        <v>131</v>
      </c>
      <c r="AF17" s="13" t="s">
        <v>132</v>
      </c>
      <c r="AG17" s="13" t="s">
        <v>110</v>
      </c>
      <c r="AH17" s="13" t="s">
        <v>293</v>
      </c>
      <c r="AI17" s="13" t="s">
        <v>294</v>
      </c>
      <c r="AJ17" s="13" t="s">
        <v>295</v>
      </c>
      <c r="AK17" s="13" t="s">
        <v>296</v>
      </c>
      <c r="AL17" s="13" t="s">
        <v>297</v>
      </c>
      <c r="AM17" s="13" t="s">
        <v>298</v>
      </c>
      <c r="AN17" s="13" t="s">
        <v>299</v>
      </c>
      <c r="AO17" s="13" t="s">
        <v>300</v>
      </c>
      <c r="AP17" s="13" t="s">
        <v>301</v>
      </c>
    </row>
    <row r="18" spans="1:45" x14ac:dyDescent="0.25">
      <c r="A18" t="s">
        <v>148</v>
      </c>
      <c r="B18" s="18" t="s">
        <v>149</v>
      </c>
      <c r="C18" s="6"/>
      <c r="D18" s="6" t="str">
        <f>D3</f>
        <v>C. Fonteboa</v>
      </c>
      <c r="E18" s="6">
        <f t="shared" ref="E18:E26" si="14">Y3</f>
        <v>32</v>
      </c>
      <c r="F18" s="6">
        <f t="shared" ref="F18:F26" ca="1" si="15">Z3</f>
        <v>2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2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19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62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194">
        <f t="shared" ref="V18:V30" si="31">SUM(O18:U18)</f>
        <v>131.5</v>
      </c>
      <c r="X18" t="s">
        <v>148</v>
      </c>
      <c r="Y18" s="6">
        <f>E18+2</f>
        <v>34</v>
      </c>
      <c r="Z18" s="6">
        <f ca="1">F18+(($AR$22+$AR$23)*7)-112-112</f>
        <v>-19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2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62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194">
        <f t="shared" ref="AP18:AP30" si="35">SUM(AI18:AO18)</f>
        <v>146.5</v>
      </c>
    </row>
    <row r="19" spans="1:45" x14ac:dyDescent="0.25">
      <c r="A19" t="s">
        <v>151</v>
      </c>
      <c r="B19" s="18" t="s">
        <v>182</v>
      </c>
      <c r="C19" s="6"/>
      <c r="D19" s="6" t="str">
        <f>D4</f>
        <v>M. Fernandez</v>
      </c>
      <c r="E19" s="6" t="e">
        <f t="shared" si="14"/>
        <v>#REF!</v>
      </c>
      <c r="F19" s="6" t="e">
        <f t="shared" si="15"/>
        <v>#REF!</v>
      </c>
      <c r="G19" s="55" t="e">
        <f t="shared" si="16"/>
        <v>#REF!</v>
      </c>
      <c r="H19" s="55">
        <f t="shared" si="17"/>
        <v>15.166666666666666</v>
      </c>
      <c r="I19" s="55" t="e">
        <f t="shared" si="18"/>
        <v>#REF!</v>
      </c>
      <c r="J19" s="55">
        <f t="shared" si="19"/>
        <v>5.2</v>
      </c>
      <c r="K19" s="55" t="e">
        <f t="shared" si="20"/>
        <v>#REF!</v>
      </c>
      <c r="L19" s="55" t="e">
        <f t="shared" si="21"/>
        <v>#REF!</v>
      </c>
      <c r="M19" s="55" t="e">
        <f t="shared" si="22"/>
        <v>#REF!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194">
        <f t="shared" si="31"/>
        <v>165.3</v>
      </c>
      <c r="X19" t="s">
        <v>151</v>
      </c>
      <c r="Y19" s="6" t="e">
        <f>E19+2</f>
        <v>#REF!</v>
      </c>
      <c r="Z19" s="6" t="e">
        <f>F19+(($AR$22+$AR$23)*7)-112-112</f>
        <v>#REF!</v>
      </c>
      <c r="AA19" s="55" t="e">
        <f t="shared" ref="AA19:AA30" si="36">G19</f>
        <v>#REF!</v>
      </c>
      <c r="AB19" s="55">
        <f t="shared" ref="AB19:AB30" si="37">H19</f>
        <v>15.166666666666666</v>
      </c>
      <c r="AC19" s="55" t="e">
        <f t="shared" ref="AC19:AC30" si="38">I19</f>
        <v>#REF!</v>
      </c>
      <c r="AD19" s="55">
        <f t="shared" ref="AD19:AD30" si="39">J19</f>
        <v>5.2</v>
      </c>
      <c r="AE19" s="55">
        <f>8+3/5</f>
        <v>8.6</v>
      </c>
      <c r="AF19" s="55" t="e">
        <f t="shared" ref="AF19:AF30" si="40">L19</f>
        <v>#REF!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194">
        <f t="shared" si="35"/>
        <v>194.3</v>
      </c>
    </row>
    <row r="20" spans="1:45" x14ac:dyDescent="0.25">
      <c r="A20" t="s">
        <v>160</v>
      </c>
      <c r="B20" s="18" t="s">
        <v>182</v>
      </c>
      <c r="C20" s="6"/>
      <c r="D20" s="6" t="str">
        <f>D5</f>
        <v>B. Abandero</v>
      </c>
      <c r="E20" s="6">
        <f t="shared" si="14"/>
        <v>32</v>
      </c>
      <c r="F20" s="6">
        <f t="shared" ca="1" si="15"/>
        <v>30</v>
      </c>
      <c r="G20" s="55">
        <f t="shared" si="16"/>
        <v>0</v>
      </c>
      <c r="H20" s="55">
        <f t="shared" si="17"/>
        <v>13.416666666666666</v>
      </c>
      <c r="I20" s="55">
        <f t="shared" si="18"/>
        <v>3.4569444444444448</v>
      </c>
      <c r="J20" s="55">
        <f t="shared" si="19"/>
        <v>7.083333333333333</v>
      </c>
      <c r="K20" s="55">
        <f t="shared" si="20"/>
        <v>12</v>
      </c>
      <c r="L20" s="55">
        <f t="shared" si="21"/>
        <v>3.95</v>
      </c>
      <c r="M20" s="55">
        <f t="shared" si="22"/>
        <v>17</v>
      </c>
      <c r="N20" s="37">
        <f t="shared" si="23"/>
        <v>13492.08</v>
      </c>
      <c r="O20" s="42">
        <f t="shared" si="24"/>
        <v>0</v>
      </c>
      <c r="P20" s="42">
        <f t="shared" si="25"/>
        <v>83</v>
      </c>
      <c r="Q20" s="42">
        <f t="shared" si="26"/>
        <v>3</v>
      </c>
      <c r="R20" s="42">
        <f t="shared" si="27"/>
        <v>15.5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194">
        <f t="shared" si="31"/>
        <v>165.5</v>
      </c>
      <c r="X20" t="s">
        <v>160</v>
      </c>
      <c r="Y20" s="6">
        <f>E20+2</f>
        <v>34</v>
      </c>
      <c r="Z20" s="6">
        <f ca="1">F20+(($AR$22+$AR$23)*7)-112-112</f>
        <v>9</v>
      </c>
      <c r="AA20" s="55">
        <f t="shared" si="36"/>
        <v>0</v>
      </c>
      <c r="AB20" s="55">
        <f t="shared" si="37"/>
        <v>13.416666666666666</v>
      </c>
      <c r="AC20" s="55">
        <f t="shared" si="38"/>
        <v>3.4569444444444448</v>
      </c>
      <c r="AD20" s="55">
        <f t="shared" si="39"/>
        <v>7.083333333333333</v>
      </c>
      <c r="AE20" s="55">
        <v>12</v>
      </c>
      <c r="AF20" s="55">
        <f t="shared" si="40"/>
        <v>3.95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83</v>
      </c>
      <c r="AK20" s="42">
        <f t="shared" si="43"/>
        <v>3</v>
      </c>
      <c r="AL20" s="42">
        <f t="shared" si="44"/>
        <v>15.5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194">
        <f t="shared" si="35"/>
        <v>194.5</v>
      </c>
      <c r="AQ20" s="90"/>
    </row>
    <row r="21" spans="1:45" x14ac:dyDescent="0.25">
      <c r="A21" t="s">
        <v>154</v>
      </c>
      <c r="B21" s="18" t="s">
        <v>182</v>
      </c>
      <c r="C21" s="6"/>
      <c r="D21" s="6" t="str">
        <f>D6</f>
        <v>I. R. Figueroa</v>
      </c>
      <c r="E21" s="6">
        <f t="shared" si="14"/>
        <v>31</v>
      </c>
      <c r="F21" s="6">
        <f t="shared" ca="1" si="15"/>
        <v>92</v>
      </c>
      <c r="G21" s="55">
        <f t="shared" si="16"/>
        <v>0</v>
      </c>
      <c r="H21" s="55">
        <f t="shared" si="17"/>
        <v>15.166666666666666</v>
      </c>
      <c r="I21" s="55">
        <f t="shared" si="18"/>
        <v>5.25</v>
      </c>
      <c r="J21" s="55">
        <f t="shared" si="19"/>
        <v>9</v>
      </c>
      <c r="K21" s="55">
        <f t="shared" si="20"/>
        <v>9</v>
      </c>
      <c r="L21" s="55">
        <f t="shared" si="21"/>
        <v>1</v>
      </c>
      <c r="M21" s="55">
        <f t="shared" si="22"/>
        <v>17</v>
      </c>
      <c r="N21" s="37">
        <f t="shared" si="23"/>
        <v>28513.599999999999</v>
      </c>
      <c r="O21" s="42">
        <f t="shared" si="24"/>
        <v>0</v>
      </c>
      <c r="P21" s="42">
        <f t="shared" si="25"/>
        <v>105</v>
      </c>
      <c r="Q21" s="42">
        <f t="shared" si="26"/>
        <v>9</v>
      </c>
      <c r="R21" s="42">
        <f t="shared" si="27"/>
        <v>14.5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194">
        <f t="shared" si="31"/>
        <v>164.5</v>
      </c>
      <c r="X21" t="s">
        <v>154</v>
      </c>
      <c r="Y21" s="6">
        <f>E21+2</f>
        <v>33</v>
      </c>
      <c r="Z21" s="6">
        <f ca="1">F21+(($AR$22+$AR$23)*7)-112-112</f>
        <v>71</v>
      </c>
      <c r="AA21" s="55">
        <f t="shared" si="36"/>
        <v>0</v>
      </c>
      <c r="AB21" s="55">
        <f t="shared" si="37"/>
        <v>15.166666666666666</v>
      </c>
      <c r="AC21" s="55">
        <f t="shared" si="38"/>
        <v>5.25</v>
      </c>
      <c r="AD21" s="55">
        <f t="shared" si="39"/>
        <v>9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105</v>
      </c>
      <c r="AK21" s="42">
        <f t="shared" si="43"/>
        <v>9</v>
      </c>
      <c r="AL21" s="42">
        <f t="shared" si="44"/>
        <v>14.5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194">
        <f t="shared" si="35"/>
        <v>193.5</v>
      </c>
      <c r="AQ21" s="90"/>
      <c r="AR21" s="90" t="s">
        <v>133</v>
      </c>
      <c r="AS21" s="90" t="s">
        <v>307</v>
      </c>
    </row>
    <row r="22" spans="1:45" x14ac:dyDescent="0.25">
      <c r="A22" t="s">
        <v>163</v>
      </c>
      <c r="B22" s="18" t="s">
        <v>182</v>
      </c>
      <c r="C22" s="6"/>
      <c r="D22" s="6" t="str">
        <f>D7</f>
        <v>G. Pedrajas</v>
      </c>
      <c r="E22" s="6">
        <f t="shared" si="14"/>
        <v>32</v>
      </c>
      <c r="F22" s="6">
        <f t="shared" ca="1" si="15"/>
        <v>15</v>
      </c>
      <c r="G22" s="55">
        <f t="shared" si="16"/>
        <v>0</v>
      </c>
      <c r="H22" s="55">
        <f t="shared" si="17"/>
        <v>11.7</v>
      </c>
      <c r="I22" s="55">
        <f t="shared" si="18"/>
        <v>11.666666666666666</v>
      </c>
      <c r="J22" s="55">
        <f t="shared" si="19"/>
        <v>5.25</v>
      </c>
      <c r="K22" s="55">
        <f t="shared" si="20"/>
        <v>11.142857142857142</v>
      </c>
      <c r="L22" s="55">
        <f t="shared" si="21"/>
        <v>4</v>
      </c>
      <c r="M22" s="55">
        <f t="shared" si="22"/>
        <v>17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194">
        <f t="shared" si="31"/>
        <v>161.5</v>
      </c>
      <c r="X22" t="s">
        <v>163</v>
      </c>
      <c r="Y22" s="6">
        <f>E22+2</f>
        <v>34</v>
      </c>
      <c r="Z22" s="6">
        <f ca="1">F22+(($AR$22+$AR$23)*7)-112-112</f>
        <v>-6</v>
      </c>
      <c r="AA22" s="55">
        <f t="shared" si="36"/>
        <v>0</v>
      </c>
      <c r="AB22" s="55">
        <f t="shared" si="37"/>
        <v>11.7</v>
      </c>
      <c r="AC22" s="55">
        <f t="shared" si="38"/>
        <v>11.666666666666666</v>
      </c>
      <c r="AD22" s="55">
        <f t="shared" si="39"/>
        <v>5.25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194">
        <f t="shared" si="35"/>
        <v>190.5</v>
      </c>
      <c r="AQ22" s="90" t="s">
        <v>319</v>
      </c>
      <c r="AR22" s="54">
        <v>14</v>
      </c>
      <c r="AS22" s="97">
        <f>AR22/16</f>
        <v>0.875</v>
      </c>
    </row>
    <row r="23" spans="1:45" x14ac:dyDescent="0.25">
      <c r="A23" t="s">
        <v>167</v>
      </c>
      <c r="B23" s="18" t="s">
        <v>182</v>
      </c>
      <c r="C23" s="6"/>
      <c r="D23" s="6" t="s">
        <v>308</v>
      </c>
      <c r="E23" s="6">
        <f t="shared" si="14"/>
        <v>33</v>
      </c>
      <c r="F23" s="6">
        <f t="shared" ca="1" si="15"/>
        <v>-54</v>
      </c>
      <c r="G23" s="55">
        <f t="shared" si="16"/>
        <v>0</v>
      </c>
      <c r="H23" s="55">
        <f t="shared" si="17"/>
        <v>15</v>
      </c>
      <c r="I23" s="55">
        <f t="shared" si="18"/>
        <v>6</v>
      </c>
      <c r="J23" s="55">
        <f t="shared" si="19"/>
        <v>3.3333333333333335</v>
      </c>
      <c r="K23" s="55">
        <f t="shared" si="20"/>
        <v>12.222222222222221</v>
      </c>
      <c r="L23" s="55">
        <f t="shared" si="21"/>
        <v>5.95</v>
      </c>
      <c r="M23" s="55">
        <f t="shared" si="22"/>
        <v>17</v>
      </c>
      <c r="N23" s="37">
        <f t="shared" si="23"/>
        <v>0</v>
      </c>
      <c r="O23" s="42">
        <f t="shared" si="24"/>
        <v>0</v>
      </c>
      <c r="P23" s="42">
        <f t="shared" si="25"/>
        <v>83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194">
        <f t="shared" si="31"/>
        <v>161.5</v>
      </c>
      <c r="X23" t="s">
        <v>167</v>
      </c>
      <c r="Y23" s="6">
        <f>E23+1</f>
        <v>34</v>
      </c>
      <c r="Z23" s="6">
        <f ca="1">F23+(($AR$22+$AR$23)*7)-112</f>
        <v>37</v>
      </c>
      <c r="AA23" s="55">
        <f t="shared" si="36"/>
        <v>0</v>
      </c>
      <c r="AB23" s="55">
        <f t="shared" si="37"/>
        <v>15</v>
      </c>
      <c r="AC23" s="55">
        <f t="shared" si="38"/>
        <v>6</v>
      </c>
      <c r="AD23" s="55">
        <f t="shared" si="39"/>
        <v>3.3333333333333335</v>
      </c>
      <c r="AE23" s="55">
        <f>10+3/7</f>
        <v>10.428571428571429</v>
      </c>
      <c r="AF23" s="55">
        <f t="shared" si="40"/>
        <v>5.95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83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194">
        <f t="shared" si="35"/>
        <v>190.5</v>
      </c>
      <c r="AQ23" s="90" t="s">
        <v>187</v>
      </c>
      <c r="AR23" s="54">
        <v>15</v>
      </c>
      <c r="AS23" s="97">
        <f>AR23/16</f>
        <v>0.9375</v>
      </c>
    </row>
    <row r="24" spans="1:45" x14ac:dyDescent="0.25">
      <c r="A24" t="s">
        <v>156</v>
      </c>
      <c r="B24" s="18" t="s">
        <v>182</v>
      </c>
      <c r="C24" s="6" t="s">
        <v>159</v>
      </c>
      <c r="D24" s="6" t="s">
        <v>309</v>
      </c>
      <c r="E24" s="6">
        <f t="shared" si="14"/>
        <v>31</v>
      </c>
      <c r="F24" s="6">
        <f t="shared" ca="1" si="15"/>
        <v>107</v>
      </c>
      <c r="G24" s="55">
        <f t="shared" si="16"/>
        <v>0</v>
      </c>
      <c r="H24" s="55">
        <f t="shared" si="17"/>
        <v>12.909090909090908</v>
      </c>
      <c r="I24" s="55">
        <f t="shared" si="18"/>
        <v>5</v>
      </c>
      <c r="J24" s="55">
        <f t="shared" si="19"/>
        <v>12.5</v>
      </c>
      <c r="K24" s="55">
        <f t="shared" si="20"/>
        <v>9</v>
      </c>
      <c r="L24" s="55">
        <f t="shared" si="21"/>
        <v>6.95</v>
      </c>
      <c r="M24" s="55">
        <f t="shared" si="22"/>
        <v>18</v>
      </c>
      <c r="N24" s="37">
        <f t="shared" si="23"/>
        <v>16606.920000000002</v>
      </c>
      <c r="O24" s="42">
        <f t="shared" si="24"/>
        <v>0</v>
      </c>
      <c r="P24" s="42">
        <f t="shared" si="25"/>
        <v>76</v>
      </c>
      <c r="Q24" s="42">
        <f t="shared" si="26"/>
        <v>6</v>
      </c>
      <c r="R24" s="42">
        <f t="shared" si="27"/>
        <v>40.5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194">
        <f t="shared" si="31"/>
        <v>172.5</v>
      </c>
      <c r="X24" t="s">
        <v>156</v>
      </c>
      <c r="Y24" s="6">
        <f>E24+2</f>
        <v>33</v>
      </c>
      <c r="Z24" s="6">
        <f ca="1">F24+(($AR$22+$AR$23)*7)-112-112</f>
        <v>86</v>
      </c>
      <c r="AA24" s="55">
        <f t="shared" si="36"/>
        <v>0</v>
      </c>
      <c r="AB24" s="55">
        <f t="shared" si="37"/>
        <v>12.909090909090908</v>
      </c>
      <c r="AC24" s="55">
        <f t="shared" si="38"/>
        <v>5</v>
      </c>
      <c r="AD24" s="55">
        <f t="shared" si="39"/>
        <v>12.5</v>
      </c>
      <c r="AE24" s="55">
        <f>8+1/5</f>
        <v>8.1999999999999993</v>
      </c>
      <c r="AF24" s="55">
        <f t="shared" si="40"/>
        <v>6.95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76</v>
      </c>
      <c r="AK24" s="42">
        <f t="shared" si="43"/>
        <v>6</v>
      </c>
      <c r="AL24" s="42">
        <f t="shared" si="44"/>
        <v>40.5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194">
        <f t="shared" si="35"/>
        <v>201.5</v>
      </c>
      <c r="AQ24" s="90"/>
    </row>
    <row r="25" spans="1:45" x14ac:dyDescent="0.25">
      <c r="A25" t="s">
        <v>164</v>
      </c>
      <c r="B25" s="18" t="s">
        <v>182</v>
      </c>
      <c r="C25" s="6" t="s">
        <v>159</v>
      </c>
      <c r="D25" s="6" t="s">
        <v>310</v>
      </c>
      <c r="E25" s="6">
        <f t="shared" si="14"/>
        <v>31</v>
      </c>
      <c r="F25" s="6">
        <f t="shared" ca="1" si="15"/>
        <v>107</v>
      </c>
      <c r="G25" s="55">
        <f t="shared" si="16"/>
        <v>0</v>
      </c>
      <c r="H25" s="55">
        <f t="shared" si="17"/>
        <v>12</v>
      </c>
      <c r="I25" s="55">
        <f t="shared" si="18"/>
        <v>5</v>
      </c>
      <c r="J25" s="55">
        <f t="shared" si="19"/>
        <v>11.9</v>
      </c>
      <c r="K25" s="55">
        <f t="shared" si="20"/>
        <v>10</v>
      </c>
      <c r="L25" s="55">
        <f t="shared" si="21"/>
        <v>6.95</v>
      </c>
      <c r="M25" s="55">
        <f t="shared" si="22"/>
        <v>18</v>
      </c>
      <c r="N25" s="37">
        <f t="shared" si="23"/>
        <v>16606.920000000002</v>
      </c>
      <c r="O25" s="42">
        <f t="shared" si="24"/>
        <v>0</v>
      </c>
      <c r="P25" s="42">
        <f t="shared" si="25"/>
        <v>62</v>
      </c>
      <c r="Q25" s="42">
        <f t="shared" si="26"/>
        <v>3.5</v>
      </c>
      <c r="R25" s="29">
        <f t="shared" si="27"/>
        <v>42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194">
        <f t="shared" si="31"/>
        <v>165.5</v>
      </c>
      <c r="X25" t="s">
        <v>164</v>
      </c>
      <c r="Y25" s="6">
        <f>E25+2</f>
        <v>33</v>
      </c>
      <c r="Z25" s="6">
        <f ca="1">F25+(($AR$22+$AR$23)*7)-112-112</f>
        <v>86</v>
      </c>
      <c r="AA25" s="55">
        <f t="shared" si="36"/>
        <v>0</v>
      </c>
      <c r="AB25" s="55">
        <f t="shared" si="37"/>
        <v>12</v>
      </c>
      <c r="AC25" s="55">
        <f t="shared" si="38"/>
        <v>5</v>
      </c>
      <c r="AD25" s="55">
        <f t="shared" si="39"/>
        <v>11.9</v>
      </c>
      <c r="AE25" s="55">
        <f>9+1/7</f>
        <v>9.1428571428571423</v>
      </c>
      <c r="AF25" s="55">
        <f t="shared" si="40"/>
        <v>6.95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62</v>
      </c>
      <c r="AK25" s="42">
        <f t="shared" si="43"/>
        <v>3.5</v>
      </c>
      <c r="AL25" s="29">
        <f t="shared" si="44"/>
        <v>42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194">
        <f t="shared" si="35"/>
        <v>194.5</v>
      </c>
      <c r="AQ25" s="90"/>
    </row>
    <row r="26" spans="1:45" x14ac:dyDescent="0.25">
      <c r="A26" t="s">
        <v>157</v>
      </c>
      <c r="B26" s="18" t="s">
        <v>311</v>
      </c>
      <c r="C26" s="6" t="s">
        <v>162</v>
      </c>
      <c r="D26" s="6" t="str">
        <f>D11</f>
        <v>J. Gräbitz</v>
      </c>
      <c r="E26" s="6" t="e">
        <f t="shared" si="14"/>
        <v>#REF!</v>
      </c>
      <c r="F26" s="6" t="e">
        <f t="shared" si="15"/>
        <v>#REF!</v>
      </c>
      <c r="G26" s="55" t="e">
        <f t="shared" si="16"/>
        <v>#REF!</v>
      </c>
      <c r="H26" s="55" t="e">
        <f t="shared" si="17"/>
        <v>#REF!</v>
      </c>
      <c r="I26" s="55" t="e">
        <f t="shared" si="18"/>
        <v>#REF!</v>
      </c>
      <c r="J26" s="55" t="e">
        <f t="shared" si="19"/>
        <v>#REF!</v>
      </c>
      <c r="K26" s="55" t="e">
        <f t="shared" si="20"/>
        <v>#REF!</v>
      </c>
      <c r="L26" s="55" t="e">
        <f t="shared" si="21"/>
        <v>#REF!</v>
      </c>
      <c r="M26" s="55" t="e">
        <f t="shared" si="22"/>
        <v>#REF!</v>
      </c>
      <c r="N26" s="37" t="e">
        <f t="shared" si="23"/>
        <v>#REF!</v>
      </c>
      <c r="O26" s="42">
        <f t="shared" si="24"/>
        <v>0</v>
      </c>
      <c r="P26" s="42">
        <f t="shared" si="25"/>
        <v>62.5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194">
        <f t="shared" si="31"/>
        <v>159</v>
      </c>
      <c r="X26" t="s">
        <v>157</v>
      </c>
      <c r="Y26" s="6" t="e">
        <f>E26+2</f>
        <v>#REF!</v>
      </c>
      <c r="Z26" s="6" t="e">
        <f>F26+(($AR$22+$AR$23)*7)-112-112</f>
        <v>#REF!</v>
      </c>
      <c r="AA26" s="55" t="e">
        <f t="shared" si="36"/>
        <v>#REF!</v>
      </c>
      <c r="AB26" s="55" t="e">
        <f t="shared" si="37"/>
        <v>#REF!</v>
      </c>
      <c r="AC26" s="55" t="e">
        <f t="shared" si="38"/>
        <v>#REF!</v>
      </c>
      <c r="AD26" s="55" t="e">
        <f t="shared" si="39"/>
        <v>#REF!</v>
      </c>
      <c r="AE26" s="55">
        <f>9+1/6</f>
        <v>9.1666666666666661</v>
      </c>
      <c r="AF26" s="55" t="e">
        <f t="shared" si="40"/>
        <v>#REF!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62.5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194">
        <f t="shared" si="35"/>
        <v>188</v>
      </c>
    </row>
    <row r="27" spans="1:45" x14ac:dyDescent="0.25">
      <c r="A27" t="s">
        <v>313</v>
      </c>
      <c r="B27" s="18" t="s">
        <v>311</v>
      </c>
      <c r="C27" s="6" t="s">
        <v>320</v>
      </c>
      <c r="D27" s="6" t="s">
        <v>321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194">
        <f t="shared" si="31"/>
        <v>126</v>
      </c>
      <c r="X27" t="s">
        <v>313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194">
        <f t="shared" si="35"/>
        <v>155</v>
      </c>
    </row>
    <row r="28" spans="1:45" x14ac:dyDescent="0.25">
      <c r="A28" t="s">
        <v>165</v>
      </c>
      <c r="B28" s="18" t="s">
        <v>314</v>
      </c>
      <c r="C28" s="6" t="s">
        <v>162</v>
      </c>
      <c r="D28" s="6" t="s">
        <v>315</v>
      </c>
      <c r="E28" s="6">
        <f t="shared" ref="E28:F30" si="47">Y13</f>
        <v>31</v>
      </c>
      <c r="F28" s="6">
        <f t="shared" ca="1" si="47"/>
        <v>103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7</v>
      </c>
      <c r="J28" s="55">
        <f t="shared" si="48"/>
        <v>14</v>
      </c>
      <c r="K28" s="55">
        <f t="shared" si="48"/>
        <v>10</v>
      </c>
      <c r="L28" s="55">
        <f t="shared" si="48"/>
        <v>7.8</v>
      </c>
      <c r="M28" s="55">
        <f t="shared" si="48"/>
        <v>19</v>
      </c>
      <c r="N28" s="37">
        <f t="shared" si="48"/>
        <v>13619.48</v>
      </c>
      <c r="O28" s="42">
        <f>AI13</f>
        <v>0</v>
      </c>
      <c r="P28" s="42">
        <f t="shared" ref="P28:U30" si="49">AJ13</f>
        <v>52</v>
      </c>
      <c r="Q28" s="42">
        <f t="shared" si="49"/>
        <v>11</v>
      </c>
      <c r="R28" s="42">
        <f t="shared" si="49"/>
        <v>55</v>
      </c>
      <c r="S28" s="42">
        <f t="shared" si="49"/>
        <v>23</v>
      </c>
      <c r="T28" s="42">
        <f t="shared" si="49"/>
        <v>20</v>
      </c>
      <c r="U28" s="42">
        <f t="shared" si="49"/>
        <v>18</v>
      </c>
      <c r="V28" s="194">
        <f t="shared" si="31"/>
        <v>179</v>
      </c>
      <c r="X28" t="s">
        <v>165</v>
      </c>
      <c r="Y28" s="6">
        <f>E28+2</f>
        <v>33</v>
      </c>
      <c r="Z28" s="6">
        <f ca="1">F28+(($AR$22+$AR$23)*7)-112-112</f>
        <v>82</v>
      </c>
      <c r="AA28" s="55">
        <f t="shared" si="36"/>
        <v>0</v>
      </c>
      <c r="AB28" s="55">
        <f t="shared" si="37"/>
        <v>10.666666666666666</v>
      </c>
      <c r="AC28" s="55">
        <f t="shared" si="38"/>
        <v>7</v>
      </c>
      <c r="AD28" s="55">
        <f t="shared" si="39"/>
        <v>14</v>
      </c>
      <c r="AE28" s="55">
        <f>9+1/7</f>
        <v>9.1428571428571423</v>
      </c>
      <c r="AF28" s="55">
        <f t="shared" si="40"/>
        <v>7.8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52</v>
      </c>
      <c r="AK28" s="42">
        <f t="shared" si="43"/>
        <v>11</v>
      </c>
      <c r="AL28" s="42">
        <f t="shared" si="44"/>
        <v>55</v>
      </c>
      <c r="AM28" s="42">
        <f t="shared" si="45"/>
        <v>37</v>
      </c>
      <c r="AN28" s="42">
        <f t="shared" si="46"/>
        <v>20</v>
      </c>
      <c r="AO28" s="42">
        <f>U28+$AR$23</f>
        <v>33</v>
      </c>
      <c r="AP28" s="194">
        <f t="shared" si="35"/>
        <v>208</v>
      </c>
    </row>
    <row r="29" spans="1:45" x14ac:dyDescent="0.25">
      <c r="A29" t="s">
        <v>316</v>
      </c>
      <c r="B29" s="18" t="s">
        <v>314</v>
      </c>
      <c r="C29" s="6" t="s">
        <v>162</v>
      </c>
      <c r="D29" s="6" t="s">
        <v>317</v>
      </c>
      <c r="E29" s="6">
        <f t="shared" si="47"/>
        <v>32</v>
      </c>
      <c r="F29" s="6">
        <f t="shared" ca="1" si="47"/>
        <v>-44</v>
      </c>
      <c r="G29" s="55">
        <f>AA14</f>
        <v>0</v>
      </c>
      <c r="H29" s="55">
        <f t="shared" si="48"/>
        <v>12.181818181818182</v>
      </c>
      <c r="I29" s="55">
        <f t="shared" si="48"/>
        <v>5</v>
      </c>
      <c r="J29" s="55">
        <f t="shared" si="48"/>
        <v>12.833333333333334</v>
      </c>
      <c r="K29" s="55">
        <f t="shared" si="48"/>
        <v>10</v>
      </c>
      <c r="L29" s="55">
        <f t="shared" si="48"/>
        <v>6.95</v>
      </c>
      <c r="M29" s="55">
        <f t="shared" si="48"/>
        <v>18</v>
      </c>
      <c r="N29" s="37">
        <f t="shared" si="48"/>
        <v>11172.48</v>
      </c>
      <c r="O29" s="42">
        <f>AI14</f>
        <v>0</v>
      </c>
      <c r="P29" s="42">
        <f t="shared" si="49"/>
        <v>68</v>
      </c>
      <c r="Q29" s="42">
        <f t="shared" si="49"/>
        <v>3.5</v>
      </c>
      <c r="R29" s="42">
        <f t="shared" si="49"/>
        <v>46.5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194">
        <f t="shared" si="31"/>
        <v>177</v>
      </c>
      <c r="X29" t="s">
        <v>316</v>
      </c>
      <c r="Y29" s="6">
        <f>E29+1</f>
        <v>33</v>
      </c>
      <c r="Z29" s="6">
        <f ca="1">F29+(($AR$22+$AR$23)*7)-112</f>
        <v>47</v>
      </c>
      <c r="AA29" s="55">
        <f t="shared" si="36"/>
        <v>0</v>
      </c>
      <c r="AB29" s="55">
        <f t="shared" si="37"/>
        <v>12.181818181818182</v>
      </c>
      <c r="AC29" s="55">
        <f t="shared" si="38"/>
        <v>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6.95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68</v>
      </c>
      <c r="AK29" s="42">
        <f t="shared" si="43"/>
        <v>3.5</v>
      </c>
      <c r="AL29" s="42">
        <f t="shared" si="44"/>
        <v>46.5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194">
        <f t="shared" si="35"/>
        <v>206</v>
      </c>
    </row>
    <row r="30" spans="1:45" x14ac:dyDescent="0.25">
      <c r="A30" t="s">
        <v>153</v>
      </c>
      <c r="B30" s="18" t="s">
        <v>314</v>
      </c>
      <c r="C30" s="6" t="s">
        <v>159</v>
      </c>
      <c r="D30" s="6" t="s">
        <v>318</v>
      </c>
      <c r="E30" s="6">
        <f t="shared" si="47"/>
        <v>31</v>
      </c>
      <c r="F30" s="6">
        <f t="shared" ca="1" si="47"/>
        <v>103</v>
      </c>
      <c r="G30" s="55">
        <f>AA15</f>
        <v>0</v>
      </c>
      <c r="H30" s="55">
        <f t="shared" si="48"/>
        <v>11.1</v>
      </c>
      <c r="I30" s="55">
        <f t="shared" si="48"/>
        <v>6.4</v>
      </c>
      <c r="J30" s="55">
        <f t="shared" si="48"/>
        <v>13.333333333333334</v>
      </c>
      <c r="K30" s="55">
        <f t="shared" si="48"/>
        <v>9</v>
      </c>
      <c r="L30" s="55">
        <f t="shared" si="48"/>
        <v>7.95</v>
      </c>
      <c r="M30" s="55">
        <f t="shared" si="48"/>
        <v>18</v>
      </c>
      <c r="N30" s="37">
        <f t="shared" si="48"/>
        <v>13682.24</v>
      </c>
      <c r="O30" s="42">
        <f>AI15</f>
        <v>0</v>
      </c>
      <c r="P30" s="42">
        <f t="shared" si="49"/>
        <v>55</v>
      </c>
      <c r="Q30" s="42">
        <f t="shared" si="49"/>
        <v>10</v>
      </c>
      <c r="R30" s="42">
        <f t="shared" si="49"/>
        <v>46.5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194">
        <f t="shared" si="31"/>
        <v>168.5</v>
      </c>
      <c r="X30" t="s">
        <v>153</v>
      </c>
      <c r="Y30" s="6">
        <f>E30+2</f>
        <v>33</v>
      </c>
      <c r="Z30" s="6">
        <f ca="1">F30+(($AR$22+$AR$23)*7)-112-112</f>
        <v>82</v>
      </c>
      <c r="AA30" s="55">
        <f t="shared" si="36"/>
        <v>0</v>
      </c>
      <c r="AB30" s="55">
        <f t="shared" si="37"/>
        <v>11.1</v>
      </c>
      <c r="AC30" s="55">
        <f t="shared" si="38"/>
        <v>6.4</v>
      </c>
      <c r="AD30" s="55">
        <f t="shared" si="39"/>
        <v>13.333333333333334</v>
      </c>
      <c r="AE30" s="55">
        <f>8+3/5</f>
        <v>8.6</v>
      </c>
      <c r="AF30" s="55">
        <f t="shared" si="40"/>
        <v>7.95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55</v>
      </c>
      <c r="AK30" s="42">
        <f t="shared" si="43"/>
        <v>10</v>
      </c>
      <c r="AL30" s="42">
        <f t="shared" si="44"/>
        <v>46.5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194">
        <f t="shared" si="35"/>
        <v>197.5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616</v>
      </c>
    </row>
    <row r="2" spans="1:21" x14ac:dyDescent="0.25">
      <c r="A2" s="31" t="s">
        <v>176</v>
      </c>
      <c r="B2" s="31" t="s">
        <v>628</v>
      </c>
      <c r="C2" s="31" t="s">
        <v>109</v>
      </c>
      <c r="D2" s="51" t="s">
        <v>290</v>
      </c>
      <c r="E2" s="31" t="s">
        <v>653</v>
      </c>
      <c r="F2" s="39" t="s">
        <v>630</v>
      </c>
      <c r="G2" s="39" t="s">
        <v>121</v>
      </c>
      <c r="H2" s="39" t="s">
        <v>122</v>
      </c>
      <c r="I2" s="39" t="s">
        <v>293</v>
      </c>
      <c r="J2" s="40" t="s">
        <v>117</v>
      </c>
      <c r="K2" s="32" t="s">
        <v>517</v>
      </c>
      <c r="L2" s="32" t="s">
        <v>149</v>
      </c>
      <c r="M2" s="32" t="s">
        <v>182</v>
      </c>
      <c r="N2" s="32" t="s">
        <v>183</v>
      </c>
      <c r="O2" s="32" t="s">
        <v>314</v>
      </c>
      <c r="P2" s="32" t="s">
        <v>185</v>
      </c>
      <c r="Q2" s="32" t="s">
        <v>186</v>
      </c>
      <c r="R2" s="32" t="s">
        <v>187</v>
      </c>
      <c r="S2" s="34" t="s">
        <v>635</v>
      </c>
      <c r="T2" s="34" t="s">
        <v>636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14</v>
      </c>
      <c r="L3" s="36">
        <f>PLANTILLA!X4</f>
        <v>15</v>
      </c>
      <c r="M3" s="36">
        <f>PLANTILLA!Y4</f>
        <v>13.214285714285714</v>
      </c>
      <c r="N3" s="36">
        <f>PLANTILLA!Z4</f>
        <v>0</v>
      </c>
      <c r="O3" s="36">
        <f>PLANTILLA!AA4</f>
        <v>2</v>
      </c>
      <c r="P3" s="36">
        <f>PLANTILLA!AB4</f>
        <v>1</v>
      </c>
      <c r="Q3" s="36">
        <f>PLANTILLA!AC4</f>
        <v>1</v>
      </c>
      <c r="R3" s="36">
        <f>PLANTILLA!AD4</f>
        <v>19</v>
      </c>
      <c r="S3" s="27">
        <f t="shared" ref="S3:S10" ca="1" si="0">((L3+J3+(LOG(K3)*4/3))*0.597)+((M3+J3+(LOG(K3)*4/3))*0.276)</f>
        <v>14.809235890672326</v>
      </c>
      <c r="T3" s="27">
        <f t="shared" ref="T3:T10" ca="1" si="1">((L3+J3+(LOG(K3)*4/3))*0.866)+((M3+J3+(LOG(K3)*4/3))*0.425)</f>
        <v>21.869939820652235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2</v>
      </c>
      <c r="G4" s="38">
        <f>(F4/7)^0.5</f>
        <v>0.53452248382484879</v>
      </c>
      <c r="H4" s="38">
        <f>IF(F4=7,1,((F4+0.99)/7)^0.5)</f>
        <v>0.65356167049702141</v>
      </c>
      <c r="I4" s="38"/>
      <c r="J4" s="104">
        <f ca="1">PLANTILLA!N5</f>
        <v>1</v>
      </c>
      <c r="K4" s="29">
        <f>PLANTILLA!I5</f>
        <v>2.2999999999999998</v>
      </c>
      <c r="L4" s="36">
        <f>PLANTILLA!X5</f>
        <v>5.95</v>
      </c>
      <c r="M4" s="36">
        <f>PLANTILLA!Y5</f>
        <v>6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7</v>
      </c>
      <c r="S4" s="27">
        <f t="shared" ca="1" si="0"/>
        <v>6.5022012011244783</v>
      </c>
      <c r="T4" s="27">
        <f t="shared" ca="1" si="1"/>
        <v>9.6163541817316158</v>
      </c>
    </row>
    <row r="5" spans="1:21" x14ac:dyDescent="0.25">
      <c r="A5" t="s">
        <v>668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669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670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671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672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673</v>
      </c>
      <c r="B10">
        <v>21</v>
      </c>
      <c r="C10">
        <v>82</v>
      </c>
      <c r="D10" t="s">
        <v>674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W29"/>
  <sheetViews>
    <sheetView zoomScale="110" workbookViewId="0">
      <selection activeCell="C15" sqref="C15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350" t="s">
        <v>795</v>
      </c>
      <c r="B1" s="350" t="s">
        <v>202</v>
      </c>
      <c r="C1" s="350" t="s">
        <v>203</v>
      </c>
      <c r="D1" s="350" t="s">
        <v>204</v>
      </c>
      <c r="E1" s="350" t="s">
        <v>205</v>
      </c>
      <c r="F1" s="350" t="s">
        <v>206</v>
      </c>
      <c r="G1" s="350" t="s">
        <v>207</v>
      </c>
      <c r="H1" s="350" t="s">
        <v>123</v>
      </c>
      <c r="I1" s="350" t="s">
        <v>208</v>
      </c>
      <c r="J1" s="350" t="s">
        <v>209</v>
      </c>
      <c r="K1" s="350" t="s">
        <v>210</v>
      </c>
      <c r="L1" s="350" t="s">
        <v>211</v>
      </c>
      <c r="M1" s="350" t="s">
        <v>212</v>
      </c>
      <c r="N1" s="350" t="s">
        <v>213</v>
      </c>
      <c r="O1" s="350" t="s">
        <v>214</v>
      </c>
      <c r="P1" s="350" t="s">
        <v>189</v>
      </c>
      <c r="Q1" s="350" t="s">
        <v>169</v>
      </c>
      <c r="R1" s="350" t="s">
        <v>162</v>
      </c>
      <c r="S1" s="350" t="s">
        <v>199</v>
      </c>
      <c r="T1" s="350" t="s">
        <v>159</v>
      </c>
      <c r="U1" s="350" t="s">
        <v>215</v>
      </c>
      <c r="V1" s="350" t="s">
        <v>216</v>
      </c>
      <c r="W1" s="350" t="s">
        <v>217</v>
      </c>
    </row>
    <row r="2" spans="1:23" x14ac:dyDescent="0.25">
      <c r="A2" s="42" t="s">
        <v>796</v>
      </c>
      <c r="B2" s="113">
        <v>39966</v>
      </c>
      <c r="C2" s="42" t="s">
        <v>231</v>
      </c>
      <c r="D2" s="42" t="s">
        <v>797</v>
      </c>
      <c r="E2" s="239">
        <v>660831042</v>
      </c>
      <c r="F2" s="239">
        <v>719932639</v>
      </c>
      <c r="G2" s="42">
        <v>1957</v>
      </c>
      <c r="H2" s="240">
        <v>1498610</v>
      </c>
      <c r="I2" s="239">
        <v>567506</v>
      </c>
      <c r="J2" s="240">
        <v>1394210</v>
      </c>
      <c r="K2" s="239">
        <v>502888</v>
      </c>
      <c r="L2" s="36">
        <v>6</v>
      </c>
      <c r="M2" s="36">
        <v>7</v>
      </c>
      <c r="N2" s="36">
        <v>9.25</v>
      </c>
      <c r="O2" s="42" t="s">
        <v>798</v>
      </c>
      <c r="P2" s="42">
        <v>1</v>
      </c>
      <c r="Q2" s="42">
        <v>3</v>
      </c>
      <c r="R2" s="42">
        <v>1</v>
      </c>
      <c r="S2" s="42">
        <v>0</v>
      </c>
      <c r="T2" s="42">
        <v>1</v>
      </c>
      <c r="U2" s="42">
        <f t="shared" ref="U2:U9" si="0">SUM(P2:T2)</f>
        <v>6</v>
      </c>
      <c r="V2" s="42" t="s">
        <v>799</v>
      </c>
      <c r="W2" s="42" t="s">
        <v>800</v>
      </c>
    </row>
    <row r="3" spans="1:23" x14ac:dyDescent="0.25">
      <c r="A3" s="42" t="s">
        <v>801</v>
      </c>
      <c r="B3" s="113">
        <v>40045</v>
      </c>
      <c r="C3" s="42" t="s">
        <v>821</v>
      </c>
      <c r="D3" s="42" t="s">
        <v>255</v>
      </c>
      <c r="E3" s="239">
        <v>611700702</v>
      </c>
      <c r="F3" s="239">
        <v>646447378</v>
      </c>
      <c r="G3" s="42">
        <v>1082</v>
      </c>
      <c r="H3" s="240">
        <v>712010</v>
      </c>
      <c r="I3" s="239">
        <v>181102</v>
      </c>
      <c r="J3" s="240">
        <v>705200</v>
      </c>
      <c r="K3" s="239">
        <v>178568</v>
      </c>
      <c r="L3" s="36">
        <v>6</v>
      </c>
      <c r="M3" s="36">
        <v>6.25</v>
      </c>
      <c r="N3" s="36">
        <v>6.75</v>
      </c>
      <c r="O3" s="42" t="s">
        <v>826</v>
      </c>
      <c r="P3" s="42">
        <v>1</v>
      </c>
      <c r="Q3" s="42">
        <v>3</v>
      </c>
      <c r="R3" s="42">
        <v>1</v>
      </c>
      <c r="S3" s="42">
        <v>1</v>
      </c>
      <c r="T3" s="42">
        <v>2</v>
      </c>
      <c r="U3" s="42">
        <f t="shared" si="0"/>
        <v>8</v>
      </c>
      <c r="V3" s="42" t="s">
        <v>799</v>
      </c>
      <c r="W3" s="42" t="s">
        <v>802</v>
      </c>
    </row>
    <row r="4" spans="1:23" x14ac:dyDescent="0.25">
      <c r="A4" s="42" t="s">
        <v>803</v>
      </c>
      <c r="B4" s="113">
        <v>39067</v>
      </c>
      <c r="C4" s="42" t="s">
        <v>804</v>
      </c>
      <c r="D4" s="42" t="s">
        <v>805</v>
      </c>
      <c r="E4" s="239">
        <v>285573364</v>
      </c>
      <c r="F4" s="239">
        <v>326420263</v>
      </c>
      <c r="G4" s="42">
        <v>589</v>
      </c>
      <c r="H4" s="240">
        <v>2218860</v>
      </c>
      <c r="I4" s="239">
        <v>406454</v>
      </c>
      <c r="J4" s="240">
        <v>2207750</v>
      </c>
      <c r="K4" s="239">
        <v>403510</v>
      </c>
      <c r="L4" s="36">
        <v>6</v>
      </c>
      <c r="M4" s="36">
        <v>6</v>
      </c>
      <c r="N4" s="36">
        <v>6.75</v>
      </c>
      <c r="O4" s="42" t="s">
        <v>806</v>
      </c>
      <c r="P4" s="42">
        <v>1</v>
      </c>
      <c r="Q4" s="42">
        <v>1</v>
      </c>
      <c r="R4" s="42">
        <v>1</v>
      </c>
      <c r="S4" s="42">
        <v>0</v>
      </c>
      <c r="T4" s="42">
        <v>1</v>
      </c>
      <c r="U4" s="42">
        <f t="shared" si="0"/>
        <v>4</v>
      </c>
      <c r="V4" s="42" t="s">
        <v>799</v>
      </c>
      <c r="W4" s="42">
        <v>352</v>
      </c>
    </row>
    <row r="5" spans="1:23" x14ac:dyDescent="0.25">
      <c r="A5" s="42" t="s">
        <v>807</v>
      </c>
      <c r="B5" s="113">
        <v>39248</v>
      </c>
      <c r="C5" s="42" t="s">
        <v>247</v>
      </c>
      <c r="D5" s="42" t="s">
        <v>808</v>
      </c>
      <c r="E5" s="239">
        <v>341496415</v>
      </c>
      <c r="F5" s="239">
        <v>390590858</v>
      </c>
      <c r="G5" s="42">
        <v>1273</v>
      </c>
      <c r="H5" s="240">
        <v>1354780</v>
      </c>
      <c r="I5" s="239">
        <v>346236</v>
      </c>
      <c r="J5" s="240">
        <v>1280580</v>
      </c>
      <c r="K5" s="239">
        <v>307364</v>
      </c>
      <c r="L5" s="36">
        <v>6</v>
      </c>
      <c r="M5" s="36">
        <v>5.75</v>
      </c>
      <c r="N5" s="36">
        <v>10</v>
      </c>
      <c r="O5" s="42" t="s">
        <v>809</v>
      </c>
      <c r="P5" s="42">
        <v>3</v>
      </c>
      <c r="Q5" s="42">
        <v>3</v>
      </c>
      <c r="R5" s="42">
        <v>1</v>
      </c>
      <c r="S5" s="42">
        <v>1</v>
      </c>
      <c r="T5" s="42">
        <v>3</v>
      </c>
      <c r="U5" s="42">
        <f t="shared" si="0"/>
        <v>11</v>
      </c>
      <c r="V5" s="42" t="s">
        <v>810</v>
      </c>
      <c r="W5" s="42">
        <v>352</v>
      </c>
    </row>
    <row r="6" spans="1:23" x14ac:dyDescent="0.25">
      <c r="A6" s="42" t="s">
        <v>811</v>
      </c>
      <c r="B6" s="113">
        <v>42724</v>
      </c>
      <c r="C6" s="42" t="s">
        <v>242</v>
      </c>
      <c r="D6" s="42" t="s">
        <v>812</v>
      </c>
      <c r="E6" s="239">
        <v>51840220</v>
      </c>
      <c r="F6" s="239">
        <v>37476063</v>
      </c>
      <c r="G6" s="42">
        <v>344</v>
      </c>
      <c r="H6" s="240">
        <v>2110120</v>
      </c>
      <c r="I6" s="239">
        <v>345690</v>
      </c>
      <c r="J6" s="240">
        <v>1826850</v>
      </c>
      <c r="K6" s="239">
        <v>275318</v>
      </c>
      <c r="L6" s="36">
        <v>6</v>
      </c>
      <c r="M6" s="36">
        <v>7.25</v>
      </c>
      <c r="N6" s="36">
        <v>7.75</v>
      </c>
      <c r="O6" s="42" t="s">
        <v>282</v>
      </c>
      <c r="P6" s="42">
        <v>2</v>
      </c>
      <c r="Q6" s="42">
        <v>3</v>
      </c>
      <c r="R6" s="42">
        <v>4</v>
      </c>
      <c r="S6" s="42">
        <v>0</v>
      </c>
      <c r="T6" s="42">
        <v>2</v>
      </c>
      <c r="U6" s="42">
        <f t="shared" si="0"/>
        <v>11</v>
      </c>
      <c r="V6" s="42" t="s">
        <v>813</v>
      </c>
      <c r="W6" s="42" t="s">
        <v>814</v>
      </c>
    </row>
    <row r="7" spans="1:23" x14ac:dyDescent="0.25">
      <c r="A7" s="42" t="s">
        <v>815</v>
      </c>
      <c r="B7" s="113">
        <v>39413</v>
      </c>
      <c r="C7" s="42" t="s">
        <v>816</v>
      </c>
      <c r="D7" s="42" t="s">
        <v>817</v>
      </c>
      <c r="E7" s="239">
        <v>310869731</v>
      </c>
      <c r="F7" s="239">
        <v>313072470</v>
      </c>
      <c r="G7" s="42">
        <v>496</v>
      </c>
      <c r="H7" s="240">
        <v>930840</v>
      </c>
      <c r="I7" s="239">
        <v>178784</v>
      </c>
      <c r="J7" s="240">
        <v>844690</v>
      </c>
      <c r="K7" s="239">
        <v>159764</v>
      </c>
      <c r="L7" s="36">
        <v>6.25</v>
      </c>
      <c r="M7" s="36">
        <v>7.25</v>
      </c>
      <c r="N7" s="36">
        <v>6.75</v>
      </c>
      <c r="O7" s="42" t="s">
        <v>818</v>
      </c>
      <c r="P7" s="42">
        <v>0</v>
      </c>
      <c r="Q7" s="42">
        <v>3</v>
      </c>
      <c r="R7" s="42">
        <v>1</v>
      </c>
      <c r="S7" s="42">
        <v>1</v>
      </c>
      <c r="T7" s="42">
        <v>2</v>
      </c>
      <c r="U7" s="42">
        <f t="shared" si="0"/>
        <v>7</v>
      </c>
      <c r="V7" s="42" t="s">
        <v>819</v>
      </c>
      <c r="W7" s="42">
        <v>352</v>
      </c>
    </row>
    <row r="8" spans="1:23" x14ac:dyDescent="0.25">
      <c r="A8" s="42" t="s">
        <v>820</v>
      </c>
      <c r="B8" s="113">
        <v>39396</v>
      </c>
      <c r="C8" s="42" t="s">
        <v>821</v>
      </c>
      <c r="D8" s="42" t="s">
        <v>822</v>
      </c>
      <c r="E8" s="239">
        <v>350603253</v>
      </c>
      <c r="F8" s="239">
        <v>392730172</v>
      </c>
      <c r="G8" s="42">
        <v>927</v>
      </c>
      <c r="H8" s="240">
        <v>1238970</v>
      </c>
      <c r="I8" s="239">
        <v>330288</v>
      </c>
      <c r="J8" s="240">
        <v>1173940</v>
      </c>
      <c r="K8" s="239">
        <v>300720</v>
      </c>
      <c r="L8" s="36">
        <v>5.75</v>
      </c>
      <c r="M8" s="36">
        <v>6.5</v>
      </c>
      <c r="N8" s="36">
        <v>10.25</v>
      </c>
      <c r="O8" s="42" t="s">
        <v>823</v>
      </c>
      <c r="P8" s="42">
        <v>2</v>
      </c>
      <c r="Q8" s="42">
        <v>3</v>
      </c>
      <c r="R8" s="42">
        <v>2</v>
      </c>
      <c r="S8" s="42">
        <v>2</v>
      </c>
      <c r="T8" s="42">
        <v>0</v>
      </c>
      <c r="U8" s="42">
        <f t="shared" si="0"/>
        <v>9</v>
      </c>
      <c r="V8" s="42" t="s">
        <v>799</v>
      </c>
      <c r="W8" s="42">
        <v>352</v>
      </c>
    </row>
    <row r="9" spans="1:23" x14ac:dyDescent="0.25">
      <c r="A9" s="42" t="s">
        <v>254</v>
      </c>
      <c r="B9" s="113">
        <v>40792</v>
      </c>
      <c r="C9" s="42" t="s">
        <v>247</v>
      </c>
      <c r="D9" s="42" t="s">
        <v>255</v>
      </c>
      <c r="E9" s="239">
        <v>320425896</v>
      </c>
      <c r="F9" s="239">
        <v>323175820</v>
      </c>
      <c r="G9" s="42">
        <v>930</v>
      </c>
      <c r="H9" s="240">
        <v>2983360</v>
      </c>
      <c r="I9" s="239">
        <v>400864</v>
      </c>
      <c r="J9" s="240">
        <v>2563140</v>
      </c>
      <c r="K9" s="239">
        <v>292382</v>
      </c>
      <c r="L9" s="36">
        <v>6</v>
      </c>
      <c r="M9" s="36">
        <v>7</v>
      </c>
      <c r="N9" s="36">
        <v>8.25</v>
      </c>
      <c r="O9" s="42" t="s">
        <v>824</v>
      </c>
      <c r="P9" s="42">
        <v>0</v>
      </c>
      <c r="Q9" s="42">
        <v>0</v>
      </c>
      <c r="R9" s="42">
        <v>3</v>
      </c>
      <c r="S9" s="42">
        <v>0</v>
      </c>
      <c r="T9" s="42">
        <v>3</v>
      </c>
      <c r="U9" s="42">
        <f t="shared" si="0"/>
        <v>6</v>
      </c>
      <c r="V9" s="42" t="s">
        <v>825</v>
      </c>
      <c r="W9" s="42" t="s">
        <v>279</v>
      </c>
    </row>
    <row r="11" spans="1:23" x14ac:dyDescent="0.25">
      <c r="A11" s="238" t="s">
        <v>201</v>
      </c>
      <c r="B11" s="238" t="s">
        <v>202</v>
      </c>
      <c r="C11" s="238" t="s">
        <v>203</v>
      </c>
      <c r="D11" s="238" t="s">
        <v>204</v>
      </c>
      <c r="E11" s="238" t="s">
        <v>205</v>
      </c>
      <c r="F11" s="238" t="s">
        <v>206</v>
      </c>
      <c r="G11" s="238" t="s">
        <v>207</v>
      </c>
      <c r="H11" s="238" t="s">
        <v>123</v>
      </c>
      <c r="I11" s="238" t="s">
        <v>208</v>
      </c>
      <c r="J11" s="238" t="s">
        <v>209</v>
      </c>
      <c r="K11" s="238" t="s">
        <v>210</v>
      </c>
      <c r="L11" s="238" t="s">
        <v>211</v>
      </c>
      <c r="M11" s="238" t="s">
        <v>212</v>
      </c>
      <c r="N11" s="238" t="s">
        <v>213</v>
      </c>
      <c r="O11" s="238" t="s">
        <v>214</v>
      </c>
      <c r="P11" s="238" t="s">
        <v>189</v>
      </c>
      <c r="Q11" s="238" t="s">
        <v>169</v>
      </c>
      <c r="R11" s="238" t="s">
        <v>162</v>
      </c>
      <c r="S11" s="238" t="s">
        <v>199</v>
      </c>
      <c r="T11" s="238" t="s">
        <v>159</v>
      </c>
      <c r="U11" s="238" t="s">
        <v>215</v>
      </c>
      <c r="V11" s="238" t="s">
        <v>216</v>
      </c>
      <c r="W11" s="238" t="s">
        <v>217</v>
      </c>
    </row>
    <row r="12" spans="1:23" x14ac:dyDescent="0.25">
      <c r="A12" s="42" t="s">
        <v>218</v>
      </c>
      <c r="B12" s="113">
        <v>41884</v>
      </c>
      <c r="C12" s="42" t="s">
        <v>219</v>
      </c>
      <c r="D12" s="42" t="s">
        <v>220</v>
      </c>
      <c r="E12" s="239">
        <v>47129110</v>
      </c>
      <c r="F12" s="239">
        <v>36220760</v>
      </c>
      <c r="G12" s="42">
        <v>115</v>
      </c>
      <c r="H12" s="240">
        <v>1109350</v>
      </c>
      <c r="I12" s="239">
        <v>294908</v>
      </c>
      <c r="J12" s="240">
        <v>1036370</v>
      </c>
      <c r="K12" s="239">
        <v>264270</v>
      </c>
      <c r="L12" s="42">
        <v>5.5</v>
      </c>
      <c r="M12" s="42">
        <v>6.5</v>
      </c>
      <c r="N12" s="42">
        <v>5.5</v>
      </c>
      <c r="O12" s="42" t="s">
        <v>221</v>
      </c>
      <c r="P12" s="42">
        <v>0</v>
      </c>
      <c r="Q12" s="42">
        <v>5</v>
      </c>
      <c r="R12" s="42">
        <v>0</v>
      </c>
      <c r="S12" s="42">
        <v>1</v>
      </c>
      <c r="T12" s="42">
        <v>5</v>
      </c>
      <c r="U12" s="42">
        <f t="shared" ref="U12:U19" si="1">SUM(P12:T12)</f>
        <v>11</v>
      </c>
      <c r="V12" s="42" t="s">
        <v>222</v>
      </c>
      <c r="W12" s="42" t="s">
        <v>223</v>
      </c>
    </row>
    <row r="13" spans="1:23" x14ac:dyDescent="0.25">
      <c r="A13" s="42" t="s">
        <v>224</v>
      </c>
      <c r="B13" s="113">
        <v>39559</v>
      </c>
      <c r="C13" s="42" t="s">
        <v>225</v>
      </c>
      <c r="D13" s="42" t="s">
        <v>226</v>
      </c>
      <c r="E13" s="239">
        <v>256348598</v>
      </c>
      <c r="F13" s="239">
        <v>272162542</v>
      </c>
      <c r="G13" s="42">
        <v>482</v>
      </c>
      <c r="H13" s="240">
        <v>1213540</v>
      </c>
      <c r="I13" s="239">
        <v>226018</v>
      </c>
      <c r="J13" s="240">
        <v>1085590</v>
      </c>
      <c r="K13" s="239">
        <v>181988</v>
      </c>
      <c r="L13" s="42">
        <v>5.75</v>
      </c>
      <c r="M13" s="42">
        <v>6.75</v>
      </c>
      <c r="N13" s="42">
        <v>4.5</v>
      </c>
      <c r="O13" s="42" t="s">
        <v>227</v>
      </c>
      <c r="P13" s="42">
        <v>0</v>
      </c>
      <c r="Q13" s="42">
        <v>1</v>
      </c>
      <c r="R13" s="42">
        <v>1</v>
      </c>
      <c r="S13" s="42">
        <v>1</v>
      </c>
      <c r="T13" s="42">
        <v>1</v>
      </c>
      <c r="U13" s="42">
        <f t="shared" si="1"/>
        <v>4</v>
      </c>
      <c r="V13" s="42" t="s">
        <v>228</v>
      </c>
      <c r="W13" s="42" t="s">
        <v>229</v>
      </c>
    </row>
    <row r="14" spans="1:23" x14ac:dyDescent="0.25">
      <c r="A14" s="42" t="s">
        <v>230</v>
      </c>
      <c r="B14" s="113">
        <v>42028</v>
      </c>
      <c r="C14" s="42" t="s">
        <v>231</v>
      </c>
      <c r="D14" s="42" t="s">
        <v>232</v>
      </c>
      <c r="E14" s="239">
        <v>90598139</v>
      </c>
      <c r="F14" s="239">
        <v>95834988</v>
      </c>
      <c r="G14" s="42">
        <v>246</v>
      </c>
      <c r="H14" s="240">
        <v>1323480</v>
      </c>
      <c r="I14" s="239">
        <v>367712</v>
      </c>
      <c r="J14" s="240">
        <v>1200260</v>
      </c>
      <c r="K14" s="239">
        <v>313134</v>
      </c>
      <c r="L14" s="42">
        <v>6</v>
      </c>
      <c r="M14" s="42">
        <v>6</v>
      </c>
      <c r="N14" s="42">
        <v>5.5</v>
      </c>
      <c r="O14" s="42" t="s">
        <v>233</v>
      </c>
      <c r="P14" s="42">
        <v>2</v>
      </c>
      <c r="Q14" s="42">
        <v>1</v>
      </c>
      <c r="R14" s="42">
        <v>0</v>
      </c>
      <c r="S14" s="42">
        <v>3</v>
      </c>
      <c r="T14" s="42">
        <v>0</v>
      </c>
      <c r="U14" s="42">
        <f t="shared" si="1"/>
        <v>6</v>
      </c>
      <c r="V14" s="42" t="s">
        <v>234</v>
      </c>
      <c r="W14" s="42" t="s">
        <v>235</v>
      </c>
    </row>
    <row r="15" spans="1:23" x14ac:dyDescent="0.25">
      <c r="A15" s="42" t="s">
        <v>236</v>
      </c>
      <c r="B15" s="113">
        <v>39638</v>
      </c>
      <c r="C15" s="42" t="s">
        <v>231</v>
      </c>
      <c r="D15" s="42" t="s">
        <v>237</v>
      </c>
      <c r="E15" s="239">
        <v>101904410</v>
      </c>
      <c r="F15" s="239">
        <v>106728274</v>
      </c>
      <c r="G15" s="42">
        <v>369</v>
      </c>
      <c r="H15" s="240">
        <v>1091490</v>
      </c>
      <c r="I15" s="239">
        <v>314820</v>
      </c>
      <c r="J15" s="240">
        <v>1035660</v>
      </c>
      <c r="K15" s="239">
        <v>295298</v>
      </c>
      <c r="L15" s="42">
        <v>5.25</v>
      </c>
      <c r="M15" s="42">
        <v>5</v>
      </c>
      <c r="N15" s="42">
        <v>6.25</v>
      </c>
      <c r="O15" s="42" t="s">
        <v>238</v>
      </c>
      <c r="P15" s="42">
        <v>0</v>
      </c>
      <c r="Q15" s="42">
        <v>2</v>
      </c>
      <c r="R15" s="42">
        <v>0</v>
      </c>
      <c r="S15" s="42">
        <v>2</v>
      </c>
      <c r="T15" s="42">
        <v>0</v>
      </c>
      <c r="U15" s="42">
        <f t="shared" si="1"/>
        <v>4</v>
      </c>
      <c r="V15" s="42" t="s">
        <v>239</v>
      </c>
      <c r="W15" s="42" t="s">
        <v>240</v>
      </c>
    </row>
    <row r="16" spans="1:23" x14ac:dyDescent="0.25">
      <c r="A16" s="42" t="s">
        <v>241</v>
      </c>
      <c r="B16" s="113">
        <v>38176</v>
      </c>
      <c r="C16" s="42" t="s">
        <v>242</v>
      </c>
      <c r="D16" s="42" t="s">
        <v>226</v>
      </c>
      <c r="E16" s="239">
        <v>114552212</v>
      </c>
      <c r="F16" s="239">
        <v>106068085</v>
      </c>
      <c r="G16" s="42">
        <v>332</v>
      </c>
      <c r="H16" s="240">
        <v>613770</v>
      </c>
      <c r="I16" s="239">
        <v>214342</v>
      </c>
      <c r="J16" s="240">
        <v>594970</v>
      </c>
      <c r="K16" s="239">
        <v>196056</v>
      </c>
      <c r="L16" s="42">
        <v>5.75</v>
      </c>
      <c r="M16" s="42">
        <v>6.5</v>
      </c>
      <c r="N16" s="42">
        <v>5.25</v>
      </c>
      <c r="O16" s="42" t="s">
        <v>243</v>
      </c>
      <c r="P16" s="42">
        <v>0</v>
      </c>
      <c r="Q16" s="42">
        <v>2</v>
      </c>
      <c r="R16" s="42">
        <v>2</v>
      </c>
      <c r="S16" s="42">
        <v>0</v>
      </c>
      <c r="T16" s="42">
        <v>0</v>
      </c>
      <c r="U16" s="42">
        <f t="shared" si="1"/>
        <v>4</v>
      </c>
      <c r="V16" s="42" t="s">
        <v>244</v>
      </c>
      <c r="W16" s="42" t="s">
        <v>245</v>
      </c>
    </row>
    <row r="17" spans="1:23" x14ac:dyDescent="0.25">
      <c r="A17" s="42" t="s">
        <v>246</v>
      </c>
      <c r="B17" s="113">
        <v>37938</v>
      </c>
      <c r="C17" s="42" t="s">
        <v>247</v>
      </c>
      <c r="D17" s="42" t="s">
        <v>226</v>
      </c>
      <c r="E17" s="239">
        <v>152808114</v>
      </c>
      <c r="F17" s="239">
        <v>152569289</v>
      </c>
      <c r="G17" s="42">
        <v>454</v>
      </c>
      <c r="H17" s="240">
        <v>735430</v>
      </c>
      <c r="I17" s="239">
        <v>218146</v>
      </c>
      <c r="J17" s="240">
        <v>656840</v>
      </c>
      <c r="K17" s="239">
        <v>183738</v>
      </c>
      <c r="L17" s="42">
        <v>6.25</v>
      </c>
      <c r="M17" s="42">
        <v>6.5</v>
      </c>
      <c r="N17" s="42">
        <v>5.5</v>
      </c>
      <c r="O17" s="42" t="s">
        <v>248</v>
      </c>
      <c r="P17" s="42">
        <v>0</v>
      </c>
      <c r="Q17" s="42">
        <v>0</v>
      </c>
      <c r="R17" s="42">
        <v>0</v>
      </c>
      <c r="S17" s="42">
        <v>2</v>
      </c>
      <c r="T17" s="42">
        <v>1</v>
      </c>
      <c r="U17" s="42">
        <f t="shared" si="1"/>
        <v>3</v>
      </c>
      <c r="V17" s="42" t="s">
        <v>249</v>
      </c>
      <c r="W17" s="42">
        <v>352</v>
      </c>
    </row>
    <row r="18" spans="1:23" x14ac:dyDescent="0.25">
      <c r="A18" s="42" t="s">
        <v>250</v>
      </c>
      <c r="B18" s="113">
        <v>40968</v>
      </c>
      <c r="C18" s="42" t="s">
        <v>242</v>
      </c>
      <c r="D18" s="42" t="s">
        <v>251</v>
      </c>
      <c r="E18" s="239">
        <v>37248599</v>
      </c>
      <c r="F18" s="239">
        <v>18434858</v>
      </c>
      <c r="G18" s="42">
        <v>83</v>
      </c>
      <c r="H18" s="240">
        <v>926910</v>
      </c>
      <c r="I18" s="239">
        <v>175590</v>
      </c>
      <c r="J18" s="240">
        <v>811840</v>
      </c>
      <c r="K18" s="239">
        <v>152758</v>
      </c>
      <c r="L18" s="42">
        <v>6</v>
      </c>
      <c r="M18" s="42">
        <v>5.75</v>
      </c>
      <c r="N18" s="42">
        <v>5.75</v>
      </c>
      <c r="O18" s="42" t="s">
        <v>252</v>
      </c>
      <c r="P18" s="42">
        <v>1</v>
      </c>
      <c r="Q18" s="42">
        <v>0</v>
      </c>
      <c r="R18" s="42">
        <v>2</v>
      </c>
      <c r="S18" s="42">
        <v>4</v>
      </c>
      <c r="T18" s="42">
        <v>1</v>
      </c>
      <c r="U18" s="42">
        <f t="shared" si="1"/>
        <v>8</v>
      </c>
      <c r="V18" s="42" t="s">
        <v>253</v>
      </c>
      <c r="W18" s="42" t="s">
        <v>223</v>
      </c>
    </row>
    <row r="19" spans="1:23" x14ac:dyDescent="0.25">
      <c r="A19" s="42" t="s">
        <v>254</v>
      </c>
      <c r="B19" s="113">
        <v>40792</v>
      </c>
      <c r="C19" s="42" t="s">
        <v>247</v>
      </c>
      <c r="D19" s="42" t="s">
        <v>255</v>
      </c>
      <c r="E19" s="239">
        <v>276071009</v>
      </c>
      <c r="F19" s="239">
        <v>299255460</v>
      </c>
      <c r="G19" s="42">
        <v>893</v>
      </c>
      <c r="H19" s="240">
        <v>1389140</v>
      </c>
      <c r="I19" s="239">
        <v>226850</v>
      </c>
      <c r="J19" s="240">
        <v>1203640</v>
      </c>
      <c r="K19" s="239">
        <v>176410</v>
      </c>
      <c r="L19" s="42">
        <v>5.25</v>
      </c>
      <c r="M19" s="42">
        <v>6.25</v>
      </c>
      <c r="N19" s="42">
        <v>4.5</v>
      </c>
      <c r="O19" s="42" t="s">
        <v>256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257</v>
      </c>
      <c r="W19" s="42" t="s">
        <v>258</v>
      </c>
    </row>
    <row r="21" spans="1:23" x14ac:dyDescent="0.25">
      <c r="A21" s="238" t="s">
        <v>259</v>
      </c>
      <c r="B21" s="238" t="s">
        <v>202</v>
      </c>
      <c r="C21" s="238" t="s">
        <v>203</v>
      </c>
      <c r="D21" s="238" t="s">
        <v>204</v>
      </c>
      <c r="E21" s="238" t="s">
        <v>205</v>
      </c>
      <c r="F21" s="238" t="s">
        <v>206</v>
      </c>
      <c r="G21" s="238" t="s">
        <v>207</v>
      </c>
      <c r="H21" s="238" t="s">
        <v>123</v>
      </c>
      <c r="I21" s="238" t="s">
        <v>208</v>
      </c>
      <c r="J21" s="238" t="s">
        <v>209</v>
      </c>
      <c r="K21" s="238" t="s">
        <v>210</v>
      </c>
      <c r="L21" s="238" t="s">
        <v>211</v>
      </c>
      <c r="M21" s="238" t="s">
        <v>212</v>
      </c>
      <c r="N21" s="238" t="s">
        <v>213</v>
      </c>
      <c r="O21" s="238" t="s">
        <v>214</v>
      </c>
      <c r="P21" s="238" t="s">
        <v>189</v>
      </c>
      <c r="Q21" s="238" t="s">
        <v>169</v>
      </c>
      <c r="R21" s="238" t="s">
        <v>162</v>
      </c>
      <c r="S21" s="238" t="s">
        <v>199</v>
      </c>
      <c r="T21" s="238" t="s">
        <v>159</v>
      </c>
      <c r="U21" s="238" t="s">
        <v>215</v>
      </c>
      <c r="V21" s="238" t="s">
        <v>216</v>
      </c>
      <c r="W21" s="238" t="s">
        <v>217</v>
      </c>
    </row>
    <row r="22" spans="1:23" x14ac:dyDescent="0.25">
      <c r="A22" s="42" t="s">
        <v>260</v>
      </c>
      <c r="B22" s="113">
        <v>42188</v>
      </c>
      <c r="C22" s="42" t="s">
        <v>261</v>
      </c>
      <c r="D22" s="42" t="s">
        <v>262</v>
      </c>
      <c r="E22" s="239">
        <v>82460995</v>
      </c>
      <c r="F22" s="239">
        <v>96298020</v>
      </c>
      <c r="G22" s="42">
        <v>203</v>
      </c>
      <c r="H22" s="240">
        <v>815450</v>
      </c>
      <c r="I22" s="239">
        <v>255716</v>
      </c>
      <c r="J22" s="240">
        <v>694460</v>
      </c>
      <c r="K22" s="239">
        <v>181616</v>
      </c>
      <c r="L22" s="42">
        <v>5.5</v>
      </c>
      <c r="M22" s="42">
        <v>6.25</v>
      </c>
      <c r="N22" s="42">
        <v>5.5</v>
      </c>
      <c r="O22" s="42" t="s">
        <v>221</v>
      </c>
      <c r="P22" s="42">
        <v>2</v>
      </c>
      <c r="Q22" s="42">
        <v>1</v>
      </c>
      <c r="R22" s="42">
        <v>2</v>
      </c>
      <c r="S22" s="42">
        <v>1</v>
      </c>
      <c r="T22" s="42">
        <v>0</v>
      </c>
      <c r="U22" s="42">
        <f t="shared" ref="U22:U29" si="2">SUM(P22:T22)</f>
        <v>6</v>
      </c>
      <c r="V22" s="42" t="s">
        <v>249</v>
      </c>
      <c r="W22" s="42" t="s">
        <v>263</v>
      </c>
    </row>
    <row r="23" spans="1:23" x14ac:dyDescent="0.25">
      <c r="A23" s="42" t="s">
        <v>264</v>
      </c>
      <c r="B23" s="113">
        <v>41373</v>
      </c>
      <c r="C23" s="42" t="s">
        <v>265</v>
      </c>
      <c r="D23" s="42" t="s">
        <v>266</v>
      </c>
      <c r="E23" s="239">
        <v>60889118</v>
      </c>
      <c r="F23" s="239">
        <v>48697720</v>
      </c>
      <c r="G23" s="42">
        <v>89</v>
      </c>
      <c r="H23" s="240">
        <v>1177340</v>
      </c>
      <c r="I23" s="239">
        <v>300932</v>
      </c>
      <c r="J23" s="240">
        <v>1140440</v>
      </c>
      <c r="K23" s="239">
        <v>291780</v>
      </c>
      <c r="L23" s="42">
        <v>5.75</v>
      </c>
      <c r="M23" s="42">
        <v>6.25</v>
      </c>
      <c r="N23" s="42">
        <v>6.5</v>
      </c>
      <c r="O23" s="42" t="s">
        <v>233</v>
      </c>
      <c r="P23" s="42">
        <v>0</v>
      </c>
      <c r="Q23" s="42">
        <v>1</v>
      </c>
      <c r="R23" s="42">
        <v>0</v>
      </c>
      <c r="S23" s="42">
        <v>1</v>
      </c>
      <c r="T23" s="42">
        <v>0</v>
      </c>
      <c r="U23" s="42">
        <f t="shared" si="2"/>
        <v>2</v>
      </c>
      <c r="V23" s="42" t="s">
        <v>267</v>
      </c>
      <c r="W23" s="42">
        <v>352</v>
      </c>
    </row>
    <row r="24" spans="1:23" x14ac:dyDescent="0.25">
      <c r="A24" s="42" t="s">
        <v>268</v>
      </c>
      <c r="B24" s="113">
        <v>40967</v>
      </c>
      <c r="C24" s="42" t="s">
        <v>261</v>
      </c>
      <c r="D24" s="42" t="s">
        <v>232</v>
      </c>
      <c r="E24" s="239">
        <v>82442500</v>
      </c>
      <c r="F24" s="239">
        <v>87332141</v>
      </c>
      <c r="G24" s="42">
        <v>178</v>
      </c>
      <c r="H24" s="240">
        <v>777010</v>
      </c>
      <c r="I24" s="239">
        <v>290792</v>
      </c>
      <c r="J24" s="240">
        <v>723210</v>
      </c>
      <c r="K24" s="239">
        <v>261158</v>
      </c>
      <c r="L24" s="42">
        <v>5.5</v>
      </c>
      <c r="M24" s="42">
        <v>5.75</v>
      </c>
      <c r="N24" s="42">
        <v>6.75</v>
      </c>
      <c r="O24" s="42" t="s">
        <v>269</v>
      </c>
      <c r="P24" s="42">
        <v>0</v>
      </c>
      <c r="Q24" s="42">
        <v>2</v>
      </c>
      <c r="R24" s="42">
        <v>2</v>
      </c>
      <c r="S24" s="42">
        <v>4</v>
      </c>
      <c r="T24" s="42">
        <v>2</v>
      </c>
      <c r="U24" s="42">
        <f t="shared" si="2"/>
        <v>10</v>
      </c>
      <c r="V24" s="42" t="s">
        <v>244</v>
      </c>
      <c r="W24" s="42">
        <v>352</v>
      </c>
    </row>
    <row r="25" spans="1:23" x14ac:dyDescent="0.25">
      <c r="A25" s="42" t="s">
        <v>270</v>
      </c>
      <c r="B25" s="113">
        <v>38761</v>
      </c>
      <c r="C25" s="42" t="s">
        <v>271</v>
      </c>
      <c r="D25" s="42" t="s">
        <v>272</v>
      </c>
      <c r="E25" s="239">
        <v>338220879</v>
      </c>
      <c r="F25" s="239">
        <v>354040033</v>
      </c>
      <c r="G25" s="42">
        <v>1243</v>
      </c>
      <c r="H25" s="240">
        <v>643900</v>
      </c>
      <c r="I25" s="239">
        <v>150312</v>
      </c>
      <c r="J25" s="240">
        <v>556130</v>
      </c>
      <c r="K25" s="239">
        <v>111082</v>
      </c>
      <c r="L25" s="42">
        <v>6</v>
      </c>
      <c r="M25" s="42">
        <v>6.25</v>
      </c>
      <c r="N25" s="42">
        <v>6.25</v>
      </c>
      <c r="O25" s="42" t="s">
        <v>273</v>
      </c>
      <c r="P25" s="42">
        <v>1</v>
      </c>
      <c r="Q25" s="42">
        <v>4</v>
      </c>
      <c r="R25" s="42">
        <v>1</v>
      </c>
      <c r="S25" s="42">
        <v>1</v>
      </c>
      <c r="T25" s="42">
        <v>0</v>
      </c>
      <c r="U25" s="42">
        <f t="shared" si="2"/>
        <v>7</v>
      </c>
      <c r="V25" s="42" t="s">
        <v>239</v>
      </c>
      <c r="W25" s="42" t="s">
        <v>274</v>
      </c>
    </row>
    <row r="26" spans="1:23" x14ac:dyDescent="0.25">
      <c r="A26" s="42" t="s">
        <v>275</v>
      </c>
      <c r="B26" s="113">
        <v>42114</v>
      </c>
      <c r="C26" s="42" t="s">
        <v>261</v>
      </c>
      <c r="D26" s="42" t="s">
        <v>276</v>
      </c>
      <c r="E26" s="239">
        <v>46709570</v>
      </c>
      <c r="F26" s="239">
        <v>37113808</v>
      </c>
      <c r="G26" s="42">
        <v>218</v>
      </c>
      <c r="H26" s="240">
        <v>829470</v>
      </c>
      <c r="I26" s="239">
        <v>182412</v>
      </c>
      <c r="J26" s="240">
        <v>756500</v>
      </c>
      <c r="K26" s="239">
        <v>160334</v>
      </c>
      <c r="L26" s="42">
        <v>5.25</v>
      </c>
      <c r="M26" s="42">
        <v>6.5</v>
      </c>
      <c r="N26" s="42">
        <v>5</v>
      </c>
      <c r="O26" s="42" t="s">
        <v>277</v>
      </c>
      <c r="P26" s="42">
        <v>2</v>
      </c>
      <c r="Q26" s="42">
        <v>3</v>
      </c>
      <c r="R26" s="42">
        <v>1</v>
      </c>
      <c r="S26" s="42">
        <v>1</v>
      </c>
      <c r="T26" s="42">
        <v>2</v>
      </c>
      <c r="U26" s="42">
        <f t="shared" si="2"/>
        <v>9</v>
      </c>
      <c r="V26" s="42" t="s">
        <v>278</v>
      </c>
      <c r="W26" s="42" t="s">
        <v>279</v>
      </c>
    </row>
    <row r="27" spans="1:23" x14ac:dyDescent="0.25">
      <c r="A27" s="42" t="s">
        <v>280</v>
      </c>
      <c r="B27" s="113">
        <v>42081</v>
      </c>
      <c r="C27" s="42" t="s">
        <v>281</v>
      </c>
      <c r="D27" s="42" t="s">
        <v>262</v>
      </c>
      <c r="E27" s="239">
        <v>65518666</v>
      </c>
      <c r="F27" s="239">
        <v>79171407</v>
      </c>
      <c r="G27" s="42">
        <v>144</v>
      </c>
      <c r="H27" s="240">
        <v>1116530</v>
      </c>
      <c r="I27" s="239">
        <v>355742</v>
      </c>
      <c r="J27" s="240">
        <v>1052690</v>
      </c>
      <c r="K27" s="239">
        <v>319518</v>
      </c>
      <c r="L27" s="42">
        <v>5.25</v>
      </c>
      <c r="M27" s="42">
        <v>6.25</v>
      </c>
      <c r="N27" s="42">
        <v>5.75</v>
      </c>
      <c r="O27" s="42" t="s">
        <v>282</v>
      </c>
      <c r="P27" s="42">
        <v>0</v>
      </c>
      <c r="Q27" s="42">
        <v>2</v>
      </c>
      <c r="R27" s="42">
        <v>0</v>
      </c>
      <c r="S27" s="42">
        <v>1</v>
      </c>
      <c r="T27" s="42">
        <v>1</v>
      </c>
      <c r="U27" s="42">
        <f t="shared" si="2"/>
        <v>4</v>
      </c>
      <c r="V27" s="42" t="s">
        <v>283</v>
      </c>
      <c r="W27" s="42" t="s">
        <v>284</v>
      </c>
    </row>
    <row r="28" spans="1:23" x14ac:dyDescent="0.25">
      <c r="A28" s="42" t="s">
        <v>285</v>
      </c>
      <c r="B28" s="113">
        <v>42987</v>
      </c>
      <c r="C28" s="42" t="s">
        <v>247</v>
      </c>
      <c r="D28" s="42" t="s">
        <v>286</v>
      </c>
      <c r="E28" s="239">
        <v>12127780</v>
      </c>
      <c r="F28" s="239">
        <v>10570244</v>
      </c>
      <c r="G28" s="42">
        <v>41</v>
      </c>
      <c r="H28" s="240">
        <v>485360</v>
      </c>
      <c r="I28" s="239">
        <v>114784</v>
      </c>
      <c r="J28" s="240">
        <v>416940</v>
      </c>
      <c r="K28" s="239">
        <v>101762</v>
      </c>
      <c r="L28" s="42">
        <v>6</v>
      </c>
      <c r="M28" s="42">
        <v>6.5</v>
      </c>
      <c r="N28" s="42">
        <v>3.5</v>
      </c>
      <c r="O28" s="42" t="s">
        <v>287</v>
      </c>
      <c r="P28" s="42">
        <v>4</v>
      </c>
      <c r="Q28" s="42">
        <v>0</v>
      </c>
      <c r="R28" s="42">
        <v>1</v>
      </c>
      <c r="S28" s="42">
        <v>0</v>
      </c>
      <c r="T28" s="42">
        <v>3</v>
      </c>
      <c r="U28" s="42">
        <f t="shared" si="2"/>
        <v>8</v>
      </c>
      <c r="V28" s="42" t="s">
        <v>288</v>
      </c>
      <c r="W28" s="42">
        <v>343</v>
      </c>
    </row>
    <row r="29" spans="1:23" x14ac:dyDescent="0.25">
      <c r="A29" s="42" t="s">
        <v>254</v>
      </c>
      <c r="B29" s="113">
        <v>40792</v>
      </c>
      <c r="C29" s="42" t="s">
        <v>247</v>
      </c>
      <c r="D29" s="42" t="s">
        <v>255</v>
      </c>
      <c r="E29" s="239">
        <v>276071009</v>
      </c>
      <c r="F29" s="239">
        <v>299255460</v>
      </c>
      <c r="G29" s="42">
        <v>893</v>
      </c>
      <c r="H29" s="240">
        <v>1389140</v>
      </c>
      <c r="I29" s="239">
        <v>226850</v>
      </c>
      <c r="J29" s="240">
        <v>1203640</v>
      </c>
      <c r="K29" s="239">
        <v>176410</v>
      </c>
      <c r="L29" s="42">
        <v>5.25</v>
      </c>
      <c r="M29" s="42">
        <v>6.25</v>
      </c>
      <c r="N29" s="42">
        <v>4.5</v>
      </c>
      <c r="O29" s="42" t="s">
        <v>256</v>
      </c>
      <c r="P29" s="42">
        <v>1</v>
      </c>
      <c r="Q29" s="42">
        <v>1</v>
      </c>
      <c r="R29" s="42">
        <v>3</v>
      </c>
      <c r="S29" s="42">
        <v>0</v>
      </c>
      <c r="T29" s="42">
        <v>6</v>
      </c>
      <c r="U29" s="42">
        <f t="shared" si="2"/>
        <v>11</v>
      </c>
      <c r="V29" s="42" t="s">
        <v>257</v>
      </c>
      <c r="W29" s="42" t="s">
        <v>258</v>
      </c>
    </row>
  </sheetData>
  <conditionalFormatting sqref="U22:U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2:M2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2:L2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2:I29 K22:K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9 J22:J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F29">
    <cfRule type="colorScale" priority="14">
      <colorScale>
        <cfvo type="min"/>
        <cfvo type="max"/>
        <color rgb="FFFCFCFF"/>
        <color rgb="FFF8696B"/>
      </colorScale>
    </cfRule>
  </conditionalFormatting>
  <conditionalFormatting sqref="U12:U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17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18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21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3862-F36F-483E-93C2-1FDBF1A8C5D8}">
  <sheetPr>
    <tabColor theme="5" tint="0.79998168889431442"/>
  </sheetPr>
  <dimension ref="A1:H511"/>
  <sheetViews>
    <sheetView workbookViewId="0">
      <selection activeCell="H15" sqref="H15"/>
    </sheetView>
  </sheetViews>
  <sheetFormatPr baseColWidth="10" defaultRowHeight="15" x14ac:dyDescent="0.25"/>
  <cols>
    <col min="1" max="1" width="27.42578125" bestFit="1" customWidth="1"/>
    <col min="7" max="7" width="24.28515625" bestFit="1" customWidth="1"/>
    <col min="8" max="8" width="14" bestFit="1" customWidth="1"/>
  </cols>
  <sheetData>
    <row r="1" spans="1:8" x14ac:dyDescent="0.25">
      <c r="A1" t="s">
        <v>1299</v>
      </c>
      <c r="B1" t="s">
        <v>1297</v>
      </c>
      <c r="C1" t="s">
        <v>1298</v>
      </c>
      <c r="D1" t="s">
        <v>176</v>
      </c>
      <c r="G1" s="388" t="s">
        <v>395</v>
      </c>
      <c r="H1" s="389" t="s">
        <v>1301</v>
      </c>
    </row>
    <row r="2" spans="1:8" x14ac:dyDescent="0.25">
      <c r="A2" t="s">
        <v>850</v>
      </c>
      <c r="B2">
        <v>7</v>
      </c>
      <c r="C2" t="s">
        <v>1296</v>
      </c>
      <c r="D2" t="str">
        <f>MID(A2,SEARCH(" ",A2)+1,150)</f>
        <v xml:space="preserve">Rodolfo Rinaldo Paso </v>
      </c>
      <c r="G2" s="390" t="s">
        <v>1302</v>
      </c>
      <c r="H2" s="391">
        <v>98</v>
      </c>
    </row>
    <row r="3" spans="1:8" x14ac:dyDescent="0.25">
      <c r="A3" t="s">
        <v>860</v>
      </c>
      <c r="B3">
        <v>1</v>
      </c>
      <c r="C3" t="s">
        <v>1296</v>
      </c>
      <c r="D3" t="str">
        <f t="shared" ref="D3:D66" si="0">MID(A3,SEARCH(" ",A3)+1,150)</f>
        <v xml:space="preserve">Leandro Faias </v>
      </c>
      <c r="G3" s="392" t="s">
        <v>1303</v>
      </c>
      <c r="H3" s="393">
        <v>90</v>
      </c>
    </row>
    <row r="4" spans="1:8" x14ac:dyDescent="0.25">
      <c r="A4" t="s">
        <v>861</v>
      </c>
      <c r="B4">
        <v>1</v>
      </c>
      <c r="C4" t="s">
        <v>1296</v>
      </c>
      <c r="D4" t="str">
        <f t="shared" si="0"/>
        <v xml:space="preserve">Francesc Añigas </v>
      </c>
      <c r="G4" s="392" t="s">
        <v>1304</v>
      </c>
      <c r="H4" s="393">
        <v>67</v>
      </c>
    </row>
    <row r="5" spans="1:8" x14ac:dyDescent="0.25">
      <c r="A5" t="s">
        <v>862</v>
      </c>
      <c r="B5">
        <v>1</v>
      </c>
      <c r="C5" t="s">
        <v>1296</v>
      </c>
      <c r="D5" t="str">
        <f t="shared" si="0"/>
        <v xml:space="preserve">Cosme Fonteboa </v>
      </c>
      <c r="G5" s="392" t="s">
        <v>1305</v>
      </c>
      <c r="H5" s="393">
        <v>63</v>
      </c>
    </row>
    <row r="6" spans="1:8" x14ac:dyDescent="0.25">
      <c r="A6" t="s">
        <v>852</v>
      </c>
      <c r="B6">
        <v>4</v>
      </c>
      <c r="C6" t="s">
        <v>1296</v>
      </c>
      <c r="D6" t="str">
        <f t="shared" si="0"/>
        <v xml:space="preserve">Nicolás Galaz </v>
      </c>
      <c r="G6" s="392" t="s">
        <v>1306</v>
      </c>
      <c r="H6" s="393">
        <v>63</v>
      </c>
    </row>
    <row r="7" spans="1:8" x14ac:dyDescent="0.25">
      <c r="A7" t="s">
        <v>853</v>
      </c>
      <c r="B7">
        <v>4</v>
      </c>
      <c r="C7" t="s">
        <v>1296</v>
      </c>
      <c r="D7" t="str">
        <f t="shared" si="0"/>
        <v xml:space="preserve">Julian Gräbitz </v>
      </c>
      <c r="G7" s="392" t="s">
        <v>1307</v>
      </c>
      <c r="H7" s="393">
        <v>63</v>
      </c>
    </row>
    <row r="8" spans="1:8" x14ac:dyDescent="0.25">
      <c r="A8" t="s">
        <v>854</v>
      </c>
      <c r="B8">
        <v>3</v>
      </c>
      <c r="C8" t="s">
        <v>1296</v>
      </c>
      <c r="D8" t="str">
        <f t="shared" si="0"/>
        <v xml:space="preserve">Berto Abandero </v>
      </c>
      <c r="G8" s="392" t="s">
        <v>1308</v>
      </c>
      <c r="H8" s="393">
        <v>55</v>
      </c>
    </row>
    <row r="9" spans="1:8" x14ac:dyDescent="0.25">
      <c r="A9" t="s">
        <v>855</v>
      </c>
      <c r="B9">
        <v>3</v>
      </c>
      <c r="C9" t="s">
        <v>1296</v>
      </c>
      <c r="D9" t="str">
        <f t="shared" si="0"/>
        <v xml:space="preserve">Enrique Cubas </v>
      </c>
      <c r="G9" s="392" t="s">
        <v>1309</v>
      </c>
      <c r="H9" s="393">
        <v>51</v>
      </c>
    </row>
    <row r="10" spans="1:8" x14ac:dyDescent="0.25">
      <c r="A10" t="s">
        <v>856</v>
      </c>
      <c r="B10">
        <v>3</v>
      </c>
      <c r="C10" t="s">
        <v>1296</v>
      </c>
      <c r="D10" t="str">
        <f t="shared" si="0"/>
        <v xml:space="preserve">Valeri Gomis </v>
      </c>
      <c r="G10" s="392" t="s">
        <v>1310</v>
      </c>
      <c r="H10" s="393">
        <v>47</v>
      </c>
    </row>
    <row r="11" spans="1:8" x14ac:dyDescent="0.25">
      <c r="A11" t="s">
        <v>857</v>
      </c>
      <c r="B11">
        <v>2</v>
      </c>
      <c r="C11" t="s">
        <v>1296</v>
      </c>
      <c r="D11" t="str">
        <f t="shared" si="0"/>
        <v xml:space="preserve">Wil Duffill </v>
      </c>
      <c r="G11" s="392" t="s">
        <v>1311</v>
      </c>
      <c r="H11" s="393">
        <v>43</v>
      </c>
    </row>
    <row r="12" spans="1:8" x14ac:dyDescent="0.25">
      <c r="A12" t="s">
        <v>858</v>
      </c>
      <c r="B12">
        <v>2</v>
      </c>
      <c r="C12" t="s">
        <v>1296</v>
      </c>
      <c r="D12" t="str">
        <f t="shared" si="0"/>
        <v xml:space="preserve">Juan García Peñuela </v>
      </c>
      <c r="G12" s="392" t="s">
        <v>1312</v>
      </c>
      <c r="H12" s="393">
        <v>39</v>
      </c>
    </row>
    <row r="13" spans="1:8" x14ac:dyDescent="0.25">
      <c r="A13" t="s">
        <v>859</v>
      </c>
      <c r="B13">
        <v>2</v>
      </c>
      <c r="C13" t="s">
        <v>1296</v>
      </c>
      <c r="D13" t="str">
        <f t="shared" si="0"/>
        <v xml:space="preserve">Meraj Siddiqui </v>
      </c>
      <c r="G13" s="392" t="s">
        <v>1313</v>
      </c>
      <c r="H13" s="393">
        <v>38</v>
      </c>
    </row>
    <row r="14" spans="1:8" x14ac:dyDescent="0.25">
      <c r="A14" t="s">
        <v>878</v>
      </c>
      <c r="B14">
        <v>19</v>
      </c>
      <c r="C14" t="s">
        <v>851</v>
      </c>
      <c r="D14" t="str">
        <f t="shared" si="0"/>
        <v xml:space="preserve">Enrique Cubas </v>
      </c>
      <c r="G14" s="392" t="s">
        <v>1314</v>
      </c>
      <c r="H14" s="393">
        <v>33</v>
      </c>
    </row>
    <row r="15" spans="1:8" x14ac:dyDescent="0.25">
      <c r="A15" t="s">
        <v>878</v>
      </c>
      <c r="B15">
        <v>10</v>
      </c>
      <c r="C15" t="s">
        <v>851</v>
      </c>
      <c r="D15" t="str">
        <f t="shared" si="0"/>
        <v xml:space="preserve">Enrique Cubas </v>
      </c>
      <c r="G15" s="392" t="s">
        <v>1315</v>
      </c>
      <c r="H15" s="393">
        <v>31</v>
      </c>
    </row>
    <row r="16" spans="1:8" x14ac:dyDescent="0.25">
      <c r="A16" t="s">
        <v>878</v>
      </c>
      <c r="B16">
        <v>9</v>
      </c>
      <c r="C16" t="s">
        <v>851</v>
      </c>
      <c r="D16" t="str">
        <f t="shared" si="0"/>
        <v xml:space="preserve">Enrique Cubas </v>
      </c>
      <c r="G16" s="392" t="s">
        <v>1316</v>
      </c>
      <c r="H16" s="393">
        <v>30</v>
      </c>
    </row>
    <row r="17" spans="1:8" x14ac:dyDescent="0.25">
      <c r="A17" t="s">
        <v>878</v>
      </c>
      <c r="B17">
        <v>8</v>
      </c>
      <c r="C17" t="s">
        <v>851</v>
      </c>
      <c r="D17" t="str">
        <f t="shared" si="0"/>
        <v xml:space="preserve">Enrique Cubas </v>
      </c>
      <c r="G17" s="392" t="s">
        <v>1317</v>
      </c>
      <c r="H17" s="393">
        <v>30</v>
      </c>
    </row>
    <row r="18" spans="1:8" x14ac:dyDescent="0.25">
      <c r="A18" t="s">
        <v>850</v>
      </c>
      <c r="B18">
        <v>12</v>
      </c>
      <c r="C18" t="s">
        <v>851</v>
      </c>
      <c r="D18" t="str">
        <f t="shared" si="0"/>
        <v xml:space="preserve">Rodolfo Rinaldo Paso </v>
      </c>
      <c r="G18" s="392" t="s">
        <v>1318</v>
      </c>
      <c r="H18" s="393">
        <v>29</v>
      </c>
    </row>
    <row r="19" spans="1:8" x14ac:dyDescent="0.25">
      <c r="A19" t="s">
        <v>850</v>
      </c>
      <c r="B19">
        <v>14</v>
      </c>
      <c r="C19" t="s">
        <v>851</v>
      </c>
      <c r="D19" t="str">
        <f t="shared" si="0"/>
        <v xml:space="preserve">Rodolfo Rinaldo Paso </v>
      </c>
      <c r="G19" s="392" t="s">
        <v>1319</v>
      </c>
      <c r="H19" s="393">
        <v>27</v>
      </c>
    </row>
    <row r="20" spans="1:8" x14ac:dyDescent="0.25">
      <c r="A20" t="s">
        <v>850</v>
      </c>
      <c r="B20">
        <v>10</v>
      </c>
      <c r="C20" t="s">
        <v>851</v>
      </c>
      <c r="D20" t="str">
        <f t="shared" si="0"/>
        <v xml:space="preserve">Rodolfo Rinaldo Paso </v>
      </c>
      <c r="G20" s="392" t="s">
        <v>1320</v>
      </c>
      <c r="H20" s="393">
        <v>24</v>
      </c>
    </row>
    <row r="21" spans="1:8" x14ac:dyDescent="0.25">
      <c r="A21" t="s">
        <v>962</v>
      </c>
      <c r="B21">
        <v>6</v>
      </c>
      <c r="C21" t="s">
        <v>851</v>
      </c>
      <c r="D21" t="str">
        <f t="shared" si="0"/>
        <v xml:space="preserve">Wil Duffill </v>
      </c>
      <c r="G21" s="392" t="s">
        <v>1321</v>
      </c>
      <c r="H21" s="393">
        <v>24</v>
      </c>
    </row>
    <row r="22" spans="1:8" x14ac:dyDescent="0.25">
      <c r="A22" t="s">
        <v>927</v>
      </c>
      <c r="B22">
        <v>2</v>
      </c>
      <c r="C22" t="s">
        <v>851</v>
      </c>
      <c r="D22" t="str">
        <f t="shared" si="0"/>
        <v xml:space="preserve">Berto Abandero </v>
      </c>
      <c r="G22" s="392" t="s">
        <v>1322</v>
      </c>
      <c r="H22" s="393">
        <v>24</v>
      </c>
    </row>
    <row r="23" spans="1:8" x14ac:dyDescent="0.25">
      <c r="A23" t="s">
        <v>908</v>
      </c>
      <c r="B23">
        <v>2</v>
      </c>
      <c r="C23" t="s">
        <v>851</v>
      </c>
      <c r="D23" t="str">
        <f t="shared" si="0"/>
        <v xml:space="preserve">Francesc Añigas </v>
      </c>
      <c r="G23" s="392" t="s">
        <v>1323</v>
      </c>
      <c r="H23" s="393">
        <v>24</v>
      </c>
    </row>
    <row r="24" spans="1:8" x14ac:dyDescent="0.25">
      <c r="A24" t="s">
        <v>898</v>
      </c>
      <c r="B24">
        <v>2</v>
      </c>
      <c r="C24" t="s">
        <v>851</v>
      </c>
      <c r="D24" t="str">
        <f t="shared" si="0"/>
        <v xml:space="preserve">Iván Real Figueroa </v>
      </c>
      <c r="G24" s="392" t="s">
        <v>1324</v>
      </c>
      <c r="H24" s="393">
        <v>24</v>
      </c>
    </row>
    <row r="25" spans="1:8" x14ac:dyDescent="0.25">
      <c r="A25" t="s">
        <v>887</v>
      </c>
      <c r="B25">
        <v>4</v>
      </c>
      <c r="C25" t="s">
        <v>851</v>
      </c>
      <c r="D25" t="str">
        <f t="shared" si="0"/>
        <v xml:space="preserve">Valeri Gomis </v>
      </c>
      <c r="G25" s="392" t="s">
        <v>1325</v>
      </c>
      <c r="H25" s="393">
        <v>22</v>
      </c>
    </row>
    <row r="26" spans="1:8" x14ac:dyDescent="0.25">
      <c r="A26" t="s">
        <v>887</v>
      </c>
      <c r="B26">
        <v>3</v>
      </c>
      <c r="C26" t="s">
        <v>851</v>
      </c>
      <c r="D26" t="str">
        <f t="shared" si="0"/>
        <v xml:space="preserve">Valeri Gomis </v>
      </c>
      <c r="G26" s="392" t="s">
        <v>1326</v>
      </c>
      <c r="H26" s="393">
        <v>22</v>
      </c>
    </row>
    <row r="27" spans="1:8" x14ac:dyDescent="0.25">
      <c r="A27" t="s">
        <v>887</v>
      </c>
      <c r="B27">
        <v>1</v>
      </c>
      <c r="C27" t="s">
        <v>851</v>
      </c>
      <c r="D27" t="str">
        <f t="shared" si="0"/>
        <v xml:space="preserve">Valeri Gomis </v>
      </c>
      <c r="G27" s="392" t="s">
        <v>1327</v>
      </c>
      <c r="H27" s="393">
        <v>22</v>
      </c>
    </row>
    <row r="28" spans="1:8" x14ac:dyDescent="0.25">
      <c r="A28" t="s">
        <v>871</v>
      </c>
      <c r="B28">
        <v>3</v>
      </c>
      <c r="C28" t="s">
        <v>851</v>
      </c>
      <c r="D28" t="str">
        <f t="shared" si="0"/>
        <v xml:space="preserve">Venanci Oset </v>
      </c>
      <c r="G28" s="392" t="s">
        <v>1328</v>
      </c>
      <c r="H28" s="393">
        <v>22</v>
      </c>
    </row>
    <row r="29" spans="1:8" x14ac:dyDescent="0.25">
      <c r="A29" t="s">
        <v>909</v>
      </c>
      <c r="B29">
        <v>1</v>
      </c>
      <c r="C29" t="s">
        <v>851</v>
      </c>
      <c r="D29" t="str">
        <f t="shared" si="0"/>
        <v xml:space="preserve">Berto Abandero </v>
      </c>
      <c r="G29" s="392" t="s">
        <v>1329</v>
      </c>
      <c r="H29" s="393">
        <v>21</v>
      </c>
    </row>
    <row r="30" spans="1:8" x14ac:dyDescent="0.25">
      <c r="A30" t="s">
        <v>888</v>
      </c>
      <c r="B30">
        <v>3</v>
      </c>
      <c r="C30" t="s">
        <v>851</v>
      </c>
      <c r="D30" t="str">
        <f t="shared" si="0"/>
        <v xml:space="preserve">Iván Real Figueroa </v>
      </c>
      <c r="G30" s="392" t="s">
        <v>1330</v>
      </c>
      <c r="H30" s="393">
        <v>19</v>
      </c>
    </row>
    <row r="31" spans="1:8" x14ac:dyDescent="0.25">
      <c r="A31" t="s">
        <v>872</v>
      </c>
      <c r="B31">
        <v>3</v>
      </c>
      <c r="C31" t="s">
        <v>851</v>
      </c>
      <c r="D31" t="str">
        <f t="shared" si="0"/>
        <v xml:space="preserve">Leandro Faias </v>
      </c>
      <c r="G31" s="392" t="s">
        <v>1331</v>
      </c>
      <c r="H31" s="393">
        <v>19</v>
      </c>
    </row>
    <row r="32" spans="1:8" x14ac:dyDescent="0.25">
      <c r="A32" t="s">
        <v>899</v>
      </c>
      <c r="B32">
        <v>2</v>
      </c>
      <c r="C32" t="s">
        <v>851</v>
      </c>
      <c r="D32" t="str">
        <f t="shared" si="0"/>
        <v xml:space="preserve">Venanci Oset </v>
      </c>
      <c r="G32" s="392" t="s">
        <v>1332</v>
      </c>
      <c r="H32" s="393">
        <v>19</v>
      </c>
    </row>
    <row r="33" spans="1:8" x14ac:dyDescent="0.25">
      <c r="A33" t="s">
        <v>873</v>
      </c>
      <c r="B33">
        <v>2</v>
      </c>
      <c r="C33" t="s">
        <v>851</v>
      </c>
      <c r="D33" t="str">
        <f t="shared" si="0"/>
        <v xml:space="preserve">Berto Abandero </v>
      </c>
      <c r="G33" s="392" t="s">
        <v>1333</v>
      </c>
      <c r="H33" s="393">
        <v>18</v>
      </c>
    </row>
    <row r="34" spans="1:8" x14ac:dyDescent="0.25">
      <c r="A34" t="s">
        <v>889</v>
      </c>
      <c r="B34">
        <v>3</v>
      </c>
      <c r="C34" t="s">
        <v>851</v>
      </c>
      <c r="D34" t="str">
        <f t="shared" si="0"/>
        <v xml:space="preserve">Francesc Añigas </v>
      </c>
      <c r="G34" s="392" t="s">
        <v>1334</v>
      </c>
      <c r="H34" s="393">
        <v>18</v>
      </c>
    </row>
    <row r="35" spans="1:8" x14ac:dyDescent="0.25">
      <c r="A35" t="s">
        <v>889</v>
      </c>
      <c r="B35">
        <v>2</v>
      </c>
      <c r="C35" t="s">
        <v>851</v>
      </c>
      <c r="D35" t="str">
        <f t="shared" si="0"/>
        <v xml:space="preserve">Francesc Añigas </v>
      </c>
      <c r="G35" s="392" t="s">
        <v>1335</v>
      </c>
      <c r="H35" s="393">
        <v>18</v>
      </c>
    </row>
    <row r="36" spans="1:8" x14ac:dyDescent="0.25">
      <c r="A36" t="s">
        <v>942</v>
      </c>
      <c r="B36">
        <v>1</v>
      </c>
      <c r="C36" t="s">
        <v>851</v>
      </c>
      <c r="D36" t="str">
        <f t="shared" si="0"/>
        <v xml:space="preserve">Iván Real Figueroa </v>
      </c>
      <c r="G36" s="392" t="s">
        <v>1336</v>
      </c>
      <c r="H36" s="393">
        <v>17</v>
      </c>
    </row>
    <row r="37" spans="1:8" x14ac:dyDescent="0.25">
      <c r="A37" t="s">
        <v>900</v>
      </c>
      <c r="B37">
        <v>1</v>
      </c>
      <c r="C37" t="s">
        <v>851</v>
      </c>
      <c r="D37" t="str">
        <f t="shared" si="0"/>
        <v xml:space="preserve">Valeri Gomis </v>
      </c>
      <c r="G37" s="392" t="s">
        <v>1337</v>
      </c>
      <c r="H37" s="393">
        <v>17</v>
      </c>
    </row>
    <row r="38" spans="1:8" x14ac:dyDescent="0.25">
      <c r="A38" t="s">
        <v>900</v>
      </c>
      <c r="B38">
        <v>1</v>
      </c>
      <c r="C38" t="s">
        <v>851</v>
      </c>
      <c r="D38" t="str">
        <f t="shared" si="0"/>
        <v xml:space="preserve">Valeri Gomis </v>
      </c>
      <c r="G38" s="392" t="s">
        <v>1338</v>
      </c>
      <c r="H38" s="393">
        <v>17</v>
      </c>
    </row>
    <row r="39" spans="1:8" x14ac:dyDescent="0.25">
      <c r="A39" t="s">
        <v>929</v>
      </c>
      <c r="B39">
        <v>2</v>
      </c>
      <c r="C39" t="s">
        <v>851</v>
      </c>
      <c r="D39" t="str">
        <f t="shared" si="0"/>
        <v xml:space="preserve">Venanci Oset </v>
      </c>
      <c r="G39" s="392" t="s">
        <v>1339</v>
      </c>
      <c r="H39" s="393">
        <v>16</v>
      </c>
    </row>
    <row r="40" spans="1:8" x14ac:dyDescent="0.25">
      <c r="A40" t="s">
        <v>960</v>
      </c>
      <c r="B40">
        <v>1</v>
      </c>
      <c r="C40" t="s">
        <v>851</v>
      </c>
      <c r="D40" t="str">
        <f t="shared" si="0"/>
        <v xml:space="preserve">Wil Duffill </v>
      </c>
      <c r="G40" s="392" t="s">
        <v>1340</v>
      </c>
      <c r="H40" s="393">
        <v>16</v>
      </c>
    </row>
    <row r="41" spans="1:8" x14ac:dyDescent="0.25">
      <c r="A41" t="s">
        <v>874</v>
      </c>
      <c r="B41">
        <v>2</v>
      </c>
      <c r="C41" t="s">
        <v>851</v>
      </c>
      <c r="D41" t="str">
        <f t="shared" si="0"/>
        <v xml:space="preserve">Guillermo Pedrajas </v>
      </c>
      <c r="G41" s="392" t="s">
        <v>1341</v>
      </c>
      <c r="H41" s="393">
        <v>15</v>
      </c>
    </row>
    <row r="42" spans="1:8" x14ac:dyDescent="0.25">
      <c r="A42" t="s">
        <v>874</v>
      </c>
      <c r="B42">
        <v>2</v>
      </c>
      <c r="C42" t="s">
        <v>851</v>
      </c>
      <c r="D42" t="str">
        <f t="shared" si="0"/>
        <v xml:space="preserve">Guillermo Pedrajas </v>
      </c>
      <c r="G42" s="392" t="s">
        <v>1342</v>
      </c>
      <c r="H42" s="393">
        <v>14</v>
      </c>
    </row>
    <row r="43" spans="1:8" x14ac:dyDescent="0.25">
      <c r="A43" t="s">
        <v>911</v>
      </c>
      <c r="B43">
        <v>1</v>
      </c>
      <c r="C43" t="s">
        <v>851</v>
      </c>
      <c r="D43" t="str">
        <f t="shared" si="0"/>
        <v xml:space="preserve">Iván Real Figueroa </v>
      </c>
      <c r="G43" s="392" t="s">
        <v>1343</v>
      </c>
      <c r="H43" s="393">
        <v>14</v>
      </c>
    </row>
    <row r="44" spans="1:8" x14ac:dyDescent="0.25">
      <c r="A44" t="s">
        <v>911</v>
      </c>
      <c r="B44">
        <v>2</v>
      </c>
      <c r="C44" t="s">
        <v>851</v>
      </c>
      <c r="D44" t="str">
        <f t="shared" si="0"/>
        <v xml:space="preserve">Iván Real Figueroa </v>
      </c>
      <c r="G44" s="392" t="s">
        <v>1344</v>
      </c>
      <c r="H44" s="393">
        <v>13</v>
      </c>
    </row>
    <row r="45" spans="1:8" x14ac:dyDescent="0.25">
      <c r="A45" t="s">
        <v>890</v>
      </c>
      <c r="B45">
        <v>3</v>
      </c>
      <c r="C45" t="s">
        <v>851</v>
      </c>
      <c r="D45" t="str">
        <f t="shared" si="0"/>
        <v xml:space="preserve">Leandro Faias </v>
      </c>
      <c r="G45" s="392" t="s">
        <v>1345</v>
      </c>
      <c r="H45" s="393">
        <v>13</v>
      </c>
    </row>
    <row r="46" spans="1:8" x14ac:dyDescent="0.25">
      <c r="A46" t="s">
        <v>891</v>
      </c>
      <c r="B46">
        <v>2</v>
      </c>
      <c r="C46" t="s">
        <v>851</v>
      </c>
      <c r="D46" t="str">
        <f t="shared" si="0"/>
        <v xml:space="preserve">Berto Abandero </v>
      </c>
      <c r="G46" s="392" t="s">
        <v>1346</v>
      </c>
      <c r="H46" s="393">
        <v>13</v>
      </c>
    </row>
    <row r="47" spans="1:8" x14ac:dyDescent="0.25">
      <c r="A47" t="s">
        <v>891</v>
      </c>
      <c r="B47">
        <v>1</v>
      </c>
      <c r="C47" t="s">
        <v>851</v>
      </c>
      <c r="D47" t="str">
        <f t="shared" si="0"/>
        <v xml:space="preserve">Berto Abandero </v>
      </c>
      <c r="G47" s="392" t="s">
        <v>1347</v>
      </c>
      <c r="H47" s="393">
        <v>13</v>
      </c>
    </row>
    <row r="48" spans="1:8" x14ac:dyDescent="0.25">
      <c r="A48" t="s">
        <v>983</v>
      </c>
      <c r="B48">
        <v>1</v>
      </c>
      <c r="C48" t="s">
        <v>851</v>
      </c>
      <c r="D48" t="str">
        <f t="shared" si="0"/>
        <v xml:space="preserve">Francesc Añigas </v>
      </c>
      <c r="G48" s="392" t="s">
        <v>1348</v>
      </c>
      <c r="H48" s="393">
        <v>12</v>
      </c>
    </row>
    <row r="49" spans="1:8" x14ac:dyDescent="0.25">
      <c r="A49" t="s">
        <v>921</v>
      </c>
      <c r="B49">
        <v>2</v>
      </c>
      <c r="C49" t="s">
        <v>851</v>
      </c>
      <c r="D49" t="str">
        <f t="shared" si="0"/>
        <v xml:space="preserve">Iván Real Figueroa </v>
      </c>
      <c r="G49" s="392" t="s">
        <v>1349</v>
      </c>
      <c r="H49" s="393">
        <v>12</v>
      </c>
    </row>
    <row r="50" spans="1:8" x14ac:dyDescent="0.25">
      <c r="A50" t="s">
        <v>921</v>
      </c>
      <c r="B50">
        <v>1</v>
      </c>
      <c r="C50" t="s">
        <v>851</v>
      </c>
      <c r="D50" t="str">
        <f t="shared" si="0"/>
        <v xml:space="preserve">Iván Real Figueroa </v>
      </c>
      <c r="G50" s="392" t="s">
        <v>1350</v>
      </c>
      <c r="H50" s="393">
        <v>12</v>
      </c>
    </row>
    <row r="51" spans="1:8" x14ac:dyDescent="0.25">
      <c r="A51" t="s">
        <v>875</v>
      </c>
      <c r="B51">
        <v>2</v>
      </c>
      <c r="C51" t="s">
        <v>851</v>
      </c>
      <c r="D51" t="str">
        <f t="shared" si="0"/>
        <v xml:space="preserve">Valeri Gomis </v>
      </c>
      <c r="G51" s="392" t="s">
        <v>1351</v>
      </c>
      <c r="H51" s="393">
        <v>12</v>
      </c>
    </row>
    <row r="52" spans="1:8" x14ac:dyDescent="0.25">
      <c r="A52" t="s">
        <v>912</v>
      </c>
      <c r="B52">
        <v>1</v>
      </c>
      <c r="C52" t="s">
        <v>851</v>
      </c>
      <c r="D52" t="str">
        <f t="shared" si="0"/>
        <v xml:space="preserve">Venanci Oset </v>
      </c>
      <c r="G52" s="392" t="s">
        <v>1352</v>
      </c>
      <c r="H52" s="393">
        <v>11</v>
      </c>
    </row>
    <row r="53" spans="1:8" x14ac:dyDescent="0.25">
      <c r="A53" t="s">
        <v>902</v>
      </c>
      <c r="B53">
        <v>1</v>
      </c>
      <c r="C53" t="s">
        <v>851</v>
      </c>
      <c r="D53" t="str">
        <f t="shared" si="0"/>
        <v xml:space="preserve">Guillermo Pedrajas </v>
      </c>
      <c r="G53" s="392" t="s">
        <v>1353</v>
      </c>
      <c r="H53" s="393">
        <v>11</v>
      </c>
    </row>
    <row r="54" spans="1:8" x14ac:dyDescent="0.25">
      <c r="A54" t="s">
        <v>876</v>
      </c>
      <c r="B54">
        <v>1</v>
      </c>
      <c r="C54" t="s">
        <v>851</v>
      </c>
      <c r="D54" t="str">
        <f t="shared" si="0"/>
        <v xml:space="preserve">Iván Real Figueroa </v>
      </c>
      <c r="G54" s="392" t="s">
        <v>1354</v>
      </c>
      <c r="H54" s="393">
        <v>11</v>
      </c>
    </row>
    <row r="55" spans="1:8" x14ac:dyDescent="0.25">
      <c r="A55" t="s">
        <v>877</v>
      </c>
      <c r="B55">
        <v>1</v>
      </c>
      <c r="C55" t="s">
        <v>851</v>
      </c>
      <c r="D55" t="str">
        <f t="shared" si="0"/>
        <v xml:space="preserve">Cosme Fonteboa </v>
      </c>
      <c r="G55" s="392" t="s">
        <v>1355</v>
      </c>
      <c r="H55" s="393">
        <v>11</v>
      </c>
    </row>
    <row r="56" spans="1:8" x14ac:dyDescent="0.25">
      <c r="A56" t="s">
        <v>932</v>
      </c>
      <c r="B56">
        <v>1</v>
      </c>
      <c r="C56" t="s">
        <v>851</v>
      </c>
      <c r="D56" t="str">
        <f t="shared" si="0"/>
        <v xml:space="preserve">Guillermo Pedrajas </v>
      </c>
      <c r="G56" s="392" t="s">
        <v>1356</v>
      </c>
      <c r="H56" s="393">
        <v>10</v>
      </c>
    </row>
    <row r="57" spans="1:8" x14ac:dyDescent="0.25">
      <c r="A57" t="s">
        <v>933</v>
      </c>
      <c r="B57">
        <v>1</v>
      </c>
      <c r="C57" t="s">
        <v>851</v>
      </c>
      <c r="D57" t="str">
        <f t="shared" si="0"/>
        <v xml:space="preserve">Cosme Fonteboa </v>
      </c>
      <c r="G57" s="392" t="s">
        <v>1357</v>
      </c>
      <c r="H57" s="393">
        <v>10</v>
      </c>
    </row>
    <row r="58" spans="1:8" x14ac:dyDescent="0.25">
      <c r="A58" t="s">
        <v>945</v>
      </c>
      <c r="B58">
        <v>8</v>
      </c>
      <c r="C58" t="s">
        <v>851</v>
      </c>
      <c r="D58" t="str">
        <f t="shared" si="0"/>
        <v xml:space="preserve">Enrique Cubas </v>
      </c>
      <c r="G58" s="392" t="s">
        <v>1358</v>
      </c>
      <c r="H58" s="393">
        <v>10</v>
      </c>
    </row>
    <row r="59" spans="1:8" x14ac:dyDescent="0.25">
      <c r="A59" t="s">
        <v>935</v>
      </c>
      <c r="B59">
        <v>6</v>
      </c>
      <c r="C59" t="s">
        <v>851</v>
      </c>
      <c r="D59" t="str">
        <f t="shared" si="0"/>
        <v xml:space="preserve">Francesc Añigas </v>
      </c>
      <c r="G59" s="392" t="s">
        <v>1359</v>
      </c>
      <c r="H59" s="393">
        <v>10</v>
      </c>
    </row>
    <row r="60" spans="1:8" x14ac:dyDescent="0.25">
      <c r="A60" t="s">
        <v>935</v>
      </c>
      <c r="B60">
        <v>3</v>
      </c>
      <c r="C60" t="s">
        <v>851</v>
      </c>
      <c r="D60" t="str">
        <f t="shared" si="0"/>
        <v xml:space="preserve">Francesc Añigas </v>
      </c>
      <c r="G60" s="392" t="s">
        <v>1360</v>
      </c>
      <c r="H60" s="393">
        <v>10</v>
      </c>
    </row>
    <row r="61" spans="1:8" x14ac:dyDescent="0.25">
      <c r="A61" t="s">
        <v>963</v>
      </c>
      <c r="B61">
        <v>5</v>
      </c>
      <c r="C61" t="s">
        <v>851</v>
      </c>
      <c r="D61" t="str">
        <f t="shared" si="0"/>
        <v xml:space="preserve">Juan García Peñuela </v>
      </c>
      <c r="G61" s="392" t="s">
        <v>1361</v>
      </c>
      <c r="H61" s="393">
        <v>9</v>
      </c>
    </row>
    <row r="62" spans="1:8" x14ac:dyDescent="0.25">
      <c r="A62" t="s">
        <v>879</v>
      </c>
      <c r="B62">
        <v>15</v>
      </c>
      <c r="C62" t="s">
        <v>851</v>
      </c>
      <c r="D62" t="str">
        <f t="shared" si="0"/>
        <v xml:space="preserve">Wil Duffill </v>
      </c>
      <c r="G62" s="392" t="s">
        <v>1362</v>
      </c>
      <c r="H62" s="393">
        <v>9</v>
      </c>
    </row>
    <row r="63" spans="1:8" x14ac:dyDescent="0.25">
      <c r="A63" t="s">
        <v>879</v>
      </c>
      <c r="B63">
        <v>9</v>
      </c>
      <c r="C63" t="s">
        <v>851</v>
      </c>
      <c r="D63" t="str">
        <f t="shared" si="0"/>
        <v xml:space="preserve">Wil Duffill </v>
      </c>
      <c r="G63" s="392" t="s">
        <v>1363</v>
      </c>
      <c r="H63" s="393">
        <v>9</v>
      </c>
    </row>
    <row r="64" spans="1:8" x14ac:dyDescent="0.25">
      <c r="A64" t="s">
        <v>864</v>
      </c>
      <c r="B64">
        <v>7</v>
      </c>
      <c r="C64" t="s">
        <v>851</v>
      </c>
      <c r="D64" t="str">
        <f t="shared" si="0"/>
        <v xml:space="preserve">Enrique Cubas </v>
      </c>
      <c r="G64" s="392" t="s">
        <v>1364</v>
      </c>
      <c r="H64" s="393">
        <v>9</v>
      </c>
    </row>
    <row r="65" spans="1:8" x14ac:dyDescent="0.25">
      <c r="A65" t="s">
        <v>864</v>
      </c>
      <c r="B65">
        <v>8</v>
      </c>
      <c r="C65" t="s">
        <v>851</v>
      </c>
      <c r="D65" t="str">
        <f t="shared" si="0"/>
        <v xml:space="preserve">Enrique Cubas </v>
      </c>
      <c r="G65" s="392" t="s">
        <v>1365</v>
      </c>
      <c r="H65" s="393">
        <v>8</v>
      </c>
    </row>
    <row r="66" spans="1:8" x14ac:dyDescent="0.25">
      <c r="A66" t="s">
        <v>864</v>
      </c>
      <c r="B66">
        <v>12</v>
      </c>
      <c r="C66" t="s">
        <v>851</v>
      </c>
      <c r="D66" t="str">
        <f t="shared" si="0"/>
        <v xml:space="preserve">Enrique Cubas </v>
      </c>
      <c r="G66" s="392" t="s">
        <v>1366</v>
      </c>
      <c r="H66" s="393">
        <v>8</v>
      </c>
    </row>
    <row r="67" spans="1:8" x14ac:dyDescent="0.25">
      <c r="A67" t="s">
        <v>864</v>
      </c>
      <c r="B67">
        <v>4</v>
      </c>
      <c r="C67" t="s">
        <v>851</v>
      </c>
      <c r="D67" t="str">
        <f t="shared" ref="D67:D130" si="1">MID(A67,SEARCH(" ",A67)+1,150)</f>
        <v xml:space="preserve">Enrique Cubas </v>
      </c>
      <c r="G67" s="392" t="s">
        <v>1367</v>
      </c>
      <c r="H67" s="393">
        <v>8</v>
      </c>
    </row>
    <row r="68" spans="1:8" x14ac:dyDescent="0.25">
      <c r="A68" t="s">
        <v>880</v>
      </c>
      <c r="B68">
        <v>13</v>
      </c>
      <c r="C68" t="s">
        <v>851</v>
      </c>
      <c r="D68" t="str">
        <f t="shared" si="1"/>
        <v xml:space="preserve">Meraj Siddiqui </v>
      </c>
      <c r="G68" s="392" t="s">
        <v>1368</v>
      </c>
      <c r="H68" s="393">
        <v>8</v>
      </c>
    </row>
    <row r="69" spans="1:8" x14ac:dyDescent="0.25">
      <c r="A69" t="s">
        <v>894</v>
      </c>
      <c r="B69">
        <v>8</v>
      </c>
      <c r="C69" t="s">
        <v>851</v>
      </c>
      <c r="D69" t="str">
        <f t="shared" si="1"/>
        <v xml:space="preserve">Wil Duffill </v>
      </c>
      <c r="G69" s="392" t="s">
        <v>1369</v>
      </c>
      <c r="H69" s="393">
        <v>8</v>
      </c>
    </row>
    <row r="70" spans="1:8" x14ac:dyDescent="0.25">
      <c r="A70" t="s">
        <v>903</v>
      </c>
      <c r="B70">
        <v>6</v>
      </c>
      <c r="C70" t="s">
        <v>851</v>
      </c>
      <c r="D70" t="str">
        <f t="shared" si="1"/>
        <v xml:space="preserve">Juan García Peñuela </v>
      </c>
      <c r="G70" s="392" t="s">
        <v>1370</v>
      </c>
      <c r="H70" s="393">
        <v>7</v>
      </c>
    </row>
    <row r="71" spans="1:8" x14ac:dyDescent="0.25">
      <c r="A71" t="s">
        <v>903</v>
      </c>
      <c r="B71">
        <v>7</v>
      </c>
      <c r="C71" t="s">
        <v>851</v>
      </c>
      <c r="D71" t="str">
        <f t="shared" si="1"/>
        <v xml:space="preserve">Juan García Peñuela </v>
      </c>
      <c r="G71" s="392" t="s">
        <v>1371</v>
      </c>
      <c r="H71" s="393">
        <v>7</v>
      </c>
    </row>
    <row r="72" spans="1:8" x14ac:dyDescent="0.25">
      <c r="A72" t="s">
        <v>903</v>
      </c>
      <c r="B72">
        <v>4</v>
      </c>
      <c r="C72" t="s">
        <v>851</v>
      </c>
      <c r="D72" t="str">
        <f t="shared" si="1"/>
        <v xml:space="preserve">Juan García Peñuela </v>
      </c>
      <c r="G72" s="392" t="s">
        <v>1372</v>
      </c>
      <c r="H72" s="393">
        <v>7</v>
      </c>
    </row>
    <row r="73" spans="1:8" x14ac:dyDescent="0.25">
      <c r="A73" t="s">
        <v>903</v>
      </c>
      <c r="B73">
        <v>2</v>
      </c>
      <c r="C73" t="s">
        <v>851</v>
      </c>
      <c r="D73" t="str">
        <f t="shared" si="1"/>
        <v xml:space="preserve">Juan García Peñuela </v>
      </c>
      <c r="G73" s="392" t="s">
        <v>1373</v>
      </c>
      <c r="H73" s="393">
        <v>7</v>
      </c>
    </row>
    <row r="74" spans="1:8" x14ac:dyDescent="0.25">
      <c r="A74" t="s">
        <v>865</v>
      </c>
      <c r="B74">
        <v>6</v>
      </c>
      <c r="C74" t="s">
        <v>851</v>
      </c>
      <c r="D74" t="str">
        <f t="shared" si="1"/>
        <v xml:space="preserve">Julian Gräbitz </v>
      </c>
      <c r="G74" s="392" t="s">
        <v>1374</v>
      </c>
      <c r="H74" s="393">
        <v>7</v>
      </c>
    </row>
    <row r="75" spans="1:8" x14ac:dyDescent="0.25">
      <c r="A75" t="s">
        <v>881</v>
      </c>
      <c r="B75">
        <v>12</v>
      </c>
      <c r="C75" t="s">
        <v>851</v>
      </c>
      <c r="D75" t="str">
        <f t="shared" si="1"/>
        <v xml:space="preserve">Rodolfo Rinaldo Paso </v>
      </c>
      <c r="G75" s="392" t="s">
        <v>1375</v>
      </c>
      <c r="H75" s="393">
        <v>7</v>
      </c>
    </row>
    <row r="76" spans="1:8" x14ac:dyDescent="0.25">
      <c r="A76" t="s">
        <v>973</v>
      </c>
      <c r="B76">
        <v>2</v>
      </c>
      <c r="C76" t="s">
        <v>851</v>
      </c>
      <c r="D76" t="str">
        <f t="shared" si="1"/>
        <v xml:space="preserve">Valeri Gomis </v>
      </c>
      <c r="G76" s="392" t="s">
        <v>1376</v>
      </c>
      <c r="H76" s="393">
        <v>7</v>
      </c>
    </row>
    <row r="77" spans="1:8" x14ac:dyDescent="0.25">
      <c r="A77" t="s">
        <v>915</v>
      </c>
      <c r="B77">
        <v>6</v>
      </c>
      <c r="C77" t="s">
        <v>851</v>
      </c>
      <c r="D77" t="str">
        <f t="shared" si="1"/>
        <v xml:space="preserve">Wil Duffill </v>
      </c>
      <c r="G77" s="392" t="s">
        <v>1377</v>
      </c>
      <c r="H77" s="393">
        <v>7</v>
      </c>
    </row>
    <row r="78" spans="1:8" x14ac:dyDescent="0.25">
      <c r="A78" t="s">
        <v>915</v>
      </c>
      <c r="B78">
        <v>5</v>
      </c>
      <c r="C78" t="s">
        <v>851</v>
      </c>
      <c r="D78" t="str">
        <f t="shared" si="1"/>
        <v xml:space="preserve">Wil Duffill </v>
      </c>
      <c r="G78" s="392" t="s">
        <v>1378</v>
      </c>
      <c r="H78" s="393">
        <v>6</v>
      </c>
    </row>
    <row r="79" spans="1:8" x14ac:dyDescent="0.25">
      <c r="A79" t="s">
        <v>916</v>
      </c>
      <c r="B79">
        <v>6</v>
      </c>
      <c r="C79" t="s">
        <v>851</v>
      </c>
      <c r="D79" t="str">
        <f t="shared" si="1"/>
        <v xml:space="preserve">Francesc Añigas </v>
      </c>
      <c r="G79" s="392" t="s">
        <v>1379</v>
      </c>
      <c r="H79" s="393">
        <v>6</v>
      </c>
    </row>
    <row r="80" spans="1:8" x14ac:dyDescent="0.25">
      <c r="A80" t="s">
        <v>904</v>
      </c>
      <c r="B80">
        <v>5</v>
      </c>
      <c r="C80" t="s">
        <v>851</v>
      </c>
      <c r="D80" t="str">
        <f t="shared" si="1"/>
        <v xml:space="preserve">Guillermo Pedrajas </v>
      </c>
      <c r="G80" s="392" t="s">
        <v>1380</v>
      </c>
      <c r="H80" s="393">
        <v>6</v>
      </c>
    </row>
    <row r="81" spans="1:8" x14ac:dyDescent="0.25">
      <c r="A81" t="s">
        <v>904</v>
      </c>
      <c r="B81">
        <v>4</v>
      </c>
      <c r="C81" t="s">
        <v>851</v>
      </c>
      <c r="D81" t="str">
        <f t="shared" si="1"/>
        <v xml:space="preserve">Guillermo Pedrajas </v>
      </c>
      <c r="G81" s="392" t="s">
        <v>1381</v>
      </c>
      <c r="H81" s="393">
        <v>6</v>
      </c>
    </row>
    <row r="82" spans="1:8" x14ac:dyDescent="0.25">
      <c r="A82" t="s">
        <v>937</v>
      </c>
      <c r="B82">
        <v>5</v>
      </c>
      <c r="C82" t="s">
        <v>851</v>
      </c>
      <c r="D82" t="str">
        <f t="shared" si="1"/>
        <v xml:space="preserve">Juan García Peñuela </v>
      </c>
      <c r="G82" s="392" t="s">
        <v>1382</v>
      </c>
      <c r="H82" s="393">
        <v>6</v>
      </c>
    </row>
    <row r="83" spans="1:8" x14ac:dyDescent="0.25">
      <c r="A83" t="s">
        <v>882</v>
      </c>
      <c r="B83">
        <v>6</v>
      </c>
      <c r="C83" t="s">
        <v>851</v>
      </c>
      <c r="D83" t="str">
        <f t="shared" si="1"/>
        <v xml:space="preserve">Julian Gräbitz </v>
      </c>
      <c r="G83" s="392" t="s">
        <v>1383</v>
      </c>
      <c r="H83" s="393">
        <v>6</v>
      </c>
    </row>
    <row r="84" spans="1:8" x14ac:dyDescent="0.25">
      <c r="A84" t="s">
        <v>882</v>
      </c>
      <c r="B84">
        <v>6</v>
      </c>
      <c r="C84" t="s">
        <v>851</v>
      </c>
      <c r="D84" t="str">
        <f t="shared" si="1"/>
        <v xml:space="preserve">Julian Gräbitz </v>
      </c>
      <c r="G84" s="392" t="s">
        <v>1384</v>
      </c>
      <c r="H84" s="393">
        <v>6</v>
      </c>
    </row>
    <row r="85" spans="1:8" x14ac:dyDescent="0.25">
      <c r="A85" t="s">
        <v>866</v>
      </c>
      <c r="B85">
        <v>6</v>
      </c>
      <c r="C85" t="s">
        <v>851</v>
      </c>
      <c r="D85" t="str">
        <f t="shared" si="1"/>
        <v xml:space="preserve">Nicolás Galaz </v>
      </c>
      <c r="G85" s="392" t="s">
        <v>1385</v>
      </c>
      <c r="H85" s="393">
        <v>6</v>
      </c>
    </row>
    <row r="86" spans="1:8" x14ac:dyDescent="0.25">
      <c r="A86" t="s">
        <v>924</v>
      </c>
      <c r="B86">
        <v>6</v>
      </c>
      <c r="C86" t="s">
        <v>851</v>
      </c>
      <c r="D86" t="str">
        <f t="shared" si="1"/>
        <v xml:space="preserve">Valeri Gomis </v>
      </c>
      <c r="G86" s="392" t="s">
        <v>1386</v>
      </c>
      <c r="H86" s="393">
        <v>6</v>
      </c>
    </row>
    <row r="87" spans="1:8" x14ac:dyDescent="0.25">
      <c r="A87" t="s">
        <v>946</v>
      </c>
      <c r="B87">
        <v>3</v>
      </c>
      <c r="C87" t="s">
        <v>851</v>
      </c>
      <c r="D87" t="str">
        <f t="shared" si="1"/>
        <v xml:space="preserve">Berto Abandero </v>
      </c>
      <c r="G87" s="392" t="s">
        <v>1387</v>
      </c>
      <c r="H87" s="393">
        <v>6</v>
      </c>
    </row>
    <row r="88" spans="1:8" x14ac:dyDescent="0.25">
      <c r="A88" t="s">
        <v>896</v>
      </c>
      <c r="B88">
        <v>6</v>
      </c>
      <c r="C88" t="s">
        <v>851</v>
      </c>
      <c r="D88" t="str">
        <f t="shared" si="1"/>
        <v xml:space="preserve">Enrique Cubas </v>
      </c>
      <c r="G88" s="392" t="s">
        <v>1388</v>
      </c>
      <c r="H88" s="393">
        <v>6</v>
      </c>
    </row>
    <row r="89" spans="1:8" x14ac:dyDescent="0.25">
      <c r="A89" t="s">
        <v>938</v>
      </c>
      <c r="B89">
        <v>4</v>
      </c>
      <c r="C89" t="s">
        <v>851</v>
      </c>
      <c r="D89" t="str">
        <f t="shared" si="1"/>
        <v xml:space="preserve">Guillermo Pedrajas </v>
      </c>
      <c r="G89" s="392" t="s">
        <v>1389</v>
      </c>
      <c r="H89" s="393">
        <v>6</v>
      </c>
    </row>
    <row r="90" spans="1:8" x14ac:dyDescent="0.25">
      <c r="A90" t="s">
        <v>883</v>
      </c>
      <c r="B90">
        <v>5</v>
      </c>
      <c r="C90" t="s">
        <v>851</v>
      </c>
      <c r="D90" t="str">
        <f t="shared" si="1"/>
        <v xml:space="preserve">Juan García Peñuela </v>
      </c>
      <c r="G90" s="392" t="s">
        <v>1390</v>
      </c>
      <c r="H90" s="393">
        <v>6</v>
      </c>
    </row>
    <row r="91" spans="1:8" x14ac:dyDescent="0.25">
      <c r="A91" t="s">
        <v>856</v>
      </c>
      <c r="B91">
        <v>5</v>
      </c>
      <c r="C91" t="s">
        <v>851</v>
      </c>
      <c r="D91" t="str">
        <f t="shared" si="1"/>
        <v xml:space="preserve">Valeri Gomis </v>
      </c>
      <c r="G91" s="392" t="s">
        <v>1391</v>
      </c>
      <c r="H91" s="393">
        <v>6</v>
      </c>
    </row>
    <row r="92" spans="1:8" x14ac:dyDescent="0.25">
      <c r="A92" t="s">
        <v>867</v>
      </c>
      <c r="B92">
        <v>6</v>
      </c>
      <c r="C92" t="s">
        <v>851</v>
      </c>
      <c r="D92" t="str">
        <f t="shared" si="1"/>
        <v xml:space="preserve">Wil Duffill </v>
      </c>
      <c r="G92" s="392" t="s">
        <v>1392</v>
      </c>
      <c r="H92" s="393">
        <v>6</v>
      </c>
    </row>
    <row r="93" spans="1:8" x14ac:dyDescent="0.25">
      <c r="A93" t="s">
        <v>867</v>
      </c>
      <c r="B93">
        <v>6</v>
      </c>
      <c r="C93" t="s">
        <v>851</v>
      </c>
      <c r="D93" t="str">
        <f t="shared" si="1"/>
        <v xml:space="preserve">Wil Duffill </v>
      </c>
      <c r="G93" s="392" t="s">
        <v>1393</v>
      </c>
      <c r="H93" s="393">
        <v>6</v>
      </c>
    </row>
    <row r="94" spans="1:8" x14ac:dyDescent="0.25">
      <c r="A94" t="s">
        <v>939</v>
      </c>
      <c r="B94">
        <v>4</v>
      </c>
      <c r="C94" t="s">
        <v>851</v>
      </c>
      <c r="D94" t="str">
        <f t="shared" si="1"/>
        <v xml:space="preserve">Enrique Cubas </v>
      </c>
      <c r="G94" s="392" t="s">
        <v>1394</v>
      </c>
      <c r="H94" s="393">
        <v>6</v>
      </c>
    </row>
    <row r="95" spans="1:8" x14ac:dyDescent="0.25">
      <c r="A95" t="s">
        <v>868</v>
      </c>
      <c r="B95">
        <v>5</v>
      </c>
      <c r="C95" t="s">
        <v>851</v>
      </c>
      <c r="D95" t="str">
        <f t="shared" si="1"/>
        <v xml:space="preserve">Francesc Añigas </v>
      </c>
      <c r="G95" s="392" t="s">
        <v>1395</v>
      </c>
      <c r="H95" s="393">
        <v>5</v>
      </c>
    </row>
    <row r="96" spans="1:8" x14ac:dyDescent="0.25">
      <c r="A96" t="s">
        <v>868</v>
      </c>
      <c r="B96">
        <v>5</v>
      </c>
      <c r="C96" t="s">
        <v>851</v>
      </c>
      <c r="D96" t="str">
        <f t="shared" si="1"/>
        <v xml:space="preserve">Francesc Añigas </v>
      </c>
      <c r="G96" s="392" t="s">
        <v>1396</v>
      </c>
      <c r="H96" s="393">
        <v>5</v>
      </c>
    </row>
    <row r="97" spans="1:8" x14ac:dyDescent="0.25">
      <c r="A97" t="s">
        <v>868</v>
      </c>
      <c r="B97">
        <v>5</v>
      </c>
      <c r="C97" t="s">
        <v>851</v>
      </c>
      <c r="D97" t="str">
        <f t="shared" si="1"/>
        <v xml:space="preserve">Francesc Añigas </v>
      </c>
      <c r="G97" s="392" t="s">
        <v>1397</v>
      </c>
      <c r="H97" s="393">
        <v>5</v>
      </c>
    </row>
    <row r="98" spans="1:8" x14ac:dyDescent="0.25">
      <c r="A98" t="s">
        <v>884</v>
      </c>
      <c r="B98">
        <v>5</v>
      </c>
      <c r="C98" t="s">
        <v>851</v>
      </c>
      <c r="D98" t="str">
        <f t="shared" si="1"/>
        <v xml:space="preserve">Guillermo Pedrajas </v>
      </c>
      <c r="G98" s="392" t="s">
        <v>1398</v>
      </c>
      <c r="H98" s="393">
        <v>5</v>
      </c>
    </row>
    <row r="99" spans="1:8" x14ac:dyDescent="0.25">
      <c r="A99" t="s">
        <v>976</v>
      </c>
      <c r="B99">
        <v>2</v>
      </c>
      <c r="C99" t="s">
        <v>851</v>
      </c>
      <c r="D99" t="str">
        <f t="shared" si="1"/>
        <v xml:space="preserve">Juan García Peñuela </v>
      </c>
      <c r="G99" s="392" t="s">
        <v>1399</v>
      </c>
      <c r="H99" s="393">
        <v>5</v>
      </c>
    </row>
    <row r="100" spans="1:8" x14ac:dyDescent="0.25">
      <c r="A100" t="s">
        <v>918</v>
      </c>
      <c r="B100">
        <v>4</v>
      </c>
      <c r="C100" t="s">
        <v>851</v>
      </c>
      <c r="D100" t="str">
        <f t="shared" si="1"/>
        <v xml:space="preserve">Julian Gräbitz </v>
      </c>
      <c r="G100" s="392" t="s">
        <v>1400</v>
      </c>
      <c r="H100" s="393">
        <v>5</v>
      </c>
    </row>
    <row r="101" spans="1:8" x14ac:dyDescent="0.25">
      <c r="A101" t="s">
        <v>956</v>
      </c>
      <c r="B101">
        <v>1</v>
      </c>
      <c r="C101" t="s">
        <v>851</v>
      </c>
      <c r="D101" t="str">
        <f t="shared" si="1"/>
        <v xml:space="preserve">Berto Abandero </v>
      </c>
      <c r="G101" s="392" t="s">
        <v>1401</v>
      </c>
      <c r="H101" s="393">
        <v>5</v>
      </c>
    </row>
    <row r="102" spans="1:8" x14ac:dyDescent="0.25">
      <c r="A102" t="s">
        <v>858</v>
      </c>
      <c r="B102">
        <v>3</v>
      </c>
      <c r="C102" t="s">
        <v>851</v>
      </c>
      <c r="D102" t="str">
        <f t="shared" si="1"/>
        <v xml:space="preserve">Juan García Peñuela </v>
      </c>
      <c r="G102" s="392" t="s">
        <v>1402</v>
      </c>
      <c r="H102" s="393">
        <v>5</v>
      </c>
    </row>
    <row r="103" spans="1:8" x14ac:dyDescent="0.25">
      <c r="A103" t="s">
        <v>858</v>
      </c>
      <c r="B103">
        <v>3</v>
      </c>
      <c r="C103" t="s">
        <v>851</v>
      </c>
      <c r="D103" t="str">
        <f t="shared" si="1"/>
        <v xml:space="preserve">Juan García Peñuela </v>
      </c>
      <c r="G103" s="392" t="s">
        <v>1403</v>
      </c>
      <c r="H103" s="393">
        <v>5</v>
      </c>
    </row>
    <row r="104" spans="1:8" x14ac:dyDescent="0.25">
      <c r="A104" t="s">
        <v>869</v>
      </c>
      <c r="B104">
        <v>4</v>
      </c>
      <c r="C104" t="s">
        <v>851</v>
      </c>
      <c r="D104" t="str">
        <f t="shared" si="1"/>
        <v xml:space="preserve">Meraj Siddiqui </v>
      </c>
      <c r="G104" s="392" t="s">
        <v>1404</v>
      </c>
      <c r="H104" s="393">
        <v>5</v>
      </c>
    </row>
    <row r="105" spans="1:8" x14ac:dyDescent="0.25">
      <c r="A105" t="s">
        <v>948</v>
      </c>
      <c r="B105">
        <v>3</v>
      </c>
      <c r="C105" t="s">
        <v>851</v>
      </c>
      <c r="D105" t="str">
        <f t="shared" si="1"/>
        <v xml:space="preserve">Valeri Gomis </v>
      </c>
      <c r="G105" s="392" t="s">
        <v>1405</v>
      </c>
      <c r="H105" s="393">
        <v>5</v>
      </c>
    </row>
    <row r="106" spans="1:8" x14ac:dyDescent="0.25">
      <c r="A106" t="s">
        <v>885</v>
      </c>
      <c r="B106">
        <v>5</v>
      </c>
      <c r="C106" t="s">
        <v>851</v>
      </c>
      <c r="D106" t="str">
        <f t="shared" si="1"/>
        <v xml:space="preserve">Venanci Oset </v>
      </c>
      <c r="G106" s="392" t="s">
        <v>1406</v>
      </c>
      <c r="H106" s="393">
        <v>5</v>
      </c>
    </row>
    <row r="107" spans="1:8" x14ac:dyDescent="0.25">
      <c r="A107" t="s">
        <v>919</v>
      </c>
      <c r="B107">
        <v>3</v>
      </c>
      <c r="C107" t="s">
        <v>851</v>
      </c>
      <c r="D107" t="str">
        <f t="shared" si="1"/>
        <v xml:space="preserve">Berto Abandero </v>
      </c>
      <c r="G107" s="392" t="s">
        <v>1407</v>
      </c>
      <c r="H107" s="393">
        <v>4</v>
      </c>
    </row>
    <row r="108" spans="1:8" x14ac:dyDescent="0.25">
      <c r="A108" t="s">
        <v>870</v>
      </c>
      <c r="B108">
        <v>3</v>
      </c>
      <c r="C108" t="s">
        <v>851</v>
      </c>
      <c r="D108" t="str">
        <f t="shared" si="1"/>
        <v xml:space="preserve">Juan García Peñuela </v>
      </c>
      <c r="G108" s="392" t="s">
        <v>1408</v>
      </c>
      <c r="H108" s="393">
        <v>4</v>
      </c>
    </row>
    <row r="109" spans="1:8" x14ac:dyDescent="0.25">
      <c r="A109" t="s">
        <v>907</v>
      </c>
      <c r="B109">
        <v>3</v>
      </c>
      <c r="C109" t="s">
        <v>851</v>
      </c>
      <c r="D109" t="str">
        <f t="shared" si="1"/>
        <v xml:space="preserve">Julian Gräbitz </v>
      </c>
      <c r="G109" s="392" t="s">
        <v>1409</v>
      </c>
      <c r="H109" s="393">
        <v>4</v>
      </c>
    </row>
    <row r="110" spans="1:8" x14ac:dyDescent="0.25">
      <c r="A110" t="s">
        <v>949</v>
      </c>
      <c r="B110">
        <v>3</v>
      </c>
      <c r="C110" t="s">
        <v>851</v>
      </c>
      <c r="D110" t="str">
        <f t="shared" si="1"/>
        <v xml:space="preserve">Wil Duffill </v>
      </c>
      <c r="G110" s="392" t="s">
        <v>1410</v>
      </c>
      <c r="H110" s="393">
        <v>4</v>
      </c>
    </row>
    <row r="111" spans="1:8" x14ac:dyDescent="0.25">
      <c r="A111" t="s">
        <v>1011</v>
      </c>
      <c r="B111">
        <v>15</v>
      </c>
      <c r="D111" t="str">
        <f t="shared" si="1"/>
        <v xml:space="preserve">Adam Moss </v>
      </c>
      <c r="G111" s="392" t="s">
        <v>1411</v>
      </c>
      <c r="H111" s="393">
        <v>4</v>
      </c>
    </row>
    <row r="112" spans="1:8" x14ac:dyDescent="0.25">
      <c r="A112" t="s">
        <v>1236</v>
      </c>
      <c r="B112">
        <v>8</v>
      </c>
      <c r="D112" t="str">
        <f t="shared" si="1"/>
        <v xml:space="preserve">Augustin Demaison </v>
      </c>
      <c r="G112" s="392" t="s">
        <v>1412</v>
      </c>
      <c r="H112" s="393">
        <v>4</v>
      </c>
    </row>
    <row r="113" spans="1:8" x14ac:dyDescent="0.25">
      <c r="A113" t="s">
        <v>1134</v>
      </c>
      <c r="B113">
        <v>10</v>
      </c>
      <c r="D113" t="str">
        <f t="shared" si="1"/>
        <v xml:space="preserve">Brunon Chuda </v>
      </c>
      <c r="G113" s="392" t="s">
        <v>1413</v>
      </c>
      <c r="H113" s="393">
        <v>4</v>
      </c>
    </row>
    <row r="114" spans="1:8" x14ac:dyDescent="0.25">
      <c r="A114" t="s">
        <v>934</v>
      </c>
      <c r="B114">
        <v>6</v>
      </c>
      <c r="D114" t="str">
        <f t="shared" si="1"/>
        <v xml:space="preserve">David Garcia-Spiess </v>
      </c>
      <c r="G114" s="392" t="s">
        <v>1414</v>
      </c>
      <c r="H114" s="393">
        <v>4</v>
      </c>
    </row>
    <row r="115" spans="1:8" x14ac:dyDescent="0.25">
      <c r="A115" t="s">
        <v>944</v>
      </c>
      <c r="B115">
        <v>11</v>
      </c>
      <c r="D115" t="str">
        <f t="shared" si="1"/>
        <v xml:space="preserve">Emilio Rojas </v>
      </c>
      <c r="G115" s="392" t="s">
        <v>1415</v>
      </c>
      <c r="H115" s="393">
        <v>4</v>
      </c>
    </row>
    <row r="116" spans="1:8" x14ac:dyDescent="0.25">
      <c r="A116" t="s">
        <v>1153</v>
      </c>
      <c r="B116">
        <v>7</v>
      </c>
      <c r="D116" t="str">
        <f t="shared" si="1"/>
        <v xml:space="preserve">Erik Lemming </v>
      </c>
      <c r="G116" s="392" t="s">
        <v>1416</v>
      </c>
      <c r="H116" s="393">
        <v>4</v>
      </c>
    </row>
    <row r="117" spans="1:8" x14ac:dyDescent="0.25">
      <c r="A117" t="s">
        <v>1072</v>
      </c>
      <c r="B117">
        <v>2</v>
      </c>
      <c r="D117" t="str">
        <f t="shared" si="1"/>
        <v xml:space="preserve">Ilari Santasalmi </v>
      </c>
      <c r="G117" s="392" t="s">
        <v>1417</v>
      </c>
      <c r="H117" s="393">
        <v>4</v>
      </c>
    </row>
    <row r="118" spans="1:8" x14ac:dyDescent="0.25">
      <c r="A118" t="s">
        <v>1100</v>
      </c>
      <c r="B118">
        <v>15</v>
      </c>
      <c r="D118" t="str">
        <f t="shared" si="1"/>
        <v xml:space="preserve">Joãozinho do Mato </v>
      </c>
      <c r="G118" s="392" t="s">
        <v>1418</v>
      </c>
      <c r="H118" s="393">
        <v>4</v>
      </c>
    </row>
    <row r="119" spans="1:8" x14ac:dyDescent="0.25">
      <c r="A119" t="s">
        <v>922</v>
      </c>
      <c r="B119">
        <v>17</v>
      </c>
      <c r="D119" t="str">
        <f t="shared" si="1"/>
        <v xml:space="preserve">Leo Hilpinen </v>
      </c>
      <c r="G119" s="392" t="s">
        <v>1419</v>
      </c>
      <c r="H119" s="393">
        <v>4</v>
      </c>
    </row>
    <row r="120" spans="1:8" x14ac:dyDescent="0.25">
      <c r="A120" t="s">
        <v>1037</v>
      </c>
      <c r="B120">
        <v>18</v>
      </c>
      <c r="D120" t="str">
        <f t="shared" si="1"/>
        <v xml:space="preserve">Leonardo Baltico </v>
      </c>
      <c r="G120" s="392" t="s">
        <v>1420</v>
      </c>
      <c r="H120" s="393">
        <v>4</v>
      </c>
    </row>
    <row r="121" spans="1:8" x14ac:dyDescent="0.25">
      <c r="A121" t="s">
        <v>1037</v>
      </c>
      <c r="B121">
        <v>12</v>
      </c>
      <c r="D121" t="str">
        <f t="shared" si="1"/>
        <v xml:space="preserve">Leonardo Baltico </v>
      </c>
      <c r="G121" s="392" t="s">
        <v>1421</v>
      </c>
      <c r="H121" s="393">
        <v>4</v>
      </c>
    </row>
    <row r="122" spans="1:8" x14ac:dyDescent="0.25">
      <c r="A122" t="s">
        <v>1037</v>
      </c>
      <c r="B122">
        <v>14</v>
      </c>
      <c r="D122" t="str">
        <f t="shared" si="1"/>
        <v xml:space="preserve">Leonardo Baltico </v>
      </c>
      <c r="G122" s="392" t="s">
        <v>1422</v>
      </c>
      <c r="H122" s="393">
        <v>3</v>
      </c>
    </row>
    <row r="123" spans="1:8" x14ac:dyDescent="0.25">
      <c r="A123" t="s">
        <v>1168</v>
      </c>
      <c r="B123">
        <v>9</v>
      </c>
      <c r="D123" t="str">
        <f t="shared" si="1"/>
        <v xml:space="preserve">Malte Neulinger </v>
      </c>
      <c r="G123" s="392" t="s">
        <v>1423</v>
      </c>
      <c r="H123" s="393">
        <v>3</v>
      </c>
    </row>
    <row r="124" spans="1:8" x14ac:dyDescent="0.25">
      <c r="A124" t="s">
        <v>1168</v>
      </c>
      <c r="B124">
        <v>7</v>
      </c>
      <c r="D124" t="str">
        <f t="shared" si="1"/>
        <v xml:space="preserve">Malte Neulinger </v>
      </c>
      <c r="G124" s="392" t="s">
        <v>1424</v>
      </c>
      <c r="H124" s="393">
        <v>3</v>
      </c>
    </row>
    <row r="125" spans="1:8" x14ac:dyDescent="0.25">
      <c r="A125" t="s">
        <v>1168</v>
      </c>
      <c r="B125">
        <v>9</v>
      </c>
      <c r="D125" t="str">
        <f t="shared" si="1"/>
        <v xml:space="preserve">Malte Neulinger </v>
      </c>
      <c r="G125" s="392" t="s">
        <v>1425</v>
      </c>
      <c r="H125" s="393">
        <v>3</v>
      </c>
    </row>
    <row r="126" spans="1:8" x14ac:dyDescent="0.25">
      <c r="A126" t="s">
        <v>1272</v>
      </c>
      <c r="B126">
        <v>6</v>
      </c>
      <c r="D126" t="str">
        <f t="shared" si="1"/>
        <v xml:space="preserve">Manolo Negrín </v>
      </c>
      <c r="G126" s="392" t="s">
        <v>1426</v>
      </c>
      <c r="H126" s="393">
        <v>3</v>
      </c>
    </row>
    <row r="127" spans="1:8" x14ac:dyDescent="0.25">
      <c r="A127" t="s">
        <v>1285</v>
      </c>
      <c r="B127">
        <v>6</v>
      </c>
      <c r="D127" t="str">
        <f t="shared" si="1"/>
        <v xml:space="preserve">Martin Kilev </v>
      </c>
      <c r="G127" s="392" t="s">
        <v>1427</v>
      </c>
      <c r="H127" s="393">
        <v>3</v>
      </c>
    </row>
    <row r="128" spans="1:8" x14ac:dyDescent="0.25">
      <c r="A128" t="s">
        <v>1254</v>
      </c>
      <c r="B128">
        <v>9</v>
      </c>
      <c r="D128" t="str">
        <f t="shared" si="1"/>
        <v xml:space="preserve">Melcior Calmet </v>
      </c>
      <c r="G128" s="392" t="s">
        <v>1428</v>
      </c>
      <c r="H128" s="393">
        <v>3</v>
      </c>
    </row>
    <row r="129" spans="1:8" x14ac:dyDescent="0.25">
      <c r="A129" t="s">
        <v>1082</v>
      </c>
      <c r="B129">
        <v>14</v>
      </c>
      <c r="D129" t="str">
        <f t="shared" si="1"/>
        <v xml:space="preserve">Nikolas Lakkotripi </v>
      </c>
      <c r="G129" s="392" t="s">
        <v>1429</v>
      </c>
      <c r="H129" s="393">
        <v>3</v>
      </c>
    </row>
    <row r="130" spans="1:8" x14ac:dyDescent="0.25">
      <c r="A130" t="s">
        <v>1212</v>
      </c>
      <c r="B130">
        <v>8</v>
      </c>
      <c r="D130" t="str">
        <f t="shared" si="1"/>
        <v xml:space="preserve">Pere Beltran </v>
      </c>
      <c r="G130" s="392" t="s">
        <v>1430</v>
      </c>
      <c r="H130" s="393">
        <v>3</v>
      </c>
    </row>
    <row r="131" spans="1:8" x14ac:dyDescent="0.25">
      <c r="A131" t="s">
        <v>1117</v>
      </c>
      <c r="B131">
        <v>14</v>
      </c>
      <c r="D131" t="str">
        <f t="shared" ref="D131:D194" si="2">MID(A131,SEARCH(" ",A131)+1,150)</f>
        <v xml:space="preserve">Roelant Bierman </v>
      </c>
      <c r="G131" s="392" t="s">
        <v>1431</v>
      </c>
      <c r="H131" s="393">
        <v>3</v>
      </c>
    </row>
    <row r="132" spans="1:8" x14ac:dyDescent="0.25">
      <c r="A132" t="s">
        <v>985</v>
      </c>
      <c r="B132">
        <v>15</v>
      </c>
      <c r="D132" t="str">
        <f t="shared" si="2"/>
        <v xml:space="preserve">Saúl Piña </v>
      </c>
      <c r="G132" s="392" t="s">
        <v>1432</v>
      </c>
      <c r="H132" s="393">
        <v>3</v>
      </c>
    </row>
    <row r="133" spans="1:8" x14ac:dyDescent="0.25">
      <c r="A133" t="s">
        <v>985</v>
      </c>
      <c r="B133">
        <v>13</v>
      </c>
      <c r="D133" t="str">
        <f t="shared" si="2"/>
        <v xml:space="preserve">Saúl Piña </v>
      </c>
      <c r="G133" s="392" t="s">
        <v>1433</v>
      </c>
      <c r="H133" s="393">
        <v>3</v>
      </c>
    </row>
    <row r="134" spans="1:8" x14ac:dyDescent="0.25">
      <c r="A134" t="s">
        <v>985</v>
      </c>
      <c r="B134">
        <v>22</v>
      </c>
      <c r="D134" t="str">
        <f t="shared" si="2"/>
        <v xml:space="preserve">Saúl Piña </v>
      </c>
      <c r="G134" s="392" t="s">
        <v>1434</v>
      </c>
      <c r="H134" s="393">
        <v>3</v>
      </c>
    </row>
    <row r="135" spans="1:8" x14ac:dyDescent="0.25">
      <c r="A135" t="s">
        <v>1091</v>
      </c>
      <c r="B135">
        <v>3</v>
      </c>
      <c r="D135" t="str">
        <f t="shared" si="2"/>
        <v xml:space="preserve">? (Ho) ?? (Minwei) </v>
      </c>
      <c r="G135" s="392" t="s">
        <v>1435</v>
      </c>
      <c r="H135" s="393">
        <v>3</v>
      </c>
    </row>
    <row r="136" spans="1:8" x14ac:dyDescent="0.25">
      <c r="A136" t="s">
        <v>1162</v>
      </c>
      <c r="B136">
        <v>2</v>
      </c>
      <c r="D136" t="str">
        <f t="shared" si="2"/>
        <v xml:space="preserve">Adamantios Fikias </v>
      </c>
      <c r="G136" s="392" t="s">
        <v>1436</v>
      </c>
      <c r="H136" s="393">
        <v>3</v>
      </c>
    </row>
    <row r="137" spans="1:8" x14ac:dyDescent="0.25">
      <c r="A137" t="s">
        <v>1176</v>
      </c>
      <c r="B137">
        <v>1</v>
      </c>
      <c r="D137" t="str">
        <f t="shared" si="2"/>
        <v xml:space="preserve">Andrija Miškovic </v>
      </c>
      <c r="G137" s="392" t="s">
        <v>1437</v>
      </c>
      <c r="H137" s="393">
        <v>3</v>
      </c>
    </row>
    <row r="138" spans="1:8" x14ac:dyDescent="0.25">
      <c r="A138" t="s">
        <v>1108</v>
      </c>
      <c r="B138">
        <v>4</v>
      </c>
      <c r="D138" t="str">
        <f t="shared" si="2"/>
        <v xml:space="preserve">Andrin Bärtsch </v>
      </c>
      <c r="G138" s="392" t="s">
        <v>1438</v>
      </c>
      <c r="H138" s="393">
        <v>3</v>
      </c>
    </row>
    <row r="139" spans="1:8" x14ac:dyDescent="0.25">
      <c r="A139" t="s">
        <v>1033</v>
      </c>
      <c r="B139">
        <v>4</v>
      </c>
      <c r="D139" t="str">
        <f t="shared" si="2"/>
        <v xml:space="preserve">Antoine Dupré </v>
      </c>
      <c r="G139" s="392" t="s">
        <v>1439</v>
      </c>
      <c r="H139" s="393">
        <v>3</v>
      </c>
    </row>
    <row r="140" spans="1:8" x14ac:dyDescent="0.25">
      <c r="A140" t="s">
        <v>1033</v>
      </c>
      <c r="B140">
        <v>6</v>
      </c>
      <c r="D140" t="str">
        <f t="shared" si="2"/>
        <v xml:space="preserve">Antoine Dupré </v>
      </c>
      <c r="G140" s="392" t="s">
        <v>1440</v>
      </c>
      <c r="H140" s="393">
        <v>3</v>
      </c>
    </row>
    <row r="141" spans="1:8" x14ac:dyDescent="0.25">
      <c r="A141" t="s">
        <v>994</v>
      </c>
      <c r="B141">
        <v>2</v>
      </c>
      <c r="D141" t="str">
        <f t="shared" si="2"/>
        <v xml:space="preserve">Cezary Pauch </v>
      </c>
      <c r="G141" s="392" t="s">
        <v>1441</v>
      </c>
      <c r="H141" s="393">
        <v>3</v>
      </c>
    </row>
    <row r="142" spans="1:8" x14ac:dyDescent="0.25">
      <c r="A142" t="s">
        <v>1220</v>
      </c>
      <c r="B142">
        <v>3</v>
      </c>
      <c r="D142" t="str">
        <f t="shared" si="2"/>
        <v xml:space="preserve">Clifford Smallwood </v>
      </c>
      <c r="G142" s="392" t="s">
        <v>1442</v>
      </c>
      <c r="H142" s="393">
        <v>2</v>
      </c>
    </row>
    <row r="143" spans="1:8" x14ac:dyDescent="0.25">
      <c r="A143" t="s">
        <v>969</v>
      </c>
      <c r="B143">
        <v>1</v>
      </c>
      <c r="D143" t="str">
        <f t="shared" si="2"/>
        <v xml:space="preserve">Eckardt Hägerling </v>
      </c>
      <c r="G143" s="392" t="s">
        <v>1443</v>
      </c>
      <c r="H143" s="393">
        <v>2</v>
      </c>
    </row>
    <row r="144" spans="1:8" x14ac:dyDescent="0.25">
      <c r="A144" t="s">
        <v>1143</v>
      </c>
      <c r="B144">
        <v>3</v>
      </c>
      <c r="D144" t="str">
        <f t="shared" si="2"/>
        <v xml:space="preserve">Erik Lemming </v>
      </c>
      <c r="G144" s="392" t="s">
        <v>1444</v>
      </c>
      <c r="H144" s="393">
        <v>2</v>
      </c>
    </row>
    <row r="145" spans="1:8" x14ac:dyDescent="0.25">
      <c r="A145" t="s">
        <v>1186</v>
      </c>
      <c r="B145">
        <v>2</v>
      </c>
      <c r="D145" t="str">
        <f t="shared" si="2"/>
        <v xml:space="preserve">Fabien Goncalves </v>
      </c>
      <c r="G145" s="392" t="s">
        <v>1445</v>
      </c>
      <c r="H145" s="393">
        <v>2</v>
      </c>
    </row>
    <row r="146" spans="1:8" x14ac:dyDescent="0.25">
      <c r="A146" t="s">
        <v>1019</v>
      </c>
      <c r="B146">
        <v>3</v>
      </c>
      <c r="D146" t="str">
        <f t="shared" si="2"/>
        <v xml:space="preserve">Gregor Freischläger </v>
      </c>
      <c r="G146" s="392" t="s">
        <v>1446</v>
      </c>
      <c r="H146" s="393">
        <v>2</v>
      </c>
    </row>
    <row r="147" spans="1:8" x14ac:dyDescent="0.25">
      <c r="A147" t="s">
        <v>1201</v>
      </c>
      <c r="B147">
        <v>2</v>
      </c>
      <c r="D147" t="str">
        <f t="shared" si="2"/>
        <v xml:space="preserve">Jacobo Ferrueros </v>
      </c>
      <c r="G147" s="392" t="s">
        <v>1447</v>
      </c>
      <c r="H147" s="393">
        <v>2</v>
      </c>
    </row>
    <row r="148" spans="1:8" x14ac:dyDescent="0.25">
      <c r="A148" t="s">
        <v>1007</v>
      </c>
      <c r="B148">
        <v>2</v>
      </c>
      <c r="D148" t="str">
        <f t="shared" si="2"/>
        <v xml:space="preserve">Jorge Walter Whitaker </v>
      </c>
      <c r="G148" s="392" t="s">
        <v>1448</v>
      </c>
      <c r="H148" s="393">
        <v>2</v>
      </c>
    </row>
    <row r="149" spans="1:8" x14ac:dyDescent="0.25">
      <c r="A149" t="s">
        <v>950</v>
      </c>
      <c r="B149">
        <v>2</v>
      </c>
      <c r="D149" t="str">
        <f t="shared" si="2"/>
        <v xml:space="preserve">Jurgen Muësen </v>
      </c>
      <c r="G149" s="392" t="s">
        <v>1449</v>
      </c>
      <c r="H149" s="393">
        <v>2</v>
      </c>
    </row>
    <row r="150" spans="1:8" x14ac:dyDescent="0.25">
      <c r="A150" t="s">
        <v>1053</v>
      </c>
      <c r="B150">
        <v>3</v>
      </c>
      <c r="D150" t="str">
        <f t="shared" si="2"/>
        <v xml:space="preserve">Károly Serfel </v>
      </c>
      <c r="G150" s="392" t="s">
        <v>1450</v>
      </c>
      <c r="H150" s="393">
        <v>2</v>
      </c>
    </row>
    <row r="151" spans="1:8" x14ac:dyDescent="0.25">
      <c r="A151" t="s">
        <v>1081</v>
      </c>
      <c r="B151">
        <v>1</v>
      </c>
      <c r="D151" t="str">
        <f t="shared" si="2"/>
        <v xml:space="preserve">Lars Pouilliers </v>
      </c>
      <c r="G151" s="392" t="s">
        <v>1451</v>
      </c>
      <c r="H151" s="393">
        <v>2</v>
      </c>
    </row>
    <row r="152" spans="1:8" x14ac:dyDescent="0.25">
      <c r="A152" t="s">
        <v>1294</v>
      </c>
      <c r="B152">
        <v>2</v>
      </c>
      <c r="D152" t="str">
        <f t="shared" si="2"/>
        <v xml:space="preserve">Manolo Negrín </v>
      </c>
      <c r="G152" s="392" t="s">
        <v>1452</v>
      </c>
      <c r="H152" s="393">
        <v>2</v>
      </c>
    </row>
    <row r="153" spans="1:8" x14ac:dyDescent="0.25">
      <c r="A153" t="s">
        <v>1244</v>
      </c>
      <c r="B153">
        <v>2</v>
      </c>
      <c r="D153" t="str">
        <f t="shared" si="2"/>
        <v xml:space="preserve">Markus Currie </v>
      </c>
      <c r="G153" s="392" t="s">
        <v>1453</v>
      </c>
      <c r="H153" s="393">
        <v>2</v>
      </c>
    </row>
    <row r="154" spans="1:8" x14ac:dyDescent="0.25">
      <c r="A154" t="s">
        <v>979</v>
      </c>
      <c r="B154">
        <v>1</v>
      </c>
      <c r="D154" t="str">
        <f t="shared" si="2"/>
        <v xml:space="preserve">Morgan Thomas </v>
      </c>
      <c r="G154" s="392" t="s">
        <v>1454</v>
      </c>
      <c r="H154" s="393">
        <v>2</v>
      </c>
    </row>
    <row r="155" spans="1:8" x14ac:dyDescent="0.25">
      <c r="A155" t="s">
        <v>1126</v>
      </c>
      <c r="B155">
        <v>4</v>
      </c>
      <c r="D155" t="str">
        <f t="shared" si="2"/>
        <v xml:space="preserve">Nicolai Stentoft </v>
      </c>
      <c r="G155" s="392" t="s">
        <v>1455</v>
      </c>
      <c r="H155" s="393">
        <v>2</v>
      </c>
    </row>
    <row r="156" spans="1:8" x14ac:dyDescent="0.25">
      <c r="A156" t="s">
        <v>1263</v>
      </c>
      <c r="B156">
        <v>2</v>
      </c>
      <c r="D156" t="str">
        <f t="shared" si="2"/>
        <v xml:space="preserve">Ofek Azuri </v>
      </c>
      <c r="G156" s="392" t="s">
        <v>1456</v>
      </c>
      <c r="H156" s="393">
        <v>2</v>
      </c>
    </row>
    <row r="157" spans="1:8" x14ac:dyDescent="0.25">
      <c r="A157" t="s">
        <v>1281</v>
      </c>
      <c r="B157">
        <v>1</v>
      </c>
      <c r="D157" t="str">
        <f t="shared" si="2"/>
        <v xml:space="preserve">Olli Rambow </v>
      </c>
      <c r="G157" s="392" t="s">
        <v>1457</v>
      </c>
      <c r="H157" s="393">
        <v>2</v>
      </c>
    </row>
    <row r="158" spans="1:8" x14ac:dyDescent="0.25">
      <c r="A158" t="s">
        <v>958</v>
      </c>
      <c r="B158">
        <v>1</v>
      </c>
      <c r="D158" t="str">
        <f t="shared" si="2"/>
        <v xml:space="preserve">Roberto Montero </v>
      </c>
      <c r="G158" s="392" t="s">
        <v>1458</v>
      </c>
      <c r="H158" s="393">
        <v>2</v>
      </c>
    </row>
    <row r="159" spans="1:8" x14ac:dyDescent="0.25">
      <c r="A159" t="s">
        <v>1065</v>
      </c>
      <c r="B159">
        <v>5</v>
      </c>
      <c r="D159" t="str">
        <f t="shared" si="2"/>
        <v xml:space="preserve">Saúl Piña </v>
      </c>
      <c r="G159" s="392" t="s">
        <v>1459</v>
      </c>
      <c r="H159" s="393">
        <v>2</v>
      </c>
    </row>
    <row r="160" spans="1:8" x14ac:dyDescent="0.25">
      <c r="A160" t="s">
        <v>1127</v>
      </c>
      <c r="B160">
        <v>4</v>
      </c>
      <c r="D160" t="str">
        <f t="shared" si="2"/>
        <v xml:space="preserve">Adamantios Fikias </v>
      </c>
      <c r="G160" s="392" t="s">
        <v>1460</v>
      </c>
      <c r="H160" s="393">
        <v>2</v>
      </c>
    </row>
    <row r="161" spans="1:8" x14ac:dyDescent="0.25">
      <c r="A161" t="s">
        <v>1054</v>
      </c>
      <c r="B161">
        <v>1</v>
      </c>
      <c r="D161" t="str">
        <f t="shared" si="2"/>
        <v xml:space="preserve">Adolfo Vitulli </v>
      </c>
      <c r="G161" s="392" t="s">
        <v>1461</v>
      </c>
      <c r="H161" s="393">
        <v>2</v>
      </c>
    </row>
    <row r="162" spans="1:8" x14ac:dyDescent="0.25">
      <c r="A162" t="s">
        <v>1043</v>
      </c>
      <c r="B162">
        <v>5</v>
      </c>
      <c r="D162" t="str">
        <f t="shared" si="2"/>
        <v xml:space="preserve">Aleksi Alarotu </v>
      </c>
      <c r="G162" s="392" t="s">
        <v>1462</v>
      </c>
      <c r="H162" s="393">
        <v>2</v>
      </c>
    </row>
    <row r="163" spans="1:8" x14ac:dyDescent="0.25">
      <c r="A163" t="s">
        <v>1221</v>
      </c>
      <c r="B163">
        <v>2</v>
      </c>
      <c r="D163" t="str">
        <f t="shared" si="2"/>
        <v xml:space="preserve">Aureliusz Staszczuk </v>
      </c>
      <c r="G163" s="392" t="s">
        <v>1463</v>
      </c>
      <c r="H163" s="393">
        <v>2</v>
      </c>
    </row>
    <row r="164" spans="1:8" x14ac:dyDescent="0.25">
      <c r="A164" t="s">
        <v>1177</v>
      </c>
      <c r="B164">
        <v>1</v>
      </c>
      <c r="D164" t="str">
        <f t="shared" si="2"/>
        <v xml:space="preserve">Barnabás Borsányi </v>
      </c>
      <c r="G164" s="392" t="s">
        <v>1464</v>
      </c>
      <c r="H164" s="393">
        <v>2</v>
      </c>
    </row>
    <row r="165" spans="1:8" x14ac:dyDescent="0.25">
      <c r="A165" t="s">
        <v>1008</v>
      </c>
      <c r="B165">
        <v>1</v>
      </c>
      <c r="D165" t="str">
        <f t="shared" si="2"/>
        <v xml:space="preserve">Boleslaw Starzomski </v>
      </c>
      <c r="G165" s="392" t="s">
        <v>1465</v>
      </c>
      <c r="H165" s="393">
        <v>2</v>
      </c>
    </row>
    <row r="166" spans="1:8" x14ac:dyDescent="0.25">
      <c r="A166" t="s">
        <v>995</v>
      </c>
      <c r="B166">
        <v>1</v>
      </c>
      <c r="D166" t="str">
        <f t="shared" si="2"/>
        <v xml:space="preserve">Emilio Mochelato </v>
      </c>
      <c r="G166" s="392" t="s">
        <v>1466</v>
      </c>
      <c r="H166" s="393">
        <v>2</v>
      </c>
    </row>
    <row r="167" spans="1:8" x14ac:dyDescent="0.25">
      <c r="A167" t="s">
        <v>928</v>
      </c>
      <c r="B167">
        <v>2</v>
      </c>
      <c r="D167" t="str">
        <f t="shared" si="2"/>
        <v xml:space="preserve">Fabien Fabre </v>
      </c>
      <c r="G167" s="392" t="s">
        <v>1467</v>
      </c>
      <c r="H167" s="393">
        <v>2</v>
      </c>
    </row>
    <row r="168" spans="1:8" x14ac:dyDescent="0.25">
      <c r="A168" t="s">
        <v>928</v>
      </c>
      <c r="B168">
        <v>1</v>
      </c>
      <c r="D168" t="str">
        <f t="shared" si="2"/>
        <v xml:space="preserve">Fabien Fabre </v>
      </c>
      <c r="G168" s="392" t="s">
        <v>1468</v>
      </c>
      <c r="H168" s="393">
        <v>1</v>
      </c>
    </row>
    <row r="169" spans="1:8" x14ac:dyDescent="0.25">
      <c r="A169" t="s">
        <v>1144</v>
      </c>
      <c r="B169">
        <v>3</v>
      </c>
      <c r="D169" t="str">
        <f t="shared" si="2"/>
        <v xml:space="preserve">Honesto Cousa </v>
      </c>
      <c r="G169" s="392" t="s">
        <v>1469</v>
      </c>
      <c r="H169" s="393">
        <v>1</v>
      </c>
    </row>
    <row r="170" spans="1:8" x14ac:dyDescent="0.25">
      <c r="A170" t="s">
        <v>1264</v>
      </c>
      <c r="B170">
        <v>2</v>
      </c>
      <c r="D170" t="str">
        <f t="shared" si="2"/>
        <v xml:space="preserve">Karl Edwin </v>
      </c>
      <c r="G170" s="392" t="s">
        <v>1470</v>
      </c>
      <c r="H170" s="393">
        <v>1</v>
      </c>
    </row>
    <row r="171" spans="1:8" x14ac:dyDescent="0.25">
      <c r="A171" t="s">
        <v>1109</v>
      </c>
      <c r="B171">
        <v>4</v>
      </c>
      <c r="D171" t="str">
        <f t="shared" si="2"/>
        <v xml:space="preserve">Lars Pouilliers </v>
      </c>
      <c r="G171" s="392" t="s">
        <v>1471</v>
      </c>
      <c r="H171" s="393">
        <v>1</v>
      </c>
    </row>
    <row r="172" spans="1:8" x14ac:dyDescent="0.25">
      <c r="A172" t="s">
        <v>1092</v>
      </c>
      <c r="B172">
        <v>3</v>
      </c>
      <c r="D172" t="str">
        <f t="shared" si="2"/>
        <v xml:space="preserve">Leonardo Baltico </v>
      </c>
      <c r="G172" s="392" t="s">
        <v>1472</v>
      </c>
      <c r="H172" s="393">
        <v>1</v>
      </c>
    </row>
    <row r="173" spans="1:8" x14ac:dyDescent="0.25">
      <c r="A173" t="s">
        <v>1282</v>
      </c>
      <c r="B173">
        <v>1</v>
      </c>
      <c r="D173" t="str">
        <f t="shared" si="2"/>
        <v xml:space="preserve">Martin Kilev </v>
      </c>
      <c r="G173" s="392" t="s">
        <v>1473</v>
      </c>
      <c r="H173" s="393">
        <v>1</v>
      </c>
    </row>
    <row r="174" spans="1:8" x14ac:dyDescent="0.25">
      <c r="A174" t="s">
        <v>920</v>
      </c>
      <c r="B174">
        <v>2</v>
      </c>
      <c r="D174" t="str">
        <f t="shared" si="2"/>
        <v xml:space="preserve">Miguel Fernández </v>
      </c>
      <c r="G174" s="392" t="s">
        <v>1474</v>
      </c>
      <c r="H174" s="393">
        <v>1</v>
      </c>
    </row>
    <row r="175" spans="1:8" x14ac:dyDescent="0.25">
      <c r="A175" t="s">
        <v>920</v>
      </c>
      <c r="B175">
        <v>2</v>
      </c>
      <c r="D175" t="str">
        <f t="shared" si="2"/>
        <v xml:space="preserve">Miguel Fernández </v>
      </c>
      <c r="G175" s="392" t="s">
        <v>1475</v>
      </c>
      <c r="H175" s="393">
        <v>1</v>
      </c>
    </row>
    <row r="176" spans="1:8" x14ac:dyDescent="0.25">
      <c r="A176" t="s">
        <v>1020</v>
      </c>
      <c r="B176">
        <v>2</v>
      </c>
      <c r="D176" t="str">
        <f t="shared" si="2"/>
        <v xml:space="preserve">Morgan Thomas </v>
      </c>
      <c r="G176" s="392" t="s">
        <v>1476</v>
      </c>
      <c r="H176" s="393">
        <v>1</v>
      </c>
    </row>
    <row r="177" spans="1:8" x14ac:dyDescent="0.25">
      <c r="A177" t="s">
        <v>1034</v>
      </c>
      <c r="B177">
        <v>3</v>
      </c>
      <c r="D177" t="str">
        <f t="shared" si="2"/>
        <v xml:space="preserve">Patrick Werner </v>
      </c>
      <c r="G177" s="392" t="s">
        <v>1477</v>
      </c>
      <c r="H177" s="393">
        <v>1</v>
      </c>
    </row>
    <row r="178" spans="1:8" x14ac:dyDescent="0.25">
      <c r="A178" t="s">
        <v>1245</v>
      </c>
      <c r="B178">
        <v>2</v>
      </c>
      <c r="D178" t="str">
        <f t="shared" si="2"/>
        <v xml:space="preserve">Percy Alfredsson </v>
      </c>
      <c r="G178" s="392" t="s">
        <v>1478</v>
      </c>
      <c r="H178" s="393">
        <v>1</v>
      </c>
    </row>
    <row r="179" spans="1:8" x14ac:dyDescent="0.25">
      <c r="A179" t="s">
        <v>1163</v>
      </c>
      <c r="B179">
        <v>2</v>
      </c>
      <c r="D179" t="str">
        <f t="shared" si="2"/>
        <v xml:space="preserve">Pere Beltran </v>
      </c>
      <c r="G179" s="392" t="s">
        <v>1479</v>
      </c>
      <c r="H179" s="393">
        <v>1</v>
      </c>
    </row>
    <row r="180" spans="1:8" x14ac:dyDescent="0.25">
      <c r="A180" t="s">
        <v>980</v>
      </c>
      <c r="B180">
        <v>1</v>
      </c>
      <c r="D180" t="str">
        <f t="shared" si="2"/>
        <v xml:space="preserve">Rasheed Da'na </v>
      </c>
      <c r="G180" s="392" t="s">
        <v>1480</v>
      </c>
      <c r="H180" s="393">
        <v>1</v>
      </c>
    </row>
    <row r="181" spans="1:8" x14ac:dyDescent="0.25">
      <c r="A181" t="s">
        <v>980</v>
      </c>
      <c r="B181">
        <v>4</v>
      </c>
      <c r="D181" t="str">
        <f t="shared" si="2"/>
        <v xml:space="preserve">Rasheed Da'na </v>
      </c>
      <c r="G181" s="392" t="s">
        <v>1481</v>
      </c>
      <c r="H181" s="393">
        <v>1</v>
      </c>
    </row>
    <row r="182" spans="1:8" x14ac:dyDescent="0.25">
      <c r="A182" t="s">
        <v>970</v>
      </c>
      <c r="B182">
        <v>1</v>
      </c>
      <c r="D182" t="str">
        <f t="shared" si="2"/>
        <v xml:space="preserve">Roberto Montero </v>
      </c>
      <c r="G182" s="392" t="s">
        <v>1482</v>
      </c>
      <c r="H182" s="393">
        <v>1</v>
      </c>
    </row>
    <row r="183" spans="1:8" x14ac:dyDescent="0.25">
      <c r="A183" t="s">
        <v>1187</v>
      </c>
      <c r="B183">
        <v>2</v>
      </c>
      <c r="D183" t="str">
        <f t="shared" si="2"/>
        <v xml:space="preserve">Romain Grière </v>
      </c>
      <c r="G183" s="392" t="s">
        <v>1483</v>
      </c>
      <c r="H183" s="393">
        <v>1</v>
      </c>
    </row>
    <row r="184" spans="1:8" x14ac:dyDescent="0.25">
      <c r="A184" t="s">
        <v>959</v>
      </c>
      <c r="B184">
        <v>1</v>
      </c>
      <c r="D184" t="str">
        <f t="shared" si="2"/>
        <v xml:space="preserve">Seran Aranguren </v>
      </c>
      <c r="G184" s="392" t="s">
        <v>1484</v>
      </c>
      <c r="H184" s="393">
        <v>1</v>
      </c>
    </row>
    <row r="185" spans="1:8" x14ac:dyDescent="0.25">
      <c r="A185" t="s">
        <v>1295</v>
      </c>
      <c r="B185">
        <v>1</v>
      </c>
      <c r="D185" t="str">
        <f t="shared" si="2"/>
        <v xml:space="preserve">Serapio Castrelos </v>
      </c>
      <c r="G185" s="392" t="s">
        <v>1485</v>
      </c>
      <c r="H185" s="393">
        <v>1</v>
      </c>
    </row>
    <row r="186" spans="1:8" x14ac:dyDescent="0.25">
      <c r="A186" t="s">
        <v>1202</v>
      </c>
      <c r="B186">
        <v>2</v>
      </c>
      <c r="D186" t="str">
        <f t="shared" si="2"/>
        <v xml:space="preserve">Uday Adeeb </v>
      </c>
      <c r="G186" s="392" t="s">
        <v>1486</v>
      </c>
      <c r="H186" s="393">
        <v>1</v>
      </c>
    </row>
    <row r="187" spans="1:8" x14ac:dyDescent="0.25">
      <c r="A187" t="s">
        <v>996</v>
      </c>
      <c r="B187">
        <v>1</v>
      </c>
      <c r="D187" t="str">
        <f t="shared" si="2"/>
        <v xml:space="preserve">Andrea Califano </v>
      </c>
      <c r="G187" s="392" t="s">
        <v>1487</v>
      </c>
      <c r="H187" s="393">
        <v>1</v>
      </c>
    </row>
    <row r="188" spans="1:8" x14ac:dyDescent="0.25">
      <c r="A188" t="s">
        <v>1035</v>
      </c>
      <c r="B188">
        <v>2</v>
      </c>
      <c r="D188" t="str">
        <f t="shared" si="2"/>
        <v xml:space="preserve">Arnold Kalckstein </v>
      </c>
      <c r="G188" s="392" t="s">
        <v>1488</v>
      </c>
      <c r="H188" s="393">
        <v>1</v>
      </c>
    </row>
    <row r="189" spans="1:8" x14ac:dyDescent="0.25">
      <c r="A189" t="s">
        <v>1044</v>
      </c>
      <c r="B189">
        <v>4</v>
      </c>
      <c r="D189" t="str">
        <f t="shared" si="2"/>
        <v xml:space="preserve">Christophe Reinhart </v>
      </c>
      <c r="G189" s="392" t="s">
        <v>1489</v>
      </c>
      <c r="H189" s="393">
        <v>1</v>
      </c>
    </row>
    <row r="190" spans="1:8" x14ac:dyDescent="0.25">
      <c r="A190" t="s">
        <v>1009</v>
      </c>
      <c r="B190">
        <v>1</v>
      </c>
      <c r="D190" t="str">
        <f t="shared" si="2"/>
        <v xml:space="preserve">Csaba Mezo </v>
      </c>
      <c r="G190" s="392" t="s">
        <v>1490</v>
      </c>
      <c r="H190" s="393">
        <v>1</v>
      </c>
    </row>
    <row r="191" spans="1:8" x14ac:dyDescent="0.25">
      <c r="A191" t="s">
        <v>910</v>
      </c>
      <c r="B191">
        <v>1</v>
      </c>
      <c r="D191" t="str">
        <f t="shared" si="2"/>
        <v xml:space="preserve">David Garcia-Spiess </v>
      </c>
      <c r="G191" s="392" t="s">
        <v>1491</v>
      </c>
      <c r="H191" s="393">
        <v>1</v>
      </c>
    </row>
    <row r="192" spans="1:8" x14ac:dyDescent="0.25">
      <c r="A192" t="s">
        <v>910</v>
      </c>
      <c r="B192">
        <v>2</v>
      </c>
      <c r="D192" t="str">
        <f t="shared" si="2"/>
        <v xml:space="preserve">David Garcia-Spiess </v>
      </c>
      <c r="G192" s="392" t="s">
        <v>1492</v>
      </c>
      <c r="H192" s="393">
        <v>1</v>
      </c>
    </row>
    <row r="193" spans="1:8" x14ac:dyDescent="0.25">
      <c r="A193" t="s">
        <v>1203</v>
      </c>
      <c r="B193">
        <v>2</v>
      </c>
      <c r="D193" t="str">
        <f t="shared" si="2"/>
        <v xml:space="preserve">David Knuff </v>
      </c>
      <c r="G193" s="392" t="s">
        <v>1493</v>
      </c>
      <c r="H193" s="393">
        <v>1</v>
      </c>
    </row>
    <row r="194" spans="1:8" x14ac:dyDescent="0.25">
      <c r="A194" t="s">
        <v>1110</v>
      </c>
      <c r="B194">
        <v>3</v>
      </c>
      <c r="D194" t="str">
        <f t="shared" si="2"/>
        <v xml:space="preserve">Dolf Fohringer </v>
      </c>
      <c r="G194" s="392" t="s">
        <v>1494</v>
      </c>
      <c r="H194" s="393">
        <v>1</v>
      </c>
    </row>
    <row r="195" spans="1:8" x14ac:dyDescent="0.25">
      <c r="A195" t="s">
        <v>981</v>
      </c>
      <c r="B195">
        <v>1</v>
      </c>
      <c r="D195" t="str">
        <f t="shared" ref="D195:D258" si="3">MID(A195,SEARCH(" ",A195)+1,150)</f>
        <v xml:space="preserve">Eckardt Hägerling </v>
      </c>
      <c r="G195" s="392" t="s">
        <v>1495</v>
      </c>
      <c r="H195" s="393">
        <v>1</v>
      </c>
    </row>
    <row r="196" spans="1:8" x14ac:dyDescent="0.25">
      <c r="A196" t="s">
        <v>1021</v>
      </c>
      <c r="B196">
        <v>2</v>
      </c>
      <c r="D196" t="str">
        <f t="shared" si="3"/>
        <v xml:space="preserve">Emilio Mochelato </v>
      </c>
      <c r="G196" s="392" t="s">
        <v>1496</v>
      </c>
      <c r="H196" s="393">
        <v>1</v>
      </c>
    </row>
    <row r="197" spans="1:8" x14ac:dyDescent="0.25">
      <c r="A197" t="s">
        <v>1145</v>
      </c>
      <c r="B197">
        <v>2</v>
      </c>
      <c r="D197" t="str">
        <f t="shared" si="3"/>
        <v xml:space="preserve">Gino van Hoesel </v>
      </c>
      <c r="G197" s="392" t="s">
        <v>1497</v>
      </c>
      <c r="H197" s="393">
        <v>1</v>
      </c>
    </row>
    <row r="198" spans="1:8" x14ac:dyDescent="0.25">
      <c r="A198" t="s">
        <v>1222</v>
      </c>
      <c r="B198">
        <v>2</v>
      </c>
      <c r="D198" t="str">
        <f t="shared" si="3"/>
        <v xml:space="preserve">Igli Volpicelli </v>
      </c>
      <c r="G198" s="392" t="s">
        <v>1498</v>
      </c>
      <c r="H198" s="393">
        <v>1</v>
      </c>
    </row>
    <row r="199" spans="1:8" x14ac:dyDescent="0.25">
      <c r="A199" t="s">
        <v>1128</v>
      </c>
      <c r="B199">
        <v>4</v>
      </c>
      <c r="D199" t="str">
        <f t="shared" si="3"/>
        <v xml:space="preserve">Jos Pittoors </v>
      </c>
      <c r="G199" s="392" t="s">
        <v>1300</v>
      </c>
      <c r="H199" s="393"/>
    </row>
    <row r="200" spans="1:8" x14ac:dyDescent="0.25">
      <c r="A200" t="s">
        <v>1066</v>
      </c>
      <c r="B200">
        <v>4</v>
      </c>
      <c r="D200" t="str">
        <f t="shared" si="3"/>
        <v xml:space="preserve">Károly Serfel </v>
      </c>
      <c r="G200" s="394" t="s">
        <v>408</v>
      </c>
      <c r="H200" s="395">
        <v>2054</v>
      </c>
    </row>
    <row r="201" spans="1:8" x14ac:dyDescent="0.25">
      <c r="A201" t="s">
        <v>1265</v>
      </c>
      <c r="B201">
        <v>2</v>
      </c>
      <c r="D201" t="str">
        <f t="shared" si="3"/>
        <v xml:space="preserve">Lauri Piminäinen </v>
      </c>
    </row>
    <row r="202" spans="1:8" x14ac:dyDescent="0.25">
      <c r="A202" t="s">
        <v>1093</v>
      </c>
      <c r="B202">
        <v>3</v>
      </c>
      <c r="D202" t="str">
        <f t="shared" si="3"/>
        <v xml:space="preserve">Ludwik Mojescik </v>
      </c>
    </row>
    <row r="203" spans="1:8" x14ac:dyDescent="0.25">
      <c r="A203" t="s">
        <v>1093</v>
      </c>
      <c r="B203">
        <v>2</v>
      </c>
      <c r="D203" t="str">
        <f t="shared" si="3"/>
        <v xml:space="preserve">Ludwik Mojescik </v>
      </c>
    </row>
    <row r="204" spans="1:8" x14ac:dyDescent="0.25">
      <c r="A204" t="s">
        <v>1246</v>
      </c>
      <c r="B204">
        <v>1</v>
      </c>
      <c r="D204" t="str">
        <f t="shared" si="3"/>
        <v xml:space="preserve">Massimiliano Jula </v>
      </c>
    </row>
    <row r="205" spans="1:8" x14ac:dyDescent="0.25">
      <c r="A205" t="s">
        <v>1283</v>
      </c>
      <c r="B205">
        <v>1</v>
      </c>
      <c r="D205" t="str">
        <f t="shared" si="3"/>
        <v xml:space="preserve">Pieter Pelleboer </v>
      </c>
    </row>
    <row r="206" spans="1:8" x14ac:dyDescent="0.25">
      <c r="A206" t="s">
        <v>1055</v>
      </c>
      <c r="B206">
        <v>1</v>
      </c>
      <c r="D206" t="str">
        <f t="shared" si="3"/>
        <v xml:space="preserve">Raffaele Sitter </v>
      </c>
    </row>
    <row r="207" spans="1:8" x14ac:dyDescent="0.25">
      <c r="A207" t="s">
        <v>1188</v>
      </c>
      <c r="B207">
        <v>1</v>
      </c>
      <c r="D207" t="str">
        <f t="shared" si="3"/>
        <v xml:space="preserve">Steve Mckinnon </v>
      </c>
    </row>
    <row r="208" spans="1:8" x14ac:dyDescent="0.25">
      <c r="A208" t="s">
        <v>1178</v>
      </c>
      <c r="B208">
        <v>1</v>
      </c>
      <c r="D208" t="str">
        <f t="shared" si="3"/>
        <v xml:space="preserve">Tomasz Artymiuk </v>
      </c>
    </row>
    <row r="209" spans="1:4" x14ac:dyDescent="0.25">
      <c r="A209" t="s">
        <v>1284</v>
      </c>
      <c r="B209">
        <v>1</v>
      </c>
      <c r="D209" t="str">
        <f t="shared" si="3"/>
        <v xml:space="preserve">? (Pan) ?? (Yuandong) </v>
      </c>
    </row>
    <row r="210" spans="1:4" x14ac:dyDescent="0.25">
      <c r="A210" t="s">
        <v>1204</v>
      </c>
      <c r="B210">
        <v>1</v>
      </c>
      <c r="D210" t="str">
        <f t="shared" si="3"/>
        <v xml:space="preserve">Aamos Vara </v>
      </c>
    </row>
    <row r="211" spans="1:4" x14ac:dyDescent="0.25">
      <c r="A211" t="s">
        <v>1067</v>
      </c>
      <c r="B211">
        <v>3</v>
      </c>
      <c r="D211" t="str">
        <f t="shared" si="3"/>
        <v xml:space="preserve">Arjo Olthuis </v>
      </c>
    </row>
    <row r="212" spans="1:4" x14ac:dyDescent="0.25">
      <c r="A212" t="s">
        <v>1036</v>
      </c>
      <c r="B212">
        <v>1</v>
      </c>
      <c r="D212" t="str">
        <f t="shared" si="3"/>
        <v xml:space="preserve">Christophe Reinhart </v>
      </c>
    </row>
    <row r="213" spans="1:4" x14ac:dyDescent="0.25">
      <c r="A213" t="s">
        <v>1036</v>
      </c>
      <c r="B213">
        <v>1</v>
      </c>
      <c r="D213" t="str">
        <f t="shared" si="3"/>
        <v xml:space="preserve">Christophe Reinhart </v>
      </c>
    </row>
    <row r="214" spans="1:4" x14ac:dyDescent="0.25">
      <c r="A214" t="s">
        <v>951</v>
      </c>
      <c r="B214">
        <v>2</v>
      </c>
      <c r="D214" t="str">
        <f t="shared" si="3"/>
        <v xml:space="preserve">Cornel Caraba </v>
      </c>
    </row>
    <row r="215" spans="1:4" x14ac:dyDescent="0.25">
      <c r="A215" t="s">
        <v>1010</v>
      </c>
      <c r="B215">
        <v>1</v>
      </c>
      <c r="D215" t="str">
        <f t="shared" si="3"/>
        <v xml:space="preserve">Emilio Mochelato </v>
      </c>
    </row>
    <row r="216" spans="1:4" x14ac:dyDescent="0.25">
      <c r="A216" t="s">
        <v>1179</v>
      </c>
      <c r="B216">
        <v>1</v>
      </c>
      <c r="D216" t="str">
        <f t="shared" si="3"/>
        <v xml:space="preserve">Fere Pulido </v>
      </c>
    </row>
    <row r="217" spans="1:4" x14ac:dyDescent="0.25">
      <c r="A217" t="s">
        <v>982</v>
      </c>
      <c r="B217">
        <v>1</v>
      </c>
      <c r="D217" t="str">
        <f t="shared" si="3"/>
        <v xml:space="preserve">Fernando Gazón </v>
      </c>
    </row>
    <row r="218" spans="1:4" x14ac:dyDescent="0.25">
      <c r="A218" t="s">
        <v>1111</v>
      </c>
      <c r="B218">
        <v>3</v>
      </c>
      <c r="D218" t="str">
        <f t="shared" si="3"/>
        <v xml:space="preserve">Gino van Hoesel </v>
      </c>
    </row>
    <row r="219" spans="1:4" x14ac:dyDescent="0.25">
      <c r="A219" t="s">
        <v>1045</v>
      </c>
      <c r="B219">
        <v>3</v>
      </c>
      <c r="D219" t="str">
        <f t="shared" si="3"/>
        <v xml:space="preserve">Horacy Dzienis </v>
      </c>
    </row>
    <row r="220" spans="1:4" x14ac:dyDescent="0.25">
      <c r="A220" t="s">
        <v>1266</v>
      </c>
      <c r="B220">
        <v>2</v>
      </c>
      <c r="D220" t="str">
        <f t="shared" si="3"/>
        <v xml:space="preserve">Jacobo Ferrueros </v>
      </c>
    </row>
    <row r="221" spans="1:4" x14ac:dyDescent="0.25">
      <c r="A221" t="s">
        <v>1146</v>
      </c>
      <c r="B221">
        <v>2</v>
      </c>
      <c r="D221" t="str">
        <f t="shared" si="3"/>
        <v xml:space="preserve">Jos Pittoors </v>
      </c>
    </row>
    <row r="222" spans="1:4" x14ac:dyDescent="0.25">
      <c r="A222" t="s">
        <v>997</v>
      </c>
      <c r="B222">
        <v>1</v>
      </c>
      <c r="D222" t="str">
        <f t="shared" si="3"/>
        <v xml:space="preserve">Mario Omarini </v>
      </c>
    </row>
    <row r="223" spans="1:4" x14ac:dyDescent="0.25">
      <c r="A223" t="s">
        <v>1223</v>
      </c>
      <c r="B223">
        <v>2</v>
      </c>
      <c r="D223" t="str">
        <f t="shared" si="3"/>
        <v xml:space="preserve">Matteo Omacini </v>
      </c>
    </row>
    <row r="224" spans="1:4" x14ac:dyDescent="0.25">
      <c r="A224" t="s">
        <v>1223</v>
      </c>
      <c r="B224">
        <v>1</v>
      </c>
      <c r="D224" t="str">
        <f t="shared" si="3"/>
        <v xml:space="preserve">Matteo Omacini </v>
      </c>
    </row>
    <row r="225" spans="1:4" x14ac:dyDescent="0.25">
      <c r="A225" t="s">
        <v>943</v>
      </c>
      <c r="B225">
        <v>1</v>
      </c>
      <c r="D225" t="str">
        <f t="shared" si="3"/>
        <v xml:space="preserve">Miguel Fernández </v>
      </c>
    </row>
    <row r="226" spans="1:4" x14ac:dyDescent="0.25">
      <c r="A226" t="s">
        <v>1129</v>
      </c>
      <c r="B226">
        <v>4</v>
      </c>
      <c r="D226" t="str">
        <f t="shared" si="3"/>
        <v xml:space="preserve">Nikolay Gerasimenko </v>
      </c>
    </row>
    <row r="227" spans="1:4" x14ac:dyDescent="0.25">
      <c r="A227" t="s">
        <v>1164</v>
      </c>
      <c r="B227">
        <v>1</v>
      </c>
      <c r="D227" t="str">
        <f t="shared" si="3"/>
        <v xml:space="preserve">Pasqual Vilar </v>
      </c>
    </row>
    <row r="228" spans="1:4" x14ac:dyDescent="0.25">
      <c r="A228" t="s">
        <v>1189</v>
      </c>
      <c r="B228">
        <v>1</v>
      </c>
      <c r="D228" t="str">
        <f t="shared" si="3"/>
        <v xml:space="preserve">Pau Redondo </v>
      </c>
    </row>
    <row r="229" spans="1:4" x14ac:dyDescent="0.25">
      <c r="A229" t="s">
        <v>1094</v>
      </c>
      <c r="B229">
        <v>2</v>
      </c>
      <c r="D229" t="str">
        <f t="shared" si="3"/>
        <v xml:space="preserve">Pere Beltran </v>
      </c>
    </row>
    <row r="230" spans="1:4" x14ac:dyDescent="0.25">
      <c r="A230" t="s">
        <v>1022</v>
      </c>
      <c r="B230">
        <v>2</v>
      </c>
      <c r="D230" t="str">
        <f t="shared" si="3"/>
        <v xml:space="preserve">Raffaele Sitter </v>
      </c>
    </row>
    <row r="231" spans="1:4" x14ac:dyDescent="0.25">
      <c r="A231" t="s">
        <v>901</v>
      </c>
      <c r="B231">
        <v>1</v>
      </c>
      <c r="D231" t="str">
        <f t="shared" si="3"/>
        <v xml:space="preserve">Ryan Clarke </v>
      </c>
    </row>
    <row r="232" spans="1:4" x14ac:dyDescent="0.25">
      <c r="A232" t="s">
        <v>961</v>
      </c>
      <c r="B232">
        <v>1</v>
      </c>
      <c r="D232" t="str">
        <f t="shared" si="3"/>
        <v xml:space="preserve">Xofre Taín </v>
      </c>
    </row>
    <row r="233" spans="1:4" x14ac:dyDescent="0.25">
      <c r="A233" t="s">
        <v>1267</v>
      </c>
      <c r="B233">
        <v>2</v>
      </c>
      <c r="D233" t="str">
        <f t="shared" si="3"/>
        <v xml:space="preserve">Arkadiusz Dembek </v>
      </c>
    </row>
    <row r="234" spans="1:4" x14ac:dyDescent="0.25">
      <c r="A234" t="s">
        <v>1190</v>
      </c>
      <c r="B234">
        <v>1</v>
      </c>
      <c r="D234" t="str">
        <f t="shared" si="3"/>
        <v xml:space="preserve">Ellák Deák </v>
      </c>
    </row>
    <row r="235" spans="1:4" x14ac:dyDescent="0.25">
      <c r="A235" t="s">
        <v>1056</v>
      </c>
      <c r="B235">
        <v>1</v>
      </c>
      <c r="D235" t="str">
        <f t="shared" si="3"/>
        <v xml:space="preserve">Gianfranco Rezza </v>
      </c>
    </row>
    <row r="236" spans="1:4" x14ac:dyDescent="0.25">
      <c r="A236" t="s">
        <v>1068</v>
      </c>
      <c r="B236">
        <v>3</v>
      </c>
      <c r="D236" t="str">
        <f t="shared" si="3"/>
        <v xml:space="preserve">Lech Sipinski </v>
      </c>
    </row>
    <row r="237" spans="1:4" x14ac:dyDescent="0.25">
      <c r="A237" t="s">
        <v>998</v>
      </c>
      <c r="B237">
        <v>1</v>
      </c>
      <c r="D237" t="str">
        <f t="shared" si="3"/>
        <v xml:space="preserve">Mateusz Brzostowski </v>
      </c>
    </row>
    <row r="238" spans="1:4" x14ac:dyDescent="0.25">
      <c r="A238" t="s">
        <v>1247</v>
      </c>
      <c r="B238">
        <v>1</v>
      </c>
      <c r="D238" t="str">
        <f t="shared" si="3"/>
        <v xml:space="preserve">Melcior Calmet </v>
      </c>
    </row>
    <row r="239" spans="1:4" x14ac:dyDescent="0.25">
      <c r="A239" t="s">
        <v>930</v>
      </c>
      <c r="B239">
        <v>1</v>
      </c>
      <c r="D239" t="str">
        <f t="shared" si="3"/>
        <v xml:space="preserve">Miklós Gábriel </v>
      </c>
    </row>
    <row r="240" spans="1:4" x14ac:dyDescent="0.25">
      <c r="A240" t="s">
        <v>1205</v>
      </c>
      <c r="B240">
        <v>1</v>
      </c>
      <c r="D240" t="str">
        <f t="shared" si="3"/>
        <v xml:space="preserve">Pere Beltran </v>
      </c>
    </row>
    <row r="241" spans="1:4" x14ac:dyDescent="0.25">
      <c r="A241" t="s">
        <v>1046</v>
      </c>
      <c r="B241">
        <v>3</v>
      </c>
      <c r="D241" t="str">
        <f t="shared" si="3"/>
        <v xml:space="preserve">Raffaele Sitter </v>
      </c>
    </row>
    <row r="242" spans="1:4" x14ac:dyDescent="0.25">
      <c r="A242" t="s">
        <v>1112</v>
      </c>
      <c r="B242">
        <v>3</v>
      </c>
      <c r="D242" t="str">
        <f t="shared" si="3"/>
        <v xml:space="preserve">Ragip Övgü </v>
      </c>
    </row>
    <row r="243" spans="1:4" x14ac:dyDescent="0.25">
      <c r="A243" t="s">
        <v>1112</v>
      </c>
      <c r="B243">
        <v>2</v>
      </c>
      <c r="D243" t="str">
        <f t="shared" si="3"/>
        <v xml:space="preserve">Ragip Övgü </v>
      </c>
    </row>
    <row r="244" spans="1:4" x14ac:dyDescent="0.25">
      <c r="A244" t="s">
        <v>1130</v>
      </c>
      <c r="B244">
        <v>3</v>
      </c>
      <c r="D244" t="str">
        <f t="shared" si="3"/>
        <v xml:space="preserve">Ricardo Esquerdo </v>
      </c>
    </row>
    <row r="245" spans="1:4" x14ac:dyDescent="0.25">
      <c r="A245" t="s">
        <v>1023</v>
      </c>
      <c r="B245">
        <v>1</v>
      </c>
      <c r="D245" t="str">
        <f t="shared" si="3"/>
        <v xml:space="preserve">Sansão Trindade Oliveira </v>
      </c>
    </row>
    <row r="246" spans="1:4" x14ac:dyDescent="0.25">
      <c r="A246" t="s">
        <v>1023</v>
      </c>
      <c r="B246">
        <v>1</v>
      </c>
      <c r="D246" t="str">
        <f t="shared" si="3"/>
        <v xml:space="preserve">Sansão Trindade Oliveira </v>
      </c>
    </row>
    <row r="247" spans="1:4" x14ac:dyDescent="0.25">
      <c r="A247" t="s">
        <v>1224</v>
      </c>
      <c r="B247">
        <v>2</v>
      </c>
      <c r="D247" t="str">
        <f t="shared" si="3"/>
        <v xml:space="preserve">Sascha Gilch </v>
      </c>
    </row>
    <row r="248" spans="1:4" x14ac:dyDescent="0.25">
      <c r="A248" t="s">
        <v>1095</v>
      </c>
      <c r="B248">
        <v>2</v>
      </c>
      <c r="D248" t="str">
        <f t="shared" si="3"/>
        <v xml:space="preserve">Stefano Spanu </v>
      </c>
    </row>
    <row r="249" spans="1:4" x14ac:dyDescent="0.25">
      <c r="A249" t="s">
        <v>1165</v>
      </c>
      <c r="B249">
        <v>1</v>
      </c>
      <c r="D249" t="str">
        <f t="shared" si="3"/>
        <v xml:space="preserve">Vincent Gautsch </v>
      </c>
    </row>
    <row r="250" spans="1:4" x14ac:dyDescent="0.25">
      <c r="A250" t="s">
        <v>1166</v>
      </c>
      <c r="B250">
        <v>1</v>
      </c>
      <c r="D250" t="str">
        <f t="shared" si="3"/>
        <v xml:space="preserve">Andrea Chiu </v>
      </c>
    </row>
    <row r="251" spans="1:4" x14ac:dyDescent="0.25">
      <c r="A251" t="s">
        <v>1191</v>
      </c>
      <c r="B251">
        <v>1</v>
      </c>
      <c r="D251" t="str">
        <f t="shared" si="3"/>
        <v xml:space="preserve">Carlos Ipinza </v>
      </c>
    </row>
    <row r="252" spans="1:4" x14ac:dyDescent="0.25">
      <c r="A252" t="s">
        <v>1024</v>
      </c>
      <c r="B252">
        <v>1</v>
      </c>
      <c r="D252" t="str">
        <f t="shared" si="3"/>
        <v xml:space="preserve">Csaba Mezo </v>
      </c>
    </row>
    <row r="253" spans="1:4" x14ac:dyDescent="0.25">
      <c r="A253" t="s">
        <v>1268</v>
      </c>
      <c r="B253">
        <v>1</v>
      </c>
      <c r="D253" t="str">
        <f t="shared" si="3"/>
        <v xml:space="preserve">Dan Lindgren </v>
      </c>
    </row>
    <row r="254" spans="1:4" x14ac:dyDescent="0.25">
      <c r="A254" t="s">
        <v>931</v>
      </c>
      <c r="B254">
        <v>1</v>
      </c>
      <c r="D254" t="str">
        <f t="shared" si="3"/>
        <v xml:space="preserve">Fernando Gazón </v>
      </c>
    </row>
    <row r="255" spans="1:4" x14ac:dyDescent="0.25">
      <c r="A255" t="s">
        <v>1206</v>
      </c>
      <c r="B255">
        <v>1</v>
      </c>
      <c r="D255" t="str">
        <f t="shared" si="3"/>
        <v xml:space="preserve">Francesc Giró </v>
      </c>
    </row>
    <row r="256" spans="1:4" x14ac:dyDescent="0.25">
      <c r="A256" t="s">
        <v>1057</v>
      </c>
      <c r="B256">
        <v>1</v>
      </c>
      <c r="D256" t="str">
        <f t="shared" si="3"/>
        <v xml:space="preserve">Hjalte Egede </v>
      </c>
    </row>
    <row r="257" spans="1:4" x14ac:dyDescent="0.25">
      <c r="A257" t="s">
        <v>1096</v>
      </c>
      <c r="B257">
        <v>2</v>
      </c>
      <c r="D257" t="str">
        <f t="shared" si="3"/>
        <v xml:space="preserve">Jos Pittoors </v>
      </c>
    </row>
    <row r="258" spans="1:4" x14ac:dyDescent="0.25">
      <c r="A258" t="s">
        <v>892</v>
      </c>
      <c r="B258">
        <v>1</v>
      </c>
      <c r="D258" t="str">
        <f t="shared" si="3"/>
        <v xml:space="preserve">Miguel Fernández </v>
      </c>
    </row>
    <row r="259" spans="1:4" x14ac:dyDescent="0.25">
      <c r="A259" t="s">
        <v>1113</v>
      </c>
      <c r="B259">
        <v>2</v>
      </c>
      <c r="D259" t="str">
        <f t="shared" ref="D259:D322" si="4">MID(A259,SEARCH(" ",A259)+1,150)</f>
        <v xml:space="preserve">Pasqual Vilar </v>
      </c>
    </row>
    <row r="260" spans="1:4" x14ac:dyDescent="0.25">
      <c r="A260" t="s">
        <v>1113</v>
      </c>
      <c r="B260">
        <v>2</v>
      </c>
      <c r="D260" t="str">
        <f t="shared" si="4"/>
        <v xml:space="preserve">Pasqual Vilar </v>
      </c>
    </row>
    <row r="261" spans="1:4" x14ac:dyDescent="0.25">
      <c r="A261" t="s">
        <v>1131</v>
      </c>
      <c r="B261">
        <v>2</v>
      </c>
      <c r="D261" t="str">
        <f t="shared" si="4"/>
        <v xml:space="preserve">Pere Beltran </v>
      </c>
    </row>
    <row r="262" spans="1:4" x14ac:dyDescent="0.25">
      <c r="A262" t="s">
        <v>984</v>
      </c>
      <c r="B262">
        <v>1</v>
      </c>
      <c r="D262" t="str">
        <f t="shared" si="4"/>
        <v xml:space="preserve">Roberto Montero </v>
      </c>
    </row>
    <row r="263" spans="1:4" x14ac:dyDescent="0.25">
      <c r="A263" t="s">
        <v>1069</v>
      </c>
      <c r="B263">
        <v>3</v>
      </c>
      <c r="D263" t="str">
        <f t="shared" si="4"/>
        <v xml:space="preserve">Tristan Voet </v>
      </c>
    </row>
    <row r="264" spans="1:4" x14ac:dyDescent="0.25">
      <c r="A264" t="s">
        <v>1225</v>
      </c>
      <c r="B264">
        <v>2</v>
      </c>
      <c r="D264" t="str">
        <f t="shared" si="4"/>
        <v xml:space="preserve">Uday Adeeb </v>
      </c>
    </row>
    <row r="265" spans="1:4" x14ac:dyDescent="0.25">
      <c r="A265" t="s">
        <v>1248</v>
      </c>
      <c r="B265">
        <v>1</v>
      </c>
      <c r="D265" t="str">
        <f t="shared" si="4"/>
        <v xml:space="preserve">Zsolt Novák </v>
      </c>
    </row>
    <row r="266" spans="1:4" x14ac:dyDescent="0.25">
      <c r="A266" t="s">
        <v>1097</v>
      </c>
      <c r="B266">
        <v>1</v>
      </c>
      <c r="D266" t="str">
        <f t="shared" si="4"/>
        <v xml:space="preserve">Adamantios Fikias </v>
      </c>
    </row>
    <row r="267" spans="1:4" x14ac:dyDescent="0.25">
      <c r="A267" t="s">
        <v>1097</v>
      </c>
      <c r="B267">
        <v>1</v>
      </c>
      <c r="D267" t="str">
        <f t="shared" si="4"/>
        <v xml:space="preserve">Adamantios Fikias </v>
      </c>
    </row>
    <row r="268" spans="1:4" x14ac:dyDescent="0.25">
      <c r="A268" t="s">
        <v>1167</v>
      </c>
      <c r="B268">
        <v>1</v>
      </c>
      <c r="D268" t="str">
        <f t="shared" si="4"/>
        <v xml:space="preserve">Andrija Miškovic </v>
      </c>
    </row>
    <row r="269" spans="1:4" x14ac:dyDescent="0.25">
      <c r="A269" t="s">
        <v>1249</v>
      </c>
      <c r="B269">
        <v>1</v>
      </c>
      <c r="D269" t="str">
        <f t="shared" si="4"/>
        <v xml:space="preserve">Dan Veneau </v>
      </c>
    </row>
    <row r="270" spans="1:4" x14ac:dyDescent="0.25">
      <c r="A270" t="s">
        <v>1207</v>
      </c>
      <c r="B270">
        <v>1</v>
      </c>
      <c r="D270" t="str">
        <f t="shared" si="4"/>
        <v xml:space="preserve">Gastone Cianelli </v>
      </c>
    </row>
    <row r="271" spans="1:4" x14ac:dyDescent="0.25">
      <c r="A271" t="s">
        <v>1058</v>
      </c>
      <c r="B271">
        <v>1</v>
      </c>
      <c r="D271" t="str">
        <f t="shared" si="4"/>
        <v xml:space="preserve">Horacy Dzienis </v>
      </c>
    </row>
    <row r="272" spans="1:4" x14ac:dyDescent="0.25">
      <c r="A272" t="s">
        <v>1132</v>
      </c>
      <c r="B272">
        <v>2</v>
      </c>
      <c r="D272" t="str">
        <f t="shared" si="4"/>
        <v xml:space="preserve">Joãozinho do Mato </v>
      </c>
    </row>
    <row r="273" spans="1:4" x14ac:dyDescent="0.25">
      <c r="A273" t="s">
        <v>1147</v>
      </c>
      <c r="B273">
        <v>1</v>
      </c>
      <c r="D273" t="str">
        <f t="shared" si="4"/>
        <v xml:space="preserve">José Luis Valdés Saavedra </v>
      </c>
    </row>
    <row r="274" spans="1:4" x14ac:dyDescent="0.25">
      <c r="A274" t="s">
        <v>1269</v>
      </c>
      <c r="B274">
        <v>1</v>
      </c>
      <c r="D274" t="str">
        <f t="shared" si="4"/>
        <v xml:space="preserve">Ludovic Gygax </v>
      </c>
    </row>
    <row r="275" spans="1:4" x14ac:dyDescent="0.25">
      <c r="A275" t="s">
        <v>1114</v>
      </c>
      <c r="B275">
        <v>2</v>
      </c>
      <c r="D275" t="str">
        <f t="shared" si="4"/>
        <v xml:space="preserve">Ludwik Mojescik </v>
      </c>
    </row>
    <row r="276" spans="1:4" x14ac:dyDescent="0.25">
      <c r="A276" t="s">
        <v>1070</v>
      </c>
      <c r="B276">
        <v>2</v>
      </c>
      <c r="D276" t="str">
        <f t="shared" si="4"/>
        <v xml:space="preserve">Martijn Collinet </v>
      </c>
    </row>
    <row r="277" spans="1:4" x14ac:dyDescent="0.25">
      <c r="A277" t="s">
        <v>1226</v>
      </c>
      <c r="B277">
        <v>2</v>
      </c>
      <c r="D277" t="str">
        <f t="shared" si="4"/>
        <v xml:space="preserve">Ulf Schenkel </v>
      </c>
    </row>
    <row r="278" spans="1:4" x14ac:dyDescent="0.25">
      <c r="A278" t="s">
        <v>1192</v>
      </c>
      <c r="B278">
        <v>1</v>
      </c>
      <c r="D278" t="str">
        <f t="shared" si="4"/>
        <v xml:space="preserve">Andres Kalvet </v>
      </c>
    </row>
    <row r="279" spans="1:4" x14ac:dyDescent="0.25">
      <c r="A279" t="s">
        <v>1133</v>
      </c>
      <c r="B279">
        <v>1</v>
      </c>
      <c r="D279" t="str">
        <f t="shared" si="4"/>
        <v xml:space="preserve">Catalin Corobea </v>
      </c>
    </row>
    <row r="280" spans="1:4" x14ac:dyDescent="0.25">
      <c r="A280" t="s">
        <v>1098</v>
      </c>
      <c r="B280">
        <v>1</v>
      </c>
      <c r="D280" t="str">
        <f t="shared" si="4"/>
        <v xml:space="preserve">Dimitris Prokos </v>
      </c>
    </row>
    <row r="281" spans="1:4" x14ac:dyDescent="0.25">
      <c r="A281" t="s">
        <v>1250</v>
      </c>
      <c r="B281">
        <v>1</v>
      </c>
      <c r="D281" t="str">
        <f t="shared" si="4"/>
        <v xml:space="preserve">Ellák Deák </v>
      </c>
    </row>
    <row r="282" spans="1:4" x14ac:dyDescent="0.25">
      <c r="A282" t="s">
        <v>1071</v>
      </c>
      <c r="B282">
        <v>1</v>
      </c>
      <c r="D282" t="str">
        <f t="shared" si="4"/>
        <v xml:space="preserve">Fernando Juárez Sierra </v>
      </c>
    </row>
    <row r="283" spans="1:4" x14ac:dyDescent="0.25">
      <c r="A283" t="s">
        <v>1208</v>
      </c>
      <c r="B283">
        <v>1</v>
      </c>
      <c r="D283" t="str">
        <f t="shared" si="4"/>
        <v xml:space="preserve">Iacob Sarpe </v>
      </c>
    </row>
    <row r="284" spans="1:4" x14ac:dyDescent="0.25">
      <c r="A284" t="s">
        <v>1270</v>
      </c>
      <c r="B284">
        <v>1</v>
      </c>
      <c r="D284" t="str">
        <f t="shared" si="4"/>
        <v xml:space="preserve">Krzysztof Buras </v>
      </c>
    </row>
    <row r="285" spans="1:4" x14ac:dyDescent="0.25">
      <c r="A285" t="s">
        <v>1148</v>
      </c>
      <c r="B285">
        <v>1</v>
      </c>
      <c r="D285" t="str">
        <f t="shared" si="4"/>
        <v xml:space="preserve">Morgan Gomes </v>
      </c>
    </row>
    <row r="286" spans="1:4" x14ac:dyDescent="0.25">
      <c r="A286" t="s">
        <v>1115</v>
      </c>
      <c r="B286">
        <v>2</v>
      </c>
      <c r="D286" t="str">
        <f t="shared" si="4"/>
        <v xml:space="preserve">Nicolai Stentoft </v>
      </c>
    </row>
    <row r="287" spans="1:4" x14ac:dyDescent="0.25">
      <c r="A287" t="s">
        <v>1227</v>
      </c>
      <c r="B287">
        <v>1</v>
      </c>
      <c r="D287" t="str">
        <f t="shared" si="4"/>
        <v xml:space="preserve">Zsolt Novák </v>
      </c>
    </row>
    <row r="288" spans="1:4" x14ac:dyDescent="0.25">
      <c r="A288" t="s">
        <v>1209</v>
      </c>
      <c r="B288">
        <v>1</v>
      </c>
      <c r="D288" t="str">
        <f t="shared" si="4"/>
        <v xml:space="preserve">Carlos Ipinza </v>
      </c>
    </row>
    <row r="289" spans="1:4" x14ac:dyDescent="0.25">
      <c r="A289" t="s">
        <v>1099</v>
      </c>
      <c r="B289">
        <v>1</v>
      </c>
      <c r="D289" t="str">
        <f t="shared" si="4"/>
        <v xml:space="preserve">Dolf Fohringer </v>
      </c>
    </row>
    <row r="290" spans="1:4" x14ac:dyDescent="0.25">
      <c r="A290" t="s">
        <v>1251</v>
      </c>
      <c r="B290">
        <v>1</v>
      </c>
      <c r="D290" t="str">
        <f t="shared" si="4"/>
        <v xml:space="preserve">Finlay MacGrory </v>
      </c>
    </row>
    <row r="291" spans="1:4" x14ac:dyDescent="0.25">
      <c r="A291" t="s">
        <v>1271</v>
      </c>
      <c r="B291">
        <v>1</v>
      </c>
      <c r="D291" t="str">
        <f t="shared" si="4"/>
        <v xml:space="preserve">Marcin Lulewicz </v>
      </c>
    </row>
    <row r="292" spans="1:4" x14ac:dyDescent="0.25">
      <c r="A292" t="s">
        <v>1149</v>
      </c>
      <c r="B292">
        <v>1</v>
      </c>
      <c r="D292" t="str">
        <f t="shared" si="4"/>
        <v xml:space="preserve">Nicolau Caraduxe </v>
      </c>
    </row>
    <row r="293" spans="1:4" x14ac:dyDescent="0.25">
      <c r="A293" t="s">
        <v>1228</v>
      </c>
      <c r="B293">
        <v>1</v>
      </c>
      <c r="D293" t="str">
        <f t="shared" si="4"/>
        <v xml:space="preserve">Pau Redondo </v>
      </c>
    </row>
    <row r="294" spans="1:4" x14ac:dyDescent="0.25">
      <c r="A294" t="s">
        <v>1116</v>
      </c>
      <c r="B294">
        <v>1</v>
      </c>
      <c r="D294" t="str">
        <f t="shared" si="4"/>
        <v xml:space="preserve">Stefano Spanu </v>
      </c>
    </row>
    <row r="295" spans="1:4" x14ac:dyDescent="0.25">
      <c r="A295" t="s">
        <v>1210</v>
      </c>
      <c r="B295">
        <v>1</v>
      </c>
      <c r="D295" t="str">
        <f t="shared" si="4"/>
        <v xml:space="preserve">Christophe Méjean </v>
      </c>
    </row>
    <row r="296" spans="1:4" x14ac:dyDescent="0.25">
      <c r="A296" t="s">
        <v>1150</v>
      </c>
      <c r="B296">
        <v>1</v>
      </c>
      <c r="D296" t="str">
        <f t="shared" si="4"/>
        <v xml:space="preserve">Fere Pulido </v>
      </c>
    </row>
    <row r="297" spans="1:4" x14ac:dyDescent="0.25">
      <c r="A297" t="s">
        <v>1252</v>
      </c>
      <c r="B297">
        <v>1</v>
      </c>
      <c r="D297" t="str">
        <f t="shared" si="4"/>
        <v xml:space="preserve">Gawel Nanowski </v>
      </c>
    </row>
    <row r="298" spans="1:4" x14ac:dyDescent="0.25">
      <c r="A298" t="s">
        <v>1229</v>
      </c>
      <c r="B298">
        <v>1</v>
      </c>
      <c r="D298" t="str">
        <f t="shared" si="4"/>
        <v xml:space="preserve">Jacobo Ferrueros </v>
      </c>
    </row>
    <row r="299" spans="1:4" x14ac:dyDescent="0.25">
      <c r="A299" t="s">
        <v>999</v>
      </c>
      <c r="B299">
        <v>9</v>
      </c>
      <c r="D299" t="str">
        <f t="shared" si="4"/>
        <v xml:space="preserve">Adam Moss </v>
      </c>
    </row>
    <row r="300" spans="1:4" x14ac:dyDescent="0.25">
      <c r="A300" t="s">
        <v>1135</v>
      </c>
      <c r="B300">
        <v>8</v>
      </c>
      <c r="D300" t="str">
        <f t="shared" si="4"/>
        <v xml:space="preserve">Adamantios Fikias </v>
      </c>
    </row>
    <row r="301" spans="1:4" x14ac:dyDescent="0.25">
      <c r="A301" t="s">
        <v>1213</v>
      </c>
      <c r="B301">
        <v>6</v>
      </c>
      <c r="D301" t="str">
        <f t="shared" si="4"/>
        <v xml:space="preserve">Alex Txantre </v>
      </c>
    </row>
    <row r="302" spans="1:4" x14ac:dyDescent="0.25">
      <c r="A302" t="s">
        <v>1083</v>
      </c>
      <c r="B302">
        <v>10</v>
      </c>
      <c r="D302" t="str">
        <f t="shared" si="4"/>
        <v xml:space="preserve">Andrin Bärtsch </v>
      </c>
    </row>
    <row r="303" spans="1:4" x14ac:dyDescent="0.25">
      <c r="A303" t="s">
        <v>1169</v>
      </c>
      <c r="B303">
        <v>5</v>
      </c>
      <c r="D303" t="str">
        <f t="shared" si="4"/>
        <v xml:space="preserve">Brunon Chuda </v>
      </c>
    </row>
    <row r="304" spans="1:4" x14ac:dyDescent="0.25">
      <c r="A304" t="s">
        <v>1193</v>
      </c>
      <c r="B304">
        <v>7</v>
      </c>
      <c r="D304" t="str">
        <f t="shared" si="4"/>
        <v xml:space="preserve">Co Wolbers </v>
      </c>
    </row>
    <row r="305" spans="1:4" x14ac:dyDescent="0.25">
      <c r="A305" t="s">
        <v>1101</v>
      </c>
      <c r="B305">
        <v>10</v>
      </c>
      <c r="D305" t="str">
        <f t="shared" si="4"/>
        <v xml:space="preserve">Cornel Boicea </v>
      </c>
    </row>
    <row r="306" spans="1:4" x14ac:dyDescent="0.25">
      <c r="A306" t="s">
        <v>923</v>
      </c>
      <c r="B306">
        <v>15</v>
      </c>
      <c r="D306" t="str">
        <f t="shared" si="4"/>
        <v xml:space="preserve">David Garcia-Spiess </v>
      </c>
    </row>
    <row r="307" spans="1:4" x14ac:dyDescent="0.25">
      <c r="A307" t="s">
        <v>986</v>
      </c>
      <c r="B307">
        <v>7</v>
      </c>
      <c r="D307" t="str">
        <f t="shared" si="4"/>
        <v xml:space="preserve">Gianfranco Rezza </v>
      </c>
    </row>
    <row r="308" spans="1:4" x14ac:dyDescent="0.25">
      <c r="A308" t="s">
        <v>1073</v>
      </c>
      <c r="B308">
        <v>2</v>
      </c>
      <c r="D308" t="str">
        <f t="shared" si="4"/>
        <v xml:space="preserve">Joãozinho do Mato </v>
      </c>
    </row>
    <row r="309" spans="1:4" x14ac:dyDescent="0.25">
      <c r="A309" t="s">
        <v>1154</v>
      </c>
      <c r="B309">
        <v>6</v>
      </c>
      <c r="D309" t="str">
        <f t="shared" si="4"/>
        <v xml:space="preserve">John Chung </v>
      </c>
    </row>
    <row r="310" spans="1:4" x14ac:dyDescent="0.25">
      <c r="A310" t="s">
        <v>1038</v>
      </c>
      <c r="B310">
        <v>16</v>
      </c>
      <c r="D310" t="str">
        <f t="shared" si="4"/>
        <v xml:space="preserve">Kendor Nagiturri </v>
      </c>
    </row>
    <row r="311" spans="1:4" x14ac:dyDescent="0.25">
      <c r="A311" t="s">
        <v>1038</v>
      </c>
      <c r="B311">
        <v>8</v>
      </c>
      <c r="D311" t="str">
        <f t="shared" si="4"/>
        <v xml:space="preserve">Kendor Nagiturri </v>
      </c>
    </row>
    <row r="312" spans="1:4" x14ac:dyDescent="0.25">
      <c r="A312" t="s">
        <v>913</v>
      </c>
      <c r="B312">
        <v>7</v>
      </c>
      <c r="D312" t="str">
        <f t="shared" si="4"/>
        <v xml:space="preserve">Leo Hilpinen </v>
      </c>
    </row>
    <row r="313" spans="1:4" x14ac:dyDescent="0.25">
      <c r="A313" t="s">
        <v>1255</v>
      </c>
      <c r="B313">
        <v>7</v>
      </c>
      <c r="D313" t="str">
        <f t="shared" si="4"/>
        <v xml:space="preserve">Manolo Negrín </v>
      </c>
    </row>
    <row r="314" spans="1:4" x14ac:dyDescent="0.25">
      <c r="A314" t="s">
        <v>1286</v>
      </c>
      <c r="B314">
        <v>4</v>
      </c>
      <c r="D314" t="str">
        <f t="shared" si="4"/>
        <v xml:space="preserve">Mattia Sambri </v>
      </c>
    </row>
    <row r="315" spans="1:4" x14ac:dyDescent="0.25">
      <c r="A315" t="s">
        <v>1273</v>
      </c>
      <c r="B315">
        <v>6</v>
      </c>
      <c r="D315" t="str">
        <f t="shared" si="4"/>
        <v xml:space="preserve">Melcior Calmet </v>
      </c>
    </row>
    <row r="316" spans="1:4" x14ac:dyDescent="0.25">
      <c r="A316" t="s">
        <v>1118</v>
      </c>
      <c r="B316">
        <v>9</v>
      </c>
      <c r="D316" t="str">
        <f t="shared" si="4"/>
        <v xml:space="preserve">Nicolau Caraduxe </v>
      </c>
    </row>
    <row r="317" spans="1:4" x14ac:dyDescent="0.25">
      <c r="A317" t="s">
        <v>1180</v>
      </c>
      <c r="B317">
        <v>5</v>
      </c>
      <c r="D317" t="str">
        <f t="shared" si="4"/>
        <v xml:space="preserve">Pere Beltran </v>
      </c>
    </row>
    <row r="318" spans="1:4" x14ac:dyDescent="0.25">
      <c r="A318" t="s">
        <v>1180</v>
      </c>
      <c r="B318">
        <v>4</v>
      </c>
      <c r="D318" t="str">
        <f t="shared" si="4"/>
        <v xml:space="preserve">Pere Beltran </v>
      </c>
    </row>
    <row r="319" spans="1:4" x14ac:dyDescent="0.25">
      <c r="A319" t="s">
        <v>1025</v>
      </c>
      <c r="B319">
        <v>13</v>
      </c>
      <c r="D319" t="str">
        <f t="shared" si="4"/>
        <v xml:space="preserve">Rasheed Da'na </v>
      </c>
    </row>
    <row r="320" spans="1:4" x14ac:dyDescent="0.25">
      <c r="A320" t="s">
        <v>863</v>
      </c>
      <c r="B320">
        <v>7</v>
      </c>
      <c r="D320" t="str">
        <f t="shared" si="4"/>
        <v xml:space="preserve">Renato Galeano </v>
      </c>
    </row>
    <row r="321" spans="1:4" x14ac:dyDescent="0.25">
      <c r="A321" t="s">
        <v>971</v>
      </c>
      <c r="B321">
        <v>5</v>
      </c>
      <c r="D321" t="str">
        <f t="shared" si="4"/>
        <v xml:space="preserve">Roberto Abenoza </v>
      </c>
    </row>
    <row r="322" spans="1:4" x14ac:dyDescent="0.25">
      <c r="A322" t="s">
        <v>1012</v>
      </c>
      <c r="B322">
        <v>14</v>
      </c>
      <c r="D322" t="str">
        <f t="shared" si="4"/>
        <v xml:space="preserve">Saúl Piña </v>
      </c>
    </row>
    <row r="323" spans="1:4" x14ac:dyDescent="0.25">
      <c r="A323" t="s">
        <v>1012</v>
      </c>
      <c r="B323">
        <v>10</v>
      </c>
      <c r="D323" t="str">
        <f t="shared" ref="D323:D386" si="5">MID(A323,SEARCH(" ",A323)+1,150)</f>
        <v xml:space="preserve">Saúl Piña </v>
      </c>
    </row>
    <row r="324" spans="1:4" x14ac:dyDescent="0.25">
      <c r="A324" t="s">
        <v>893</v>
      </c>
      <c r="B324">
        <v>12</v>
      </c>
      <c r="D324" t="str">
        <f t="shared" si="5"/>
        <v xml:space="preserve">Tommaso Niscola </v>
      </c>
    </row>
    <row r="325" spans="1:4" x14ac:dyDescent="0.25">
      <c r="A325" t="s">
        <v>1211</v>
      </c>
      <c r="B325">
        <v>1</v>
      </c>
      <c r="D325" t="str">
        <f t="shared" si="5"/>
        <v xml:space="preserve">David Erbiti </v>
      </c>
    </row>
    <row r="326" spans="1:4" x14ac:dyDescent="0.25">
      <c r="A326" t="s">
        <v>1151</v>
      </c>
      <c r="B326">
        <v>1</v>
      </c>
      <c r="D326" t="str">
        <f t="shared" si="5"/>
        <v xml:space="preserve">David Knuff </v>
      </c>
    </row>
    <row r="327" spans="1:4" x14ac:dyDescent="0.25">
      <c r="A327" t="s">
        <v>1253</v>
      </c>
      <c r="B327">
        <v>1</v>
      </c>
      <c r="D327" t="str">
        <f t="shared" si="5"/>
        <v xml:space="preserve">Harald Georg Berchthold </v>
      </c>
    </row>
    <row r="328" spans="1:4" x14ac:dyDescent="0.25">
      <c r="A328" t="s">
        <v>1230</v>
      </c>
      <c r="B328">
        <v>1</v>
      </c>
      <c r="D328" t="str">
        <f t="shared" si="5"/>
        <v xml:space="preserve">Jan Jessen </v>
      </c>
    </row>
    <row r="329" spans="1:4" x14ac:dyDescent="0.25">
      <c r="A329" t="s">
        <v>1152</v>
      </c>
      <c r="B329">
        <v>1</v>
      </c>
      <c r="D329" t="str">
        <f t="shared" si="5"/>
        <v xml:space="preserve">Enis Kalan </v>
      </c>
    </row>
    <row r="330" spans="1:4" x14ac:dyDescent="0.25">
      <c r="A330" t="s">
        <v>1231</v>
      </c>
      <c r="B330">
        <v>1</v>
      </c>
      <c r="D330" t="str">
        <f t="shared" si="5"/>
        <v xml:space="preserve">José Manuel Carneiro </v>
      </c>
    </row>
    <row r="331" spans="1:4" x14ac:dyDescent="0.25">
      <c r="A331" t="s">
        <v>1232</v>
      </c>
      <c r="B331">
        <v>1</v>
      </c>
      <c r="D331" t="str">
        <f t="shared" si="5"/>
        <v xml:space="preserve">Ludvig Andreasson </v>
      </c>
    </row>
    <row r="332" spans="1:4" x14ac:dyDescent="0.25">
      <c r="A332" t="s">
        <v>1233</v>
      </c>
      <c r="B332">
        <v>1</v>
      </c>
      <c r="D332" t="str">
        <f t="shared" si="5"/>
        <v xml:space="preserve">Luigi Tripodo </v>
      </c>
    </row>
    <row r="333" spans="1:4" x14ac:dyDescent="0.25">
      <c r="A333" t="s">
        <v>1234</v>
      </c>
      <c r="B333">
        <v>1</v>
      </c>
      <c r="D333" t="str">
        <f t="shared" si="5"/>
        <v xml:space="preserve">Christophe Méjean </v>
      </c>
    </row>
    <row r="334" spans="1:4" x14ac:dyDescent="0.25">
      <c r="A334" t="s">
        <v>1235</v>
      </c>
      <c r="B334">
        <v>1</v>
      </c>
      <c r="D334" t="str">
        <f t="shared" si="5"/>
        <v xml:space="preserve">Aamos Vara </v>
      </c>
    </row>
    <row r="335" spans="1:4" x14ac:dyDescent="0.25">
      <c r="A335" t="s">
        <v>1039</v>
      </c>
      <c r="B335">
        <v>14</v>
      </c>
      <c r="D335" t="str">
        <f t="shared" si="5"/>
        <v xml:space="preserve">Adam Moss </v>
      </c>
    </row>
    <row r="336" spans="1:4" x14ac:dyDescent="0.25">
      <c r="A336" t="s">
        <v>1194</v>
      </c>
      <c r="B336">
        <v>5</v>
      </c>
      <c r="D336" t="str">
        <f t="shared" si="5"/>
        <v xml:space="preserve">Adamantios Fikias </v>
      </c>
    </row>
    <row r="337" spans="1:4" x14ac:dyDescent="0.25">
      <c r="A337" t="s">
        <v>1047</v>
      </c>
      <c r="B337">
        <v>10</v>
      </c>
      <c r="D337" t="str">
        <f t="shared" si="5"/>
        <v xml:space="preserve">Andrin Bärtsch </v>
      </c>
    </row>
    <row r="338" spans="1:4" x14ac:dyDescent="0.25">
      <c r="A338" t="s">
        <v>1047</v>
      </c>
      <c r="B338">
        <v>7</v>
      </c>
      <c r="D338" t="str">
        <f t="shared" si="5"/>
        <v xml:space="preserve">Andrin Bärtsch </v>
      </c>
    </row>
    <row r="339" spans="1:4" x14ac:dyDescent="0.25">
      <c r="A339" t="s">
        <v>1119</v>
      </c>
      <c r="B339">
        <v>8</v>
      </c>
      <c r="D339" t="str">
        <f t="shared" si="5"/>
        <v xml:space="preserve">Brunon Chuda </v>
      </c>
    </row>
    <row r="340" spans="1:4" x14ac:dyDescent="0.25">
      <c r="A340" t="s">
        <v>1119</v>
      </c>
      <c r="B340">
        <v>5</v>
      </c>
      <c r="D340" t="str">
        <f t="shared" si="5"/>
        <v xml:space="preserve">Brunon Chuda </v>
      </c>
    </row>
    <row r="341" spans="1:4" x14ac:dyDescent="0.25">
      <c r="A341" t="s">
        <v>1214</v>
      </c>
      <c r="B341">
        <v>6</v>
      </c>
      <c r="D341" t="str">
        <f t="shared" si="5"/>
        <v xml:space="preserve">Co Wolbers </v>
      </c>
    </row>
    <row r="342" spans="1:4" x14ac:dyDescent="0.25">
      <c r="A342" t="s">
        <v>1084</v>
      </c>
      <c r="B342">
        <v>9</v>
      </c>
      <c r="D342" t="str">
        <f t="shared" si="5"/>
        <v xml:space="preserve">Cornel Boicea </v>
      </c>
    </row>
    <row r="343" spans="1:4" x14ac:dyDescent="0.25">
      <c r="A343" t="s">
        <v>1274</v>
      </c>
      <c r="B343">
        <v>3</v>
      </c>
      <c r="D343" t="str">
        <f t="shared" si="5"/>
        <v xml:space="preserve">Damiano Clementi </v>
      </c>
    </row>
    <row r="344" spans="1:4" x14ac:dyDescent="0.25">
      <c r="A344" t="s">
        <v>1026</v>
      </c>
      <c r="B344">
        <v>11</v>
      </c>
      <c r="D344" t="str">
        <f t="shared" si="5"/>
        <v xml:space="preserve">Gianfranco Rezza </v>
      </c>
    </row>
    <row r="345" spans="1:4" x14ac:dyDescent="0.25">
      <c r="A345" t="s">
        <v>1256</v>
      </c>
      <c r="B345">
        <v>4</v>
      </c>
      <c r="D345" t="str">
        <f t="shared" si="5"/>
        <v xml:space="preserve">Harald Georg Berchthold </v>
      </c>
    </row>
    <row r="346" spans="1:4" x14ac:dyDescent="0.25">
      <c r="A346" t="s">
        <v>1136</v>
      </c>
      <c r="B346">
        <v>8</v>
      </c>
      <c r="D346" t="str">
        <f t="shared" si="5"/>
        <v xml:space="preserve">John Chung </v>
      </c>
    </row>
    <row r="347" spans="1:4" x14ac:dyDescent="0.25">
      <c r="A347" t="s">
        <v>1102</v>
      </c>
      <c r="B347">
        <v>8</v>
      </c>
      <c r="D347" t="str">
        <f t="shared" si="5"/>
        <v xml:space="preserve">Jos Pittoors </v>
      </c>
    </row>
    <row r="348" spans="1:4" x14ac:dyDescent="0.25">
      <c r="A348" t="s">
        <v>1074</v>
      </c>
      <c r="B348">
        <v>2</v>
      </c>
      <c r="D348" t="str">
        <f t="shared" si="5"/>
        <v xml:space="preserve">Leonardo Baltico </v>
      </c>
    </row>
    <row r="349" spans="1:4" x14ac:dyDescent="0.25">
      <c r="A349" t="s">
        <v>1000</v>
      </c>
      <c r="B349">
        <v>7</v>
      </c>
      <c r="D349" t="str">
        <f t="shared" si="5"/>
        <v xml:space="preserve">Mario Omarini </v>
      </c>
    </row>
    <row r="350" spans="1:4" x14ac:dyDescent="0.25">
      <c r="A350" t="s">
        <v>936</v>
      </c>
      <c r="B350">
        <v>6</v>
      </c>
      <c r="D350" t="str">
        <f t="shared" si="5"/>
        <v xml:space="preserve">Miklós Gábriel </v>
      </c>
    </row>
    <row r="351" spans="1:4" x14ac:dyDescent="0.25">
      <c r="A351" t="s">
        <v>936</v>
      </c>
      <c r="B351">
        <v>5</v>
      </c>
      <c r="D351" t="str">
        <f t="shared" si="5"/>
        <v xml:space="preserve">Miklós Gábriel </v>
      </c>
    </row>
    <row r="352" spans="1:4" x14ac:dyDescent="0.25">
      <c r="A352" t="s">
        <v>1155</v>
      </c>
      <c r="B352">
        <v>5</v>
      </c>
      <c r="D352" t="str">
        <f t="shared" si="5"/>
        <v xml:space="preserve">Nikolay Gerasimenko </v>
      </c>
    </row>
    <row r="353" spans="1:4" x14ac:dyDescent="0.25">
      <c r="A353" t="s">
        <v>1155</v>
      </c>
      <c r="B353">
        <v>3</v>
      </c>
      <c r="D353" t="str">
        <f t="shared" si="5"/>
        <v xml:space="preserve">Nikolay Gerasimenko </v>
      </c>
    </row>
    <row r="354" spans="1:4" x14ac:dyDescent="0.25">
      <c r="A354" t="s">
        <v>1287</v>
      </c>
      <c r="B354">
        <v>4</v>
      </c>
      <c r="D354" t="str">
        <f t="shared" si="5"/>
        <v xml:space="preserve">Pablo Gil Fano </v>
      </c>
    </row>
    <row r="355" spans="1:4" x14ac:dyDescent="0.25">
      <c r="A355" t="s">
        <v>987</v>
      </c>
      <c r="B355">
        <v>6</v>
      </c>
      <c r="D355" t="str">
        <f t="shared" si="5"/>
        <v xml:space="preserve">Rasheed Da'na </v>
      </c>
    </row>
    <row r="356" spans="1:4" x14ac:dyDescent="0.25">
      <c r="A356" t="s">
        <v>987</v>
      </c>
      <c r="B356">
        <v>13</v>
      </c>
      <c r="D356" t="str">
        <f t="shared" si="5"/>
        <v xml:space="preserve">Rasheed Da'na </v>
      </c>
    </row>
    <row r="357" spans="1:4" x14ac:dyDescent="0.25">
      <c r="A357" t="s">
        <v>972</v>
      </c>
      <c r="B357">
        <v>2</v>
      </c>
      <c r="D357" t="str">
        <f t="shared" si="5"/>
        <v xml:space="preserve">Raúl Riquelme </v>
      </c>
    </row>
    <row r="358" spans="1:4" x14ac:dyDescent="0.25">
      <c r="A358" t="s">
        <v>952</v>
      </c>
      <c r="B358">
        <v>3</v>
      </c>
      <c r="D358" t="str">
        <f t="shared" si="5"/>
        <v xml:space="preserve">Roberto Abenoza </v>
      </c>
    </row>
    <row r="359" spans="1:4" x14ac:dyDescent="0.25">
      <c r="A359" t="s">
        <v>1237</v>
      </c>
      <c r="B359">
        <v>4</v>
      </c>
      <c r="D359" t="str">
        <f t="shared" si="5"/>
        <v xml:space="preserve">Sejo Sáenz Marín </v>
      </c>
    </row>
    <row r="360" spans="1:4" x14ac:dyDescent="0.25">
      <c r="A360" t="s">
        <v>914</v>
      </c>
      <c r="B360">
        <v>7</v>
      </c>
      <c r="D360" t="str">
        <f t="shared" si="5"/>
        <v xml:space="preserve">Tommaso Niscola </v>
      </c>
    </row>
    <row r="361" spans="1:4" x14ac:dyDescent="0.25">
      <c r="A361" t="s">
        <v>1085</v>
      </c>
      <c r="B361">
        <v>9</v>
      </c>
      <c r="D361" t="str">
        <f t="shared" si="5"/>
        <v xml:space="preserve">Aimar Lasalde </v>
      </c>
    </row>
    <row r="362" spans="1:4" x14ac:dyDescent="0.25">
      <c r="A362" t="s">
        <v>1195</v>
      </c>
      <c r="B362">
        <v>5</v>
      </c>
      <c r="D362" t="str">
        <f t="shared" si="5"/>
        <v xml:space="preserve">Ellák Deák </v>
      </c>
    </row>
    <row r="363" spans="1:4" x14ac:dyDescent="0.25">
      <c r="A363" t="s">
        <v>1195</v>
      </c>
      <c r="B363">
        <v>6</v>
      </c>
      <c r="D363" t="str">
        <f t="shared" si="5"/>
        <v xml:space="preserve">Ellák Deák </v>
      </c>
    </row>
    <row r="364" spans="1:4" x14ac:dyDescent="0.25">
      <c r="A364" t="s">
        <v>1001</v>
      </c>
      <c r="B364">
        <v>6</v>
      </c>
      <c r="D364" t="str">
        <f t="shared" si="5"/>
        <v xml:space="preserve">Gianfranco Rezza </v>
      </c>
    </row>
    <row r="365" spans="1:4" x14ac:dyDescent="0.25">
      <c r="A365" t="s">
        <v>1001</v>
      </c>
      <c r="B365">
        <v>12</v>
      </c>
      <c r="D365" t="str">
        <f t="shared" si="5"/>
        <v xml:space="preserve">Gianfranco Rezza </v>
      </c>
    </row>
    <row r="366" spans="1:4" x14ac:dyDescent="0.25">
      <c r="A366" t="s">
        <v>1059</v>
      </c>
      <c r="B366">
        <v>7</v>
      </c>
      <c r="D366" t="str">
        <f t="shared" si="5"/>
        <v xml:space="preserve">Gongotzon Ialdebere </v>
      </c>
    </row>
    <row r="367" spans="1:4" x14ac:dyDescent="0.25">
      <c r="A367" t="s">
        <v>1288</v>
      </c>
      <c r="B367">
        <v>4</v>
      </c>
      <c r="D367" t="str">
        <f t="shared" si="5"/>
        <v xml:space="preserve">Hansjürg Devier </v>
      </c>
    </row>
    <row r="368" spans="1:4" x14ac:dyDescent="0.25">
      <c r="A368" t="s">
        <v>988</v>
      </c>
      <c r="B368">
        <v>6</v>
      </c>
      <c r="D368" t="str">
        <f t="shared" si="5"/>
        <v xml:space="preserve">Iyad Chaabo </v>
      </c>
    </row>
    <row r="369" spans="1:4" x14ac:dyDescent="0.25">
      <c r="A369" t="s">
        <v>1257</v>
      </c>
      <c r="B369">
        <v>4</v>
      </c>
      <c r="D369" t="str">
        <f t="shared" si="5"/>
        <v xml:space="preserve">Jörg Londorf </v>
      </c>
    </row>
    <row r="370" spans="1:4" x14ac:dyDescent="0.25">
      <c r="A370" t="s">
        <v>1027</v>
      </c>
      <c r="B370">
        <v>11</v>
      </c>
      <c r="D370" t="str">
        <f t="shared" si="5"/>
        <v xml:space="preserve">Leonardo Baltico </v>
      </c>
    </row>
    <row r="371" spans="1:4" x14ac:dyDescent="0.25">
      <c r="A371" t="s">
        <v>1120</v>
      </c>
      <c r="B371">
        <v>7</v>
      </c>
      <c r="D371" t="str">
        <f t="shared" si="5"/>
        <v xml:space="preserve">Ludwik Mojescik </v>
      </c>
    </row>
    <row r="372" spans="1:4" x14ac:dyDescent="0.25">
      <c r="A372" t="s">
        <v>1103</v>
      </c>
      <c r="B372">
        <v>7</v>
      </c>
      <c r="D372" t="str">
        <f t="shared" si="5"/>
        <v xml:space="preserve">Nikolas Lakkotripi </v>
      </c>
    </row>
    <row r="373" spans="1:4" x14ac:dyDescent="0.25">
      <c r="A373" t="s">
        <v>1137</v>
      </c>
      <c r="B373">
        <v>8</v>
      </c>
      <c r="D373" t="str">
        <f t="shared" si="5"/>
        <v xml:space="preserve">Nikolay Gerasimenko </v>
      </c>
    </row>
    <row r="374" spans="1:4" x14ac:dyDescent="0.25">
      <c r="A374" t="s">
        <v>1013</v>
      </c>
      <c r="B374">
        <v>6</v>
      </c>
      <c r="D374" t="str">
        <f t="shared" si="5"/>
        <v xml:space="preserve">Pepijn Zwaan </v>
      </c>
    </row>
    <row r="375" spans="1:4" x14ac:dyDescent="0.25">
      <c r="A375" t="s">
        <v>1075</v>
      </c>
      <c r="B375">
        <v>2</v>
      </c>
      <c r="D375" t="str">
        <f t="shared" si="5"/>
        <v xml:space="preserve">Pere Beltran </v>
      </c>
    </row>
    <row r="376" spans="1:4" x14ac:dyDescent="0.25">
      <c r="A376" t="s">
        <v>1275</v>
      </c>
      <c r="B376">
        <v>3</v>
      </c>
      <c r="D376" t="str">
        <f t="shared" si="5"/>
        <v xml:space="preserve">Petru Pena </v>
      </c>
    </row>
    <row r="377" spans="1:4" x14ac:dyDescent="0.25">
      <c r="A377" t="s">
        <v>1156</v>
      </c>
      <c r="B377">
        <v>5</v>
      </c>
      <c r="D377" t="str">
        <f t="shared" si="5"/>
        <v xml:space="preserve">Ragip Övgü </v>
      </c>
    </row>
    <row r="378" spans="1:4" x14ac:dyDescent="0.25">
      <c r="A378" t="s">
        <v>1048</v>
      </c>
      <c r="B378">
        <v>9</v>
      </c>
      <c r="D378" t="str">
        <f t="shared" si="5"/>
        <v xml:space="preserve">Rasheed Da'na </v>
      </c>
    </row>
    <row r="379" spans="1:4" x14ac:dyDescent="0.25">
      <c r="A379" t="s">
        <v>1170</v>
      </c>
      <c r="B379">
        <v>3</v>
      </c>
      <c r="D379" t="str">
        <f t="shared" si="5"/>
        <v xml:space="preserve">Relf Härteis </v>
      </c>
    </row>
    <row r="380" spans="1:4" x14ac:dyDescent="0.25">
      <c r="A380" t="s">
        <v>1170</v>
      </c>
      <c r="B380">
        <v>4</v>
      </c>
      <c r="D380" t="str">
        <f t="shared" si="5"/>
        <v xml:space="preserve">Relf Härteis </v>
      </c>
    </row>
    <row r="381" spans="1:4" x14ac:dyDescent="0.25">
      <c r="A381" t="s">
        <v>895</v>
      </c>
      <c r="B381">
        <v>8</v>
      </c>
      <c r="D381" t="str">
        <f t="shared" si="5"/>
        <v xml:space="preserve">Renato Galeano </v>
      </c>
    </row>
    <row r="382" spans="1:4" x14ac:dyDescent="0.25">
      <c r="A382" t="s">
        <v>964</v>
      </c>
      <c r="B382">
        <v>4</v>
      </c>
      <c r="D382" t="str">
        <f t="shared" si="5"/>
        <v xml:space="preserve">Roberto Abenoza </v>
      </c>
    </row>
    <row r="383" spans="1:4" x14ac:dyDescent="0.25">
      <c r="A383" t="s">
        <v>1238</v>
      </c>
      <c r="B383">
        <v>3</v>
      </c>
      <c r="D383" t="str">
        <f t="shared" si="5"/>
        <v xml:space="preserve">Zeno Baets </v>
      </c>
    </row>
    <row r="384" spans="1:4" x14ac:dyDescent="0.25">
      <c r="A384" t="s">
        <v>1028</v>
      </c>
      <c r="B384">
        <v>10</v>
      </c>
      <c r="D384" t="str">
        <f t="shared" si="5"/>
        <v xml:space="preserve">Adam Moss </v>
      </c>
    </row>
    <row r="385" spans="1:4" x14ac:dyDescent="0.25">
      <c r="A385" t="s">
        <v>1028</v>
      </c>
      <c r="B385">
        <v>6</v>
      </c>
      <c r="D385" t="str">
        <f t="shared" si="5"/>
        <v xml:space="preserve">Adam Moss </v>
      </c>
    </row>
    <row r="386" spans="1:4" x14ac:dyDescent="0.25">
      <c r="A386" t="s">
        <v>1104</v>
      </c>
      <c r="B386">
        <v>6</v>
      </c>
      <c r="D386" t="str">
        <f t="shared" si="5"/>
        <v xml:space="preserve">Aimar Lasalde </v>
      </c>
    </row>
    <row r="387" spans="1:4" x14ac:dyDescent="0.25">
      <c r="A387" t="s">
        <v>1289</v>
      </c>
      <c r="B387">
        <v>3</v>
      </c>
      <c r="D387" t="str">
        <f t="shared" ref="D387:D450" si="6">MID(A387,SEARCH(" ",A387)+1,150)</f>
        <v xml:space="preserve">Aiurdi Azpileta </v>
      </c>
    </row>
    <row r="388" spans="1:4" x14ac:dyDescent="0.25">
      <c r="A388" t="s">
        <v>974</v>
      </c>
      <c r="B388">
        <v>2</v>
      </c>
      <c r="D388" t="str">
        <f t="shared" si="6"/>
        <v xml:space="preserve">Casildo Abraldes </v>
      </c>
    </row>
    <row r="389" spans="1:4" x14ac:dyDescent="0.25">
      <c r="A389" t="s">
        <v>1171</v>
      </c>
      <c r="B389">
        <v>3</v>
      </c>
      <c r="D389" t="str">
        <f t="shared" si="6"/>
        <v xml:space="preserve">David Erbiti </v>
      </c>
    </row>
    <row r="390" spans="1:4" x14ac:dyDescent="0.25">
      <c r="A390" t="s">
        <v>1196</v>
      </c>
      <c r="B390">
        <v>4</v>
      </c>
      <c r="D390" t="str">
        <f t="shared" si="6"/>
        <v xml:space="preserve">Ernst Lammers </v>
      </c>
    </row>
    <row r="391" spans="1:4" x14ac:dyDescent="0.25">
      <c r="A391" t="s">
        <v>1157</v>
      </c>
      <c r="B391">
        <v>5</v>
      </c>
      <c r="D391" t="str">
        <f t="shared" si="6"/>
        <v xml:space="preserve">Fere Pulido </v>
      </c>
    </row>
    <row r="392" spans="1:4" x14ac:dyDescent="0.25">
      <c r="A392" t="s">
        <v>1014</v>
      </c>
      <c r="B392">
        <v>6</v>
      </c>
      <c r="D392" t="str">
        <f t="shared" si="6"/>
        <v xml:space="preserve">Gianfranco Rezza </v>
      </c>
    </row>
    <row r="393" spans="1:4" x14ac:dyDescent="0.25">
      <c r="A393" t="s">
        <v>1121</v>
      </c>
      <c r="B393">
        <v>6</v>
      </c>
      <c r="D393" t="str">
        <f t="shared" si="6"/>
        <v xml:space="preserve">Gino van Hoesel </v>
      </c>
    </row>
    <row r="394" spans="1:4" x14ac:dyDescent="0.25">
      <c r="A394" t="s">
        <v>1060</v>
      </c>
      <c r="B394">
        <v>7</v>
      </c>
      <c r="D394" t="str">
        <f t="shared" si="6"/>
        <v xml:space="preserve">Horacy Dzienis </v>
      </c>
    </row>
    <row r="395" spans="1:4" x14ac:dyDescent="0.25">
      <c r="A395" t="s">
        <v>989</v>
      </c>
      <c r="B395">
        <v>5</v>
      </c>
      <c r="D395" t="str">
        <f t="shared" si="6"/>
        <v xml:space="preserve">Ibiur Altxakoa </v>
      </c>
    </row>
    <row r="396" spans="1:4" x14ac:dyDescent="0.25">
      <c r="A396" t="s">
        <v>1239</v>
      </c>
      <c r="B396">
        <v>3</v>
      </c>
      <c r="D396" t="str">
        <f t="shared" si="6"/>
        <v xml:space="preserve">Iuliu Pana </v>
      </c>
    </row>
    <row r="397" spans="1:4" x14ac:dyDescent="0.25">
      <c r="A397" t="s">
        <v>1086</v>
      </c>
      <c r="B397">
        <v>8</v>
      </c>
      <c r="D397" t="str">
        <f t="shared" si="6"/>
        <v xml:space="preserve">Joãozinho do Mato </v>
      </c>
    </row>
    <row r="398" spans="1:4" x14ac:dyDescent="0.25">
      <c r="A398" t="s">
        <v>953</v>
      </c>
      <c r="B398">
        <v>2</v>
      </c>
      <c r="D398" t="str">
        <f t="shared" si="6"/>
        <v xml:space="preserve">Mauro Vaz </v>
      </c>
    </row>
    <row r="399" spans="1:4" x14ac:dyDescent="0.25">
      <c r="A399" t="s">
        <v>1215</v>
      </c>
      <c r="B399">
        <v>6</v>
      </c>
      <c r="D399" t="str">
        <f t="shared" si="6"/>
        <v xml:space="preserve">Michele Giampieri </v>
      </c>
    </row>
    <row r="400" spans="1:4" x14ac:dyDescent="0.25">
      <c r="A400" t="s">
        <v>1181</v>
      </c>
      <c r="B400">
        <v>4</v>
      </c>
      <c r="D400" t="str">
        <f t="shared" si="6"/>
        <v xml:space="preserve">Nikolay Gerasimenko </v>
      </c>
    </row>
    <row r="401" spans="1:4" x14ac:dyDescent="0.25">
      <c r="A401" t="s">
        <v>1276</v>
      </c>
      <c r="B401">
        <v>2</v>
      </c>
      <c r="D401" t="str">
        <f t="shared" si="6"/>
        <v xml:space="preserve">Pablo Gil Fano </v>
      </c>
    </row>
    <row r="402" spans="1:4" x14ac:dyDescent="0.25">
      <c r="A402" t="s">
        <v>1138</v>
      </c>
      <c r="B402">
        <v>8</v>
      </c>
      <c r="D402" t="str">
        <f t="shared" si="6"/>
        <v xml:space="preserve">Pere Beltran </v>
      </c>
    </row>
    <row r="403" spans="1:4" x14ac:dyDescent="0.25">
      <c r="A403" t="s">
        <v>1002</v>
      </c>
      <c r="B403">
        <v>6</v>
      </c>
      <c r="D403" t="str">
        <f t="shared" si="6"/>
        <v xml:space="preserve">Rasheed Da'na </v>
      </c>
    </row>
    <row r="404" spans="1:4" x14ac:dyDescent="0.25">
      <c r="A404" t="s">
        <v>1002</v>
      </c>
      <c r="B404">
        <v>11</v>
      </c>
      <c r="D404" t="str">
        <f t="shared" si="6"/>
        <v xml:space="preserve">Rasheed Da'na </v>
      </c>
    </row>
    <row r="405" spans="1:4" x14ac:dyDescent="0.25">
      <c r="A405" t="s">
        <v>965</v>
      </c>
      <c r="B405">
        <v>3</v>
      </c>
      <c r="D405" t="str">
        <f t="shared" si="6"/>
        <v xml:space="preserve">Raúl Riquelme </v>
      </c>
    </row>
    <row r="406" spans="1:4" x14ac:dyDescent="0.25">
      <c r="A406" t="s">
        <v>1258</v>
      </c>
      <c r="B406">
        <v>3</v>
      </c>
      <c r="D406" t="str">
        <f t="shared" si="6"/>
        <v xml:space="preserve">Richey Cowper </v>
      </c>
    </row>
    <row r="407" spans="1:4" x14ac:dyDescent="0.25">
      <c r="A407" t="s">
        <v>1076</v>
      </c>
      <c r="B407">
        <v>1</v>
      </c>
      <c r="D407" t="str">
        <f t="shared" si="6"/>
        <v xml:space="preserve">Zbyšek Hamrozi </v>
      </c>
    </row>
    <row r="408" spans="1:4" x14ac:dyDescent="0.25">
      <c r="A408" t="s">
        <v>1122</v>
      </c>
      <c r="B408">
        <v>6</v>
      </c>
      <c r="D408" t="str">
        <f t="shared" si="6"/>
        <v xml:space="preserve">Aimar Lasalde </v>
      </c>
    </row>
    <row r="409" spans="1:4" x14ac:dyDescent="0.25">
      <c r="A409" t="s">
        <v>1015</v>
      </c>
      <c r="B409">
        <v>5</v>
      </c>
      <c r="D409" t="str">
        <f t="shared" si="6"/>
        <v xml:space="preserve">Boleslaw Starzomski </v>
      </c>
    </row>
    <row r="410" spans="1:4" x14ac:dyDescent="0.25">
      <c r="A410" t="s">
        <v>1158</v>
      </c>
      <c r="B410">
        <v>5</v>
      </c>
      <c r="D410" t="str">
        <f t="shared" si="6"/>
        <v xml:space="preserve">Brunon Chuda </v>
      </c>
    </row>
    <row r="411" spans="1:4" x14ac:dyDescent="0.25">
      <c r="A411" t="s">
        <v>1277</v>
      </c>
      <c r="B411">
        <v>2</v>
      </c>
      <c r="D411" t="str">
        <f t="shared" si="6"/>
        <v xml:space="preserve">Christophe Bodin </v>
      </c>
    </row>
    <row r="412" spans="1:4" x14ac:dyDescent="0.25">
      <c r="A412" t="s">
        <v>1259</v>
      </c>
      <c r="B412">
        <v>3</v>
      </c>
      <c r="D412" t="str">
        <f t="shared" si="6"/>
        <v xml:space="preserve">David Berkenbosch </v>
      </c>
    </row>
    <row r="413" spans="1:4" x14ac:dyDescent="0.25">
      <c r="A413" t="s">
        <v>1172</v>
      </c>
      <c r="B413">
        <v>3</v>
      </c>
      <c r="D413" t="str">
        <f t="shared" si="6"/>
        <v xml:space="preserve">David Knuff </v>
      </c>
    </row>
    <row r="414" spans="1:4" x14ac:dyDescent="0.25">
      <c r="A414" t="s">
        <v>1290</v>
      </c>
      <c r="B414">
        <v>2</v>
      </c>
      <c r="D414" t="str">
        <f t="shared" si="6"/>
        <v xml:space="preserve">Domenic Janjic </v>
      </c>
    </row>
    <row r="415" spans="1:4" x14ac:dyDescent="0.25">
      <c r="A415" t="s">
        <v>954</v>
      </c>
      <c r="B415">
        <v>2</v>
      </c>
      <c r="D415" t="str">
        <f t="shared" si="6"/>
        <v xml:space="preserve">Fernando Gazón </v>
      </c>
    </row>
    <row r="416" spans="1:4" x14ac:dyDescent="0.25">
      <c r="A416" t="s">
        <v>954</v>
      </c>
      <c r="B416">
        <v>2</v>
      </c>
      <c r="D416" t="str">
        <f t="shared" si="6"/>
        <v xml:space="preserve">Fernando Gazón </v>
      </c>
    </row>
    <row r="417" spans="1:4" x14ac:dyDescent="0.25">
      <c r="A417" t="s">
        <v>1182</v>
      </c>
      <c r="B417">
        <v>3</v>
      </c>
      <c r="D417" t="str">
        <f t="shared" si="6"/>
        <v xml:space="preserve">Gastone Cianelli </v>
      </c>
    </row>
    <row r="418" spans="1:4" x14ac:dyDescent="0.25">
      <c r="A418" t="s">
        <v>1003</v>
      </c>
      <c r="B418">
        <v>4</v>
      </c>
      <c r="D418" t="str">
        <f t="shared" si="6"/>
        <v xml:space="preserve">Ibiur Altxakoa </v>
      </c>
    </row>
    <row r="419" spans="1:4" x14ac:dyDescent="0.25">
      <c r="A419" t="s">
        <v>990</v>
      </c>
      <c r="B419">
        <v>4</v>
      </c>
      <c r="D419" t="str">
        <f t="shared" si="6"/>
        <v xml:space="preserve">Jorge Walter Whitaker </v>
      </c>
    </row>
    <row r="420" spans="1:4" x14ac:dyDescent="0.25">
      <c r="A420" t="s">
        <v>975</v>
      </c>
      <c r="B420">
        <v>2</v>
      </c>
      <c r="D420" t="str">
        <f t="shared" si="6"/>
        <v xml:space="preserve">Juan Gabriel de Minaya </v>
      </c>
    </row>
    <row r="421" spans="1:4" x14ac:dyDescent="0.25">
      <c r="A421" t="s">
        <v>1049</v>
      </c>
      <c r="B421">
        <v>6</v>
      </c>
      <c r="D421" t="str">
        <f t="shared" si="6"/>
        <v xml:space="preserve">Kendor Nagiturri </v>
      </c>
    </row>
    <row r="422" spans="1:4" x14ac:dyDescent="0.25">
      <c r="A422" t="s">
        <v>1240</v>
      </c>
      <c r="B422">
        <v>3</v>
      </c>
      <c r="D422" t="str">
        <f t="shared" si="6"/>
        <v xml:space="preserve">Krzysztof Buras </v>
      </c>
    </row>
    <row r="423" spans="1:4" x14ac:dyDescent="0.25">
      <c r="A423" t="s">
        <v>1139</v>
      </c>
      <c r="B423">
        <v>7</v>
      </c>
      <c r="D423" t="str">
        <f t="shared" si="6"/>
        <v xml:space="preserve">Ludwik Mojescik </v>
      </c>
    </row>
    <row r="424" spans="1:4" x14ac:dyDescent="0.25">
      <c r="A424" t="s">
        <v>1216</v>
      </c>
      <c r="B424">
        <v>5</v>
      </c>
      <c r="D424" t="str">
        <f t="shared" si="6"/>
        <v xml:space="preserve">Malte Neulinger </v>
      </c>
    </row>
    <row r="425" spans="1:4" x14ac:dyDescent="0.25">
      <c r="A425" t="s">
        <v>1077</v>
      </c>
      <c r="B425">
        <v>1</v>
      </c>
      <c r="D425" t="str">
        <f t="shared" si="6"/>
        <v xml:space="preserve">Nikolas Lakkotripi </v>
      </c>
    </row>
    <row r="426" spans="1:4" x14ac:dyDescent="0.25">
      <c r="A426" t="s">
        <v>1087</v>
      </c>
      <c r="B426">
        <v>7</v>
      </c>
      <c r="D426" t="str">
        <f t="shared" si="6"/>
        <v xml:space="preserve">Pasqual Vilar </v>
      </c>
    </row>
    <row r="427" spans="1:4" x14ac:dyDescent="0.25">
      <c r="A427" t="s">
        <v>1029</v>
      </c>
      <c r="B427">
        <v>10</v>
      </c>
      <c r="D427" t="str">
        <f t="shared" si="6"/>
        <v xml:space="preserve">Pepijn Zwaan </v>
      </c>
    </row>
    <row r="428" spans="1:4" x14ac:dyDescent="0.25">
      <c r="A428" t="s">
        <v>1105</v>
      </c>
      <c r="B428">
        <v>5</v>
      </c>
      <c r="D428" t="str">
        <f t="shared" si="6"/>
        <v xml:space="preserve">Roelant Bierman </v>
      </c>
    </row>
    <row r="429" spans="1:4" x14ac:dyDescent="0.25">
      <c r="A429" t="s">
        <v>1197</v>
      </c>
      <c r="B429">
        <v>4</v>
      </c>
      <c r="D429" t="str">
        <f t="shared" si="6"/>
        <v xml:space="preserve">Romain Grière </v>
      </c>
    </row>
    <row r="430" spans="1:4" x14ac:dyDescent="0.25">
      <c r="A430" t="s">
        <v>1040</v>
      </c>
      <c r="B430">
        <v>11</v>
      </c>
      <c r="D430" t="str">
        <f t="shared" si="6"/>
        <v xml:space="preserve">Saúl Piña </v>
      </c>
    </row>
    <row r="431" spans="1:4" x14ac:dyDescent="0.25">
      <c r="A431" t="s">
        <v>917</v>
      </c>
      <c r="B431">
        <v>5</v>
      </c>
      <c r="D431" t="str">
        <f t="shared" si="6"/>
        <v xml:space="preserve">Stanislaw Zdankiewicz </v>
      </c>
    </row>
    <row r="432" spans="1:4" x14ac:dyDescent="0.25">
      <c r="A432" t="s">
        <v>1061</v>
      </c>
      <c r="B432">
        <v>6</v>
      </c>
      <c r="D432" t="str">
        <f t="shared" si="6"/>
        <v xml:space="preserve">Torsten Kortenhof </v>
      </c>
    </row>
    <row r="433" spans="1:4" x14ac:dyDescent="0.25">
      <c r="A433" t="s">
        <v>1260</v>
      </c>
      <c r="B433">
        <v>3</v>
      </c>
      <c r="D433" t="str">
        <f t="shared" si="6"/>
        <v xml:space="preserve">? (Pan) ?? (Yuandong) </v>
      </c>
    </row>
    <row r="434" spans="1:4" x14ac:dyDescent="0.25">
      <c r="A434" t="s">
        <v>991</v>
      </c>
      <c r="B434">
        <v>4</v>
      </c>
      <c r="D434" t="str">
        <f t="shared" si="6"/>
        <v xml:space="preserve">Adam Moss </v>
      </c>
    </row>
    <row r="435" spans="1:4" x14ac:dyDescent="0.25">
      <c r="A435" t="s">
        <v>1078</v>
      </c>
      <c r="B435">
        <v>1</v>
      </c>
      <c r="D435" t="str">
        <f t="shared" si="6"/>
        <v xml:space="preserve">Alexander Pahl </v>
      </c>
    </row>
    <row r="436" spans="1:4" x14ac:dyDescent="0.25">
      <c r="A436" t="s">
        <v>1278</v>
      </c>
      <c r="B436">
        <v>1</v>
      </c>
      <c r="D436" t="str">
        <f t="shared" si="6"/>
        <v xml:space="preserve">Alfonso Londoño </v>
      </c>
    </row>
    <row r="437" spans="1:4" x14ac:dyDescent="0.25">
      <c r="A437" t="s">
        <v>1004</v>
      </c>
      <c r="B437">
        <v>4</v>
      </c>
      <c r="D437" t="str">
        <f t="shared" si="6"/>
        <v xml:space="preserve">Andrea Califano </v>
      </c>
    </row>
    <row r="438" spans="1:4" x14ac:dyDescent="0.25">
      <c r="A438" t="s">
        <v>1030</v>
      </c>
      <c r="B438">
        <v>9</v>
      </c>
      <c r="D438" t="str">
        <f t="shared" si="6"/>
        <v xml:space="preserve">Andrin Bärtsch </v>
      </c>
    </row>
    <row r="439" spans="1:4" x14ac:dyDescent="0.25">
      <c r="A439" t="s">
        <v>1030</v>
      </c>
      <c r="B439">
        <v>10</v>
      </c>
      <c r="D439" t="str">
        <f t="shared" si="6"/>
        <v xml:space="preserve">Andrin Bärtsch </v>
      </c>
    </row>
    <row r="440" spans="1:4" x14ac:dyDescent="0.25">
      <c r="A440" t="s">
        <v>1050</v>
      </c>
      <c r="B440">
        <v>6</v>
      </c>
      <c r="D440" t="str">
        <f t="shared" si="6"/>
        <v xml:space="preserve">Arjo Olthuis </v>
      </c>
    </row>
    <row r="441" spans="1:4" x14ac:dyDescent="0.25">
      <c r="A441" t="s">
        <v>1241</v>
      </c>
      <c r="B441">
        <v>3</v>
      </c>
      <c r="D441" t="str">
        <f t="shared" si="6"/>
        <v xml:space="preserve">Aureliusz Staszczuk </v>
      </c>
    </row>
    <row r="442" spans="1:4" x14ac:dyDescent="0.25">
      <c r="A442" t="s">
        <v>955</v>
      </c>
      <c r="B442">
        <v>2</v>
      </c>
      <c r="D442" t="str">
        <f t="shared" si="6"/>
        <v xml:space="preserve">Eckardt Hägerling </v>
      </c>
    </row>
    <row r="443" spans="1:4" x14ac:dyDescent="0.25">
      <c r="A443" t="s">
        <v>947</v>
      </c>
      <c r="B443">
        <v>3</v>
      </c>
      <c r="D443" t="str">
        <f t="shared" si="6"/>
        <v xml:space="preserve">Fabien Fabre </v>
      </c>
    </row>
    <row r="444" spans="1:4" x14ac:dyDescent="0.25">
      <c r="A444" t="s">
        <v>1106</v>
      </c>
      <c r="B444">
        <v>4</v>
      </c>
      <c r="D444" t="str">
        <f t="shared" si="6"/>
        <v xml:space="preserve">Giulio Procaccianti </v>
      </c>
    </row>
    <row r="445" spans="1:4" x14ac:dyDescent="0.25">
      <c r="A445" t="s">
        <v>1159</v>
      </c>
      <c r="B445">
        <v>3</v>
      </c>
      <c r="D445" t="str">
        <f t="shared" si="6"/>
        <v xml:space="preserve">Honesto Cousa </v>
      </c>
    </row>
    <row r="446" spans="1:4" x14ac:dyDescent="0.25">
      <c r="A446" t="s">
        <v>1183</v>
      </c>
      <c r="B446">
        <v>2</v>
      </c>
      <c r="D446" t="str">
        <f t="shared" si="6"/>
        <v xml:space="preserve">Iacob Sarpe </v>
      </c>
    </row>
    <row r="447" spans="1:4" x14ac:dyDescent="0.25">
      <c r="A447" t="s">
        <v>1291</v>
      </c>
      <c r="B447">
        <v>2</v>
      </c>
      <c r="D447" t="str">
        <f t="shared" si="6"/>
        <v xml:space="preserve">Jaime Ocón </v>
      </c>
    </row>
    <row r="448" spans="1:4" x14ac:dyDescent="0.25">
      <c r="A448" t="s">
        <v>1088</v>
      </c>
      <c r="B448">
        <v>5</v>
      </c>
      <c r="D448" t="str">
        <f t="shared" si="6"/>
        <v xml:space="preserve">Lars Pouilliers </v>
      </c>
    </row>
    <row r="449" spans="1:4" x14ac:dyDescent="0.25">
      <c r="A449" t="s">
        <v>966</v>
      </c>
      <c r="B449">
        <v>2</v>
      </c>
      <c r="D449" t="str">
        <f t="shared" si="6"/>
        <v xml:space="preserve">Manuel Parejo </v>
      </c>
    </row>
    <row r="450" spans="1:4" x14ac:dyDescent="0.25">
      <c r="A450" t="s">
        <v>1217</v>
      </c>
      <c r="B450">
        <v>5</v>
      </c>
      <c r="D450" t="str">
        <f t="shared" si="6"/>
        <v xml:space="preserve">Markus Currie </v>
      </c>
    </row>
    <row r="451" spans="1:4" x14ac:dyDescent="0.25">
      <c r="A451" t="s">
        <v>1198</v>
      </c>
      <c r="B451">
        <v>3</v>
      </c>
      <c r="D451" t="str">
        <f t="shared" ref="D451:D511" si="7">MID(A451,SEARCH(" ",A451)+1,150)</f>
        <v xml:space="preserve">Michele Giampieri </v>
      </c>
    </row>
    <row r="452" spans="1:4" x14ac:dyDescent="0.25">
      <c r="A452" t="s">
        <v>1123</v>
      </c>
      <c r="B452">
        <v>6</v>
      </c>
      <c r="D452" t="str">
        <f t="shared" si="7"/>
        <v xml:space="preserve">Pasqual Vilar </v>
      </c>
    </row>
    <row r="453" spans="1:4" x14ac:dyDescent="0.25">
      <c r="A453" t="s">
        <v>1016</v>
      </c>
      <c r="B453">
        <v>5</v>
      </c>
      <c r="D453" t="str">
        <f t="shared" si="7"/>
        <v xml:space="preserve">Patrick Werner </v>
      </c>
    </row>
    <row r="454" spans="1:4" x14ac:dyDescent="0.25">
      <c r="A454" t="s">
        <v>905</v>
      </c>
      <c r="B454">
        <v>3</v>
      </c>
      <c r="D454" t="str">
        <f t="shared" si="7"/>
        <v xml:space="preserve">Stanislaw Zdankiewicz </v>
      </c>
    </row>
    <row r="455" spans="1:4" x14ac:dyDescent="0.25">
      <c r="A455" t="s">
        <v>1140</v>
      </c>
      <c r="B455">
        <v>5</v>
      </c>
      <c r="D455" t="str">
        <f t="shared" si="7"/>
        <v xml:space="preserve">Tomasz Artymiuk </v>
      </c>
    </row>
    <row r="456" spans="1:4" x14ac:dyDescent="0.25">
      <c r="A456" t="s">
        <v>1173</v>
      </c>
      <c r="B456">
        <v>2</v>
      </c>
      <c r="D456" t="str">
        <f t="shared" si="7"/>
        <v xml:space="preserve">Vincent Gautsch </v>
      </c>
    </row>
    <row r="457" spans="1:4" x14ac:dyDescent="0.25">
      <c r="A457" t="s">
        <v>1062</v>
      </c>
      <c r="B457">
        <v>6</v>
      </c>
      <c r="D457" t="str">
        <f t="shared" si="7"/>
        <v xml:space="preserve">Wicher Ossedrijver </v>
      </c>
    </row>
    <row r="458" spans="1:4" x14ac:dyDescent="0.25">
      <c r="A458" t="s">
        <v>1079</v>
      </c>
      <c r="B458">
        <v>1</v>
      </c>
      <c r="D458" t="str">
        <f t="shared" si="7"/>
        <v xml:space="preserve">Andrin Bärtsch </v>
      </c>
    </row>
    <row r="459" spans="1:4" x14ac:dyDescent="0.25">
      <c r="A459" t="s">
        <v>1041</v>
      </c>
      <c r="B459">
        <v>9</v>
      </c>
      <c r="D459" t="str">
        <f t="shared" si="7"/>
        <v xml:space="preserve">Arnold Kalckstein </v>
      </c>
    </row>
    <row r="460" spans="1:4" x14ac:dyDescent="0.25">
      <c r="A460" t="s">
        <v>1174</v>
      </c>
      <c r="B460">
        <v>2</v>
      </c>
      <c r="D460" t="str">
        <f t="shared" si="7"/>
        <v xml:space="preserve">Carlos Ipinza </v>
      </c>
    </row>
    <row r="461" spans="1:4" x14ac:dyDescent="0.25">
      <c r="A461" t="s">
        <v>1242</v>
      </c>
      <c r="B461">
        <v>2</v>
      </c>
      <c r="D461" t="str">
        <f t="shared" si="7"/>
        <v xml:space="preserve">Christophe Méjean </v>
      </c>
    </row>
    <row r="462" spans="1:4" x14ac:dyDescent="0.25">
      <c r="A462" t="s">
        <v>1184</v>
      </c>
      <c r="B462">
        <v>2</v>
      </c>
      <c r="D462" t="str">
        <f t="shared" si="7"/>
        <v xml:space="preserve">Co Wolbers </v>
      </c>
    </row>
    <row r="463" spans="1:4" x14ac:dyDescent="0.25">
      <c r="A463" t="s">
        <v>992</v>
      </c>
      <c r="B463">
        <v>3</v>
      </c>
      <c r="D463" t="str">
        <f t="shared" si="7"/>
        <v xml:space="preserve">Csaba Mezo </v>
      </c>
    </row>
    <row r="464" spans="1:4" x14ac:dyDescent="0.25">
      <c r="A464" t="s">
        <v>940</v>
      </c>
      <c r="B464">
        <v>3</v>
      </c>
      <c r="D464" t="str">
        <f t="shared" si="7"/>
        <v xml:space="preserve">Emilio Rojas </v>
      </c>
    </row>
    <row r="465" spans="1:4" x14ac:dyDescent="0.25">
      <c r="A465" t="s">
        <v>1160</v>
      </c>
      <c r="B465">
        <v>2</v>
      </c>
      <c r="D465" t="str">
        <f t="shared" si="7"/>
        <v xml:space="preserve">Felipe Andrés Massarelli </v>
      </c>
    </row>
    <row r="466" spans="1:4" x14ac:dyDescent="0.25">
      <c r="A466" t="s">
        <v>1051</v>
      </c>
      <c r="B466">
        <v>4</v>
      </c>
      <c r="D466" t="str">
        <f t="shared" si="7"/>
        <v xml:space="preserve">Fernando Juárez Sierra </v>
      </c>
    </row>
    <row r="467" spans="1:4" x14ac:dyDescent="0.25">
      <c r="A467" t="s">
        <v>1031</v>
      </c>
      <c r="B467">
        <v>9</v>
      </c>
      <c r="D467" t="str">
        <f t="shared" si="7"/>
        <v xml:space="preserve">Gregor Freischläger </v>
      </c>
    </row>
    <row r="468" spans="1:4" x14ac:dyDescent="0.25">
      <c r="A468" t="s">
        <v>1279</v>
      </c>
      <c r="B468">
        <v>1</v>
      </c>
      <c r="D468" t="str">
        <f t="shared" si="7"/>
        <v xml:space="preserve">Gregorio Manrique </v>
      </c>
    </row>
    <row r="469" spans="1:4" x14ac:dyDescent="0.25">
      <c r="A469" t="s">
        <v>1017</v>
      </c>
      <c r="B469">
        <v>4</v>
      </c>
      <c r="D469" t="str">
        <f t="shared" si="7"/>
        <v xml:space="preserve">Ibiur Altxakoa </v>
      </c>
    </row>
    <row r="470" spans="1:4" x14ac:dyDescent="0.25">
      <c r="A470" t="s">
        <v>1218</v>
      </c>
      <c r="B470">
        <v>4</v>
      </c>
      <c r="D470" t="str">
        <f t="shared" si="7"/>
        <v xml:space="preserve">Iuliu Pana </v>
      </c>
    </row>
    <row r="471" spans="1:4" x14ac:dyDescent="0.25">
      <c r="A471" t="s">
        <v>1292</v>
      </c>
      <c r="B471">
        <v>2</v>
      </c>
      <c r="D471" t="str">
        <f t="shared" si="7"/>
        <v xml:space="preserve">José Rubianes </v>
      </c>
    </row>
    <row r="472" spans="1:4" x14ac:dyDescent="0.25">
      <c r="A472" t="s">
        <v>977</v>
      </c>
      <c r="B472">
        <v>1</v>
      </c>
      <c r="D472" t="str">
        <f t="shared" si="7"/>
        <v xml:space="preserve">Manuel Parejo </v>
      </c>
    </row>
    <row r="473" spans="1:4" x14ac:dyDescent="0.25">
      <c r="A473" t="s">
        <v>1063</v>
      </c>
      <c r="B473">
        <v>5</v>
      </c>
      <c r="D473" t="str">
        <f t="shared" si="7"/>
        <v xml:space="preserve">Martin Herber </v>
      </c>
    </row>
    <row r="474" spans="1:4" x14ac:dyDescent="0.25">
      <c r="A474" t="s">
        <v>1005</v>
      </c>
      <c r="B474">
        <v>3</v>
      </c>
      <c r="D474" t="str">
        <f t="shared" si="7"/>
        <v xml:space="preserve">Morgan Thomas </v>
      </c>
    </row>
    <row r="475" spans="1:4" x14ac:dyDescent="0.25">
      <c r="A475" t="s">
        <v>1199</v>
      </c>
      <c r="B475">
        <v>3</v>
      </c>
      <c r="D475" t="str">
        <f t="shared" si="7"/>
        <v xml:space="preserve">Pau Redondo </v>
      </c>
    </row>
    <row r="476" spans="1:4" x14ac:dyDescent="0.25">
      <c r="A476" t="s">
        <v>1124</v>
      </c>
      <c r="B476">
        <v>6</v>
      </c>
      <c r="D476" t="str">
        <f t="shared" si="7"/>
        <v xml:space="preserve">Ragip Övgü </v>
      </c>
    </row>
    <row r="477" spans="1:4" x14ac:dyDescent="0.25">
      <c r="A477" t="s">
        <v>1089</v>
      </c>
      <c r="B477">
        <v>4</v>
      </c>
      <c r="D477" t="str">
        <f t="shared" si="7"/>
        <v xml:space="preserve">Ricardo Esquerdo </v>
      </c>
    </row>
    <row r="478" spans="1:4" x14ac:dyDescent="0.25">
      <c r="A478" t="s">
        <v>1089</v>
      </c>
      <c r="B478">
        <v>4</v>
      </c>
      <c r="D478" t="str">
        <f t="shared" si="7"/>
        <v xml:space="preserve">Ricardo Esquerdo </v>
      </c>
    </row>
    <row r="479" spans="1:4" x14ac:dyDescent="0.25">
      <c r="A479" t="s">
        <v>1141</v>
      </c>
      <c r="B479">
        <v>3</v>
      </c>
      <c r="D479" t="str">
        <f t="shared" si="7"/>
        <v xml:space="preserve">Roelant Bierman </v>
      </c>
    </row>
    <row r="480" spans="1:4" x14ac:dyDescent="0.25">
      <c r="A480" t="s">
        <v>925</v>
      </c>
      <c r="B480">
        <v>4</v>
      </c>
      <c r="D480" t="str">
        <f t="shared" si="7"/>
        <v xml:space="preserve">Stanislaw Zdankiewicz </v>
      </c>
    </row>
    <row r="481" spans="1:4" x14ac:dyDescent="0.25">
      <c r="A481" t="s">
        <v>1261</v>
      </c>
      <c r="B481">
        <v>2</v>
      </c>
      <c r="D481" t="str">
        <f t="shared" si="7"/>
        <v xml:space="preserve">Tijl van Hamburg </v>
      </c>
    </row>
    <row r="482" spans="1:4" x14ac:dyDescent="0.25">
      <c r="A482" t="s">
        <v>906</v>
      </c>
      <c r="B482">
        <v>3</v>
      </c>
      <c r="D482" t="str">
        <f t="shared" si="7"/>
        <v xml:space="preserve">Tommaso Niscola </v>
      </c>
    </row>
    <row r="483" spans="1:4" x14ac:dyDescent="0.25">
      <c r="A483" t="s">
        <v>967</v>
      </c>
      <c r="B483">
        <v>2</v>
      </c>
      <c r="D483" t="str">
        <f t="shared" si="7"/>
        <v xml:space="preserve">Xofre Taín </v>
      </c>
    </row>
    <row r="484" spans="1:4" x14ac:dyDescent="0.25">
      <c r="A484" t="s">
        <v>1064</v>
      </c>
      <c r="B484">
        <v>5</v>
      </c>
      <c r="D484" t="str">
        <f t="shared" si="7"/>
        <v xml:space="preserve">Adam Moss </v>
      </c>
    </row>
    <row r="485" spans="1:4" x14ac:dyDescent="0.25">
      <c r="A485" t="s">
        <v>1175</v>
      </c>
      <c r="B485">
        <v>1</v>
      </c>
      <c r="D485" t="str">
        <f t="shared" si="7"/>
        <v xml:space="preserve">Adamantios Fikias </v>
      </c>
    </row>
    <row r="486" spans="1:4" x14ac:dyDescent="0.25">
      <c r="A486" t="s">
        <v>1142</v>
      </c>
      <c r="B486">
        <v>3</v>
      </c>
      <c r="D486" t="str">
        <f t="shared" si="7"/>
        <v xml:space="preserve">Aimar Lasalde </v>
      </c>
    </row>
    <row r="487" spans="1:4" x14ac:dyDescent="0.25">
      <c r="A487" t="s">
        <v>1052</v>
      </c>
      <c r="B487">
        <v>3</v>
      </c>
      <c r="D487" t="str">
        <f t="shared" si="7"/>
        <v xml:space="preserve">Arnold Kalckstein </v>
      </c>
    </row>
    <row r="488" spans="1:4" x14ac:dyDescent="0.25">
      <c r="A488" t="s">
        <v>941</v>
      </c>
      <c r="B488">
        <v>3</v>
      </c>
      <c r="D488" t="str">
        <f t="shared" si="7"/>
        <v xml:space="preserve">Cornel Caraba </v>
      </c>
    </row>
    <row r="489" spans="1:4" x14ac:dyDescent="0.25">
      <c r="A489" t="s">
        <v>1219</v>
      </c>
      <c r="B489">
        <v>3</v>
      </c>
      <c r="D489" t="str">
        <f t="shared" si="7"/>
        <v xml:space="preserve">Dan Veneau </v>
      </c>
    </row>
    <row r="490" spans="1:4" x14ac:dyDescent="0.25">
      <c r="A490" t="s">
        <v>1185</v>
      </c>
      <c r="B490">
        <v>2</v>
      </c>
      <c r="D490" t="str">
        <f t="shared" si="7"/>
        <v xml:space="preserve">David Erbiti </v>
      </c>
    </row>
    <row r="491" spans="1:4" x14ac:dyDescent="0.25">
      <c r="A491" t="s">
        <v>926</v>
      </c>
      <c r="B491">
        <v>3</v>
      </c>
      <c r="D491" t="str">
        <f t="shared" si="7"/>
        <v xml:space="preserve">Emilio Rojas </v>
      </c>
    </row>
    <row r="492" spans="1:4" x14ac:dyDescent="0.25">
      <c r="A492" t="s">
        <v>1161</v>
      </c>
      <c r="B492">
        <v>2</v>
      </c>
      <c r="D492" t="str">
        <f t="shared" si="7"/>
        <v xml:space="preserve">Enis Kalan </v>
      </c>
    </row>
    <row r="493" spans="1:4" x14ac:dyDescent="0.25">
      <c r="A493" t="s">
        <v>1042</v>
      </c>
      <c r="B493">
        <v>8</v>
      </c>
      <c r="D493" t="str">
        <f t="shared" si="7"/>
        <v xml:space="preserve">Feliciano Becerril </v>
      </c>
    </row>
    <row r="494" spans="1:4" x14ac:dyDescent="0.25">
      <c r="A494" t="s">
        <v>1125</v>
      </c>
      <c r="B494">
        <v>5</v>
      </c>
      <c r="D494" t="str">
        <f t="shared" si="7"/>
        <v xml:space="preserve">Giulio Procaccianti </v>
      </c>
    </row>
    <row r="495" spans="1:4" x14ac:dyDescent="0.25">
      <c r="A495" t="s">
        <v>1280</v>
      </c>
      <c r="B495">
        <v>1</v>
      </c>
      <c r="D495" t="str">
        <f t="shared" si="7"/>
        <v xml:space="preserve">Gustaw Bugajski </v>
      </c>
    </row>
    <row r="496" spans="1:4" x14ac:dyDescent="0.25">
      <c r="A496" t="s">
        <v>1090</v>
      </c>
      <c r="B496">
        <v>3</v>
      </c>
      <c r="D496" t="str">
        <f t="shared" si="7"/>
        <v xml:space="preserve">Ilari Santasalmi </v>
      </c>
    </row>
    <row r="497" spans="1:4" x14ac:dyDescent="0.25">
      <c r="A497" t="s">
        <v>1080</v>
      </c>
      <c r="B497">
        <v>1</v>
      </c>
      <c r="D497" t="str">
        <f t="shared" si="7"/>
        <v xml:space="preserve">Jos Pittoors </v>
      </c>
    </row>
    <row r="498" spans="1:4" x14ac:dyDescent="0.25">
      <c r="A498" t="s">
        <v>1293</v>
      </c>
      <c r="B498">
        <v>2</v>
      </c>
      <c r="D498" t="str">
        <f t="shared" si="7"/>
        <v xml:space="preserve">Karst van Gils </v>
      </c>
    </row>
    <row r="499" spans="1:4" x14ac:dyDescent="0.25">
      <c r="A499" t="s">
        <v>1018</v>
      </c>
      <c r="B499">
        <v>3</v>
      </c>
      <c r="D499" t="str">
        <f t="shared" si="7"/>
        <v xml:space="preserve">Leonardo Baltico </v>
      </c>
    </row>
    <row r="500" spans="1:4" x14ac:dyDescent="0.25">
      <c r="A500" t="s">
        <v>1243</v>
      </c>
      <c r="B500">
        <v>2</v>
      </c>
      <c r="D500" t="str">
        <f t="shared" si="7"/>
        <v xml:space="preserve">Manolo Negrín </v>
      </c>
    </row>
    <row r="501" spans="1:4" x14ac:dyDescent="0.25">
      <c r="A501" t="s">
        <v>978</v>
      </c>
      <c r="B501">
        <v>1</v>
      </c>
      <c r="D501" t="str">
        <f t="shared" si="7"/>
        <v xml:space="preserve">Mateusz Brzostowski </v>
      </c>
    </row>
    <row r="502" spans="1:4" x14ac:dyDescent="0.25">
      <c r="A502" t="s">
        <v>968</v>
      </c>
      <c r="B502">
        <v>1</v>
      </c>
      <c r="D502" t="str">
        <f t="shared" si="7"/>
        <v xml:space="preserve">Mauro Vaz </v>
      </c>
    </row>
    <row r="503" spans="1:4" x14ac:dyDescent="0.25">
      <c r="A503" t="s">
        <v>897</v>
      </c>
      <c r="B503">
        <v>2</v>
      </c>
      <c r="D503" t="str">
        <f t="shared" si="7"/>
        <v xml:space="preserve">Miguel Fernández </v>
      </c>
    </row>
    <row r="504" spans="1:4" x14ac:dyDescent="0.25">
      <c r="A504" t="s">
        <v>993</v>
      </c>
      <c r="B504">
        <v>3</v>
      </c>
      <c r="D504" t="str">
        <f t="shared" si="7"/>
        <v xml:space="preserve">Morgan Thomas </v>
      </c>
    </row>
    <row r="505" spans="1:4" x14ac:dyDescent="0.25">
      <c r="A505" t="s">
        <v>1006</v>
      </c>
      <c r="B505">
        <v>2</v>
      </c>
      <c r="D505" t="str">
        <f t="shared" si="7"/>
        <v xml:space="preserve">Pepijn Zwaan </v>
      </c>
    </row>
    <row r="506" spans="1:4" x14ac:dyDescent="0.25">
      <c r="A506" t="s">
        <v>1107</v>
      </c>
      <c r="B506">
        <v>4</v>
      </c>
      <c r="D506" t="str">
        <f t="shared" si="7"/>
        <v xml:space="preserve">Pere Beltran </v>
      </c>
    </row>
    <row r="507" spans="1:4" x14ac:dyDescent="0.25">
      <c r="A507" t="s">
        <v>1032</v>
      </c>
      <c r="B507">
        <v>5</v>
      </c>
      <c r="D507" t="str">
        <f t="shared" si="7"/>
        <v xml:space="preserve">Raffaele Sitter </v>
      </c>
    </row>
    <row r="508" spans="1:4" x14ac:dyDescent="0.25">
      <c r="A508" t="s">
        <v>957</v>
      </c>
      <c r="B508">
        <v>1</v>
      </c>
      <c r="D508" t="str">
        <f t="shared" si="7"/>
        <v xml:space="preserve">Raúl Riquelme </v>
      </c>
    </row>
    <row r="509" spans="1:4" x14ac:dyDescent="0.25">
      <c r="A509" t="s">
        <v>886</v>
      </c>
      <c r="B509">
        <v>4</v>
      </c>
      <c r="D509" t="str">
        <f t="shared" si="7"/>
        <v xml:space="preserve">Renato Galeano </v>
      </c>
    </row>
    <row r="510" spans="1:4" x14ac:dyDescent="0.25">
      <c r="A510" t="s">
        <v>1262</v>
      </c>
      <c r="B510">
        <v>2</v>
      </c>
      <c r="D510" t="str">
        <f t="shared" si="7"/>
        <v xml:space="preserve">Udo Mier </v>
      </c>
    </row>
    <row r="511" spans="1:4" x14ac:dyDescent="0.25">
      <c r="A511" t="s">
        <v>1200</v>
      </c>
      <c r="B511">
        <v>3</v>
      </c>
      <c r="D511" t="str">
        <f t="shared" si="7"/>
        <v xml:space="preserve">Ulf Schenkel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U227"/>
  <sheetViews>
    <sheetView workbookViewId="0">
      <selection activeCell="T1" sqref="T1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  <col min="18" max="18" width="5.28515625" style="42" bestFit="1" customWidth="1"/>
    <col min="19" max="19" width="24.7109375" style="42" bestFit="1" customWidth="1"/>
    <col min="20" max="20" width="5.42578125" style="42" bestFit="1" customWidth="1"/>
    <col min="21" max="21" width="11.42578125" style="42"/>
  </cols>
  <sheetData>
    <row r="1" spans="1:21" x14ac:dyDescent="0.25">
      <c r="A1" s="92" t="s">
        <v>0</v>
      </c>
      <c r="F1" s="94" t="s">
        <v>1</v>
      </c>
      <c r="G1" s="512" t="s">
        <v>2</v>
      </c>
      <c r="H1" s="512"/>
      <c r="J1" s="94" t="s">
        <v>1</v>
      </c>
      <c r="K1" s="398" t="s">
        <v>3</v>
      </c>
      <c r="L1" s="387" t="s">
        <v>1499</v>
      </c>
      <c r="N1" s="94" t="s">
        <v>1</v>
      </c>
      <c r="O1" s="512" t="s">
        <v>4</v>
      </c>
      <c r="P1" s="512"/>
      <c r="R1" s="387" t="s">
        <v>1</v>
      </c>
      <c r="S1" s="387" t="s">
        <v>1297</v>
      </c>
      <c r="T1" s="397" t="s">
        <v>384</v>
      </c>
    </row>
    <row r="2" spans="1:21" x14ac:dyDescent="0.25">
      <c r="A2" s="263">
        <v>44532</v>
      </c>
      <c r="F2" s="43">
        <v>1</v>
      </c>
      <c r="G2" s="93" t="s">
        <v>5</v>
      </c>
      <c r="H2" s="42" t="s">
        <v>6</v>
      </c>
      <c r="J2" s="43">
        <v>1</v>
      </c>
      <c r="K2" s="192" t="s">
        <v>14</v>
      </c>
      <c r="L2" s="42">
        <v>247</v>
      </c>
      <c r="N2" s="43">
        <v>1</v>
      </c>
      <c r="O2" s="192" t="s">
        <v>27</v>
      </c>
      <c r="P2" s="42">
        <v>130</v>
      </c>
      <c r="R2" s="448">
        <v>1</v>
      </c>
      <c r="S2" s="399" t="str">
        <f>Goles!G2</f>
        <v xml:space="preserve">Enrique Cubas </v>
      </c>
      <c r="T2" s="399">
        <v>119</v>
      </c>
      <c r="U2" s="42" t="s">
        <v>384</v>
      </c>
    </row>
    <row r="3" spans="1:21" x14ac:dyDescent="0.25">
      <c r="F3" s="43">
        <v>2</v>
      </c>
      <c r="G3" s="93" t="s">
        <v>10</v>
      </c>
      <c r="H3" s="42" t="s">
        <v>11</v>
      </c>
      <c r="J3" s="43">
        <v>2</v>
      </c>
      <c r="K3" s="192" t="s">
        <v>30</v>
      </c>
      <c r="L3" s="42">
        <v>237</v>
      </c>
      <c r="N3" s="43">
        <v>2</v>
      </c>
      <c r="O3" s="192" t="s">
        <v>24</v>
      </c>
      <c r="P3" s="42">
        <v>64</v>
      </c>
      <c r="R3" s="448">
        <v>2</v>
      </c>
      <c r="S3" s="396" t="str">
        <f>Goles!G3</f>
        <v xml:space="preserve">Saúl Piña </v>
      </c>
      <c r="T3" s="396">
        <f>Goles!H3</f>
        <v>90</v>
      </c>
      <c r="U3" s="42">
        <f>SUM(T:T)</f>
        <v>2168</v>
      </c>
    </row>
    <row r="4" spans="1:21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192" t="s">
        <v>20</v>
      </c>
      <c r="L4" s="42">
        <v>231</v>
      </c>
      <c r="N4" s="43">
        <v>3</v>
      </c>
      <c r="O4" s="93" t="s">
        <v>8</v>
      </c>
      <c r="P4" s="42">
        <v>58</v>
      </c>
      <c r="R4" s="448">
        <v>3</v>
      </c>
      <c r="S4" s="399" t="str">
        <f>Goles!G4</f>
        <v xml:space="preserve">Wil Duffill </v>
      </c>
      <c r="T4" s="399">
        <v>75</v>
      </c>
    </row>
    <row r="5" spans="1:21" x14ac:dyDescent="0.25">
      <c r="A5" s="42" t="s">
        <v>21</v>
      </c>
      <c r="B5" t="s">
        <v>1594</v>
      </c>
      <c r="C5" s="477">
        <v>44492</v>
      </c>
      <c r="D5" s="43" t="s">
        <v>1595</v>
      </c>
      <c r="F5" s="43">
        <v>3</v>
      </c>
      <c r="G5" s="192" t="s">
        <v>675</v>
      </c>
      <c r="H5" s="42" t="s">
        <v>17</v>
      </c>
      <c r="J5" s="43">
        <v>4</v>
      </c>
      <c r="K5" s="192" t="s">
        <v>24</v>
      </c>
      <c r="L5" s="42">
        <v>214</v>
      </c>
      <c r="N5" s="43">
        <v>4</v>
      </c>
      <c r="O5" s="93" t="s">
        <v>13</v>
      </c>
      <c r="P5" s="42">
        <v>57</v>
      </c>
      <c r="R5" s="448">
        <v>4</v>
      </c>
      <c r="S5" s="399" t="str">
        <f>Goles!G8</f>
        <v xml:space="preserve">Rodolfo Rinaldo Paso </v>
      </c>
      <c r="T5" s="399">
        <v>75</v>
      </c>
    </row>
    <row r="6" spans="1:21" x14ac:dyDescent="0.25">
      <c r="A6" s="42" t="s">
        <v>26</v>
      </c>
      <c r="B6" t="s">
        <v>1596</v>
      </c>
      <c r="C6" s="477">
        <v>44482</v>
      </c>
      <c r="D6" s="43" t="s">
        <v>1597</v>
      </c>
      <c r="F6" s="43">
        <v>5</v>
      </c>
      <c r="G6" s="93" t="s">
        <v>22</v>
      </c>
      <c r="H6" s="42" t="s">
        <v>23</v>
      </c>
      <c r="J6" s="43">
        <v>5</v>
      </c>
      <c r="K6" s="192" t="s">
        <v>9</v>
      </c>
      <c r="L6" s="42">
        <v>213</v>
      </c>
      <c r="N6" s="43">
        <v>5</v>
      </c>
      <c r="O6" s="93" t="s">
        <v>10</v>
      </c>
      <c r="P6" s="42">
        <v>44</v>
      </c>
      <c r="R6" s="448">
        <v>5</v>
      </c>
      <c r="S6" s="396" t="str">
        <f>Goles!G5</f>
        <v xml:space="preserve">Rasheed Da'na </v>
      </c>
      <c r="T6" s="396">
        <f>Goles!H5</f>
        <v>63</v>
      </c>
    </row>
    <row r="7" spans="1:21" x14ac:dyDescent="0.25">
      <c r="F7" s="43">
        <v>5</v>
      </c>
      <c r="G7" s="93" t="s">
        <v>8</v>
      </c>
      <c r="H7" s="42" t="s">
        <v>23</v>
      </c>
      <c r="J7" s="43">
        <v>6</v>
      </c>
      <c r="K7" s="192" t="s">
        <v>27</v>
      </c>
      <c r="L7" s="42">
        <v>212</v>
      </c>
      <c r="N7" s="43">
        <v>6</v>
      </c>
      <c r="O7" s="93" t="s">
        <v>5</v>
      </c>
      <c r="P7" s="42">
        <v>42</v>
      </c>
      <c r="R7" s="448">
        <v>5</v>
      </c>
      <c r="S7" s="396" t="str">
        <f>Goles!G6</f>
        <v xml:space="preserve">Adam Moss </v>
      </c>
      <c r="T7" s="396">
        <f>Goles!H6</f>
        <v>63</v>
      </c>
    </row>
    <row r="8" spans="1:21" x14ac:dyDescent="0.25">
      <c r="A8" s="94" t="s">
        <v>1</v>
      </c>
      <c r="B8" s="512" t="s">
        <v>31</v>
      </c>
      <c r="C8" s="512"/>
      <c r="F8" s="43">
        <v>7</v>
      </c>
      <c r="G8" s="93" t="s">
        <v>18</v>
      </c>
      <c r="H8" s="42" t="s">
        <v>28</v>
      </c>
      <c r="J8" s="43">
        <v>7</v>
      </c>
      <c r="K8" s="93" t="s">
        <v>7</v>
      </c>
      <c r="L8" s="42">
        <v>175</v>
      </c>
      <c r="N8" s="43">
        <v>7</v>
      </c>
      <c r="O8" s="93" t="s">
        <v>29</v>
      </c>
      <c r="P8" s="42">
        <v>29</v>
      </c>
      <c r="R8" s="448">
        <v>5</v>
      </c>
      <c r="S8" s="396" t="str">
        <f>Goles!G7</f>
        <v xml:space="preserve">Leonardo Baltico </v>
      </c>
      <c r="T8" s="396">
        <f>Goles!H7</f>
        <v>63</v>
      </c>
    </row>
    <row r="9" spans="1:21" x14ac:dyDescent="0.25">
      <c r="A9" s="43">
        <v>1</v>
      </c>
      <c r="B9" s="192" t="s">
        <v>9</v>
      </c>
      <c r="C9" s="42">
        <v>77</v>
      </c>
      <c r="F9" s="43">
        <v>7</v>
      </c>
      <c r="G9" s="192" t="s">
        <v>759</v>
      </c>
      <c r="H9" s="42" t="s">
        <v>28</v>
      </c>
      <c r="J9" s="43">
        <v>8</v>
      </c>
      <c r="K9" s="192" t="s">
        <v>45</v>
      </c>
      <c r="L9" s="42">
        <v>158</v>
      </c>
      <c r="N9" s="43">
        <v>8</v>
      </c>
      <c r="O9" s="93" t="s">
        <v>16</v>
      </c>
      <c r="P9" s="42">
        <v>27</v>
      </c>
      <c r="R9" s="448">
        <v>8</v>
      </c>
      <c r="S9" s="399" t="str">
        <f>Goles!G10</f>
        <v xml:space="preserve">Juan García Peñuela </v>
      </c>
      <c r="T9" s="399">
        <v>53</v>
      </c>
    </row>
    <row r="10" spans="1:21" x14ac:dyDescent="0.25">
      <c r="A10" s="43">
        <v>2</v>
      </c>
      <c r="B10" s="93" t="s">
        <v>7</v>
      </c>
      <c r="C10" s="42">
        <v>71</v>
      </c>
      <c r="F10" s="43">
        <v>9</v>
      </c>
      <c r="G10" s="93" t="s">
        <v>32</v>
      </c>
      <c r="H10" s="42" t="s">
        <v>33</v>
      </c>
      <c r="J10" s="43">
        <v>9</v>
      </c>
      <c r="K10" s="93" t="s">
        <v>12</v>
      </c>
      <c r="L10" s="42">
        <v>155</v>
      </c>
      <c r="N10" s="43">
        <v>9</v>
      </c>
      <c r="O10" s="93" t="s">
        <v>37</v>
      </c>
      <c r="P10" s="42">
        <v>22</v>
      </c>
      <c r="R10" s="448">
        <v>9</v>
      </c>
      <c r="S10" s="396" t="str">
        <f>Goles!G9</f>
        <v xml:space="preserve">Andrin Bärtsch </v>
      </c>
      <c r="T10" s="396">
        <f>Goles!H9</f>
        <v>51</v>
      </c>
    </row>
    <row r="11" spans="1:21" x14ac:dyDescent="0.25">
      <c r="A11" s="43">
        <v>3</v>
      </c>
      <c r="B11" s="93" t="s">
        <v>38</v>
      </c>
      <c r="C11" s="42">
        <v>29</v>
      </c>
      <c r="F11" s="43">
        <v>9</v>
      </c>
      <c r="G11" s="93" t="s">
        <v>730</v>
      </c>
      <c r="H11" s="42" t="s">
        <v>33</v>
      </c>
      <c r="J11" s="43">
        <v>10</v>
      </c>
      <c r="K11" s="192" t="s">
        <v>25</v>
      </c>
      <c r="L11" s="42">
        <v>147</v>
      </c>
      <c r="N11" s="43">
        <v>10</v>
      </c>
      <c r="O11" s="93" t="s">
        <v>40</v>
      </c>
      <c r="P11" s="42">
        <v>20</v>
      </c>
      <c r="R11" s="448">
        <v>10</v>
      </c>
      <c r="S11" s="396" t="str">
        <f>Goles!G11</f>
        <v xml:space="preserve">Gianfranco Rezza </v>
      </c>
      <c r="T11" s="396">
        <f>Goles!H11</f>
        <v>43</v>
      </c>
    </row>
    <row r="12" spans="1:21" x14ac:dyDescent="0.25">
      <c r="A12" s="43">
        <v>4</v>
      </c>
      <c r="B12" s="93" t="s">
        <v>41</v>
      </c>
      <c r="C12" s="42">
        <v>16</v>
      </c>
      <c r="F12" s="43">
        <v>9</v>
      </c>
      <c r="G12" s="264" t="s">
        <v>14</v>
      </c>
      <c r="H12" s="42" t="s">
        <v>33</v>
      </c>
      <c r="J12" s="43">
        <v>11</v>
      </c>
      <c r="K12" s="192" t="s">
        <v>64</v>
      </c>
      <c r="L12" s="42">
        <v>146</v>
      </c>
      <c r="N12" s="43">
        <v>11</v>
      </c>
      <c r="O12" s="93" t="s">
        <v>44</v>
      </c>
      <c r="P12" s="42">
        <v>13</v>
      </c>
      <c r="R12" s="448">
        <v>11</v>
      </c>
      <c r="S12" s="399" t="str">
        <f>Goles!G12</f>
        <v xml:space="preserve">Francesc Añigas </v>
      </c>
      <c r="T12" s="399">
        <v>42</v>
      </c>
    </row>
    <row r="13" spans="1:21" x14ac:dyDescent="0.25">
      <c r="A13" s="43">
        <v>5</v>
      </c>
      <c r="B13" s="192" t="s">
        <v>61</v>
      </c>
      <c r="C13" s="42">
        <v>15</v>
      </c>
      <c r="F13" s="43">
        <v>9</v>
      </c>
      <c r="G13" s="192" t="s">
        <v>9</v>
      </c>
      <c r="H13" s="42" t="s">
        <v>33</v>
      </c>
      <c r="J13" s="43">
        <v>12</v>
      </c>
      <c r="K13" s="93" t="s">
        <v>18</v>
      </c>
      <c r="L13" s="42">
        <v>145</v>
      </c>
      <c r="N13" s="43">
        <v>12</v>
      </c>
      <c r="O13" s="93" t="s">
        <v>47</v>
      </c>
      <c r="P13" s="42">
        <v>12</v>
      </c>
      <c r="R13" s="448">
        <v>12</v>
      </c>
      <c r="S13" s="399" t="str">
        <f>Goles!G15</f>
        <v xml:space="preserve">Valeri Gomis </v>
      </c>
      <c r="T13" s="399">
        <v>39</v>
      </c>
    </row>
    <row r="14" spans="1:21" x14ac:dyDescent="0.25">
      <c r="A14" s="43">
        <v>6</v>
      </c>
      <c r="B14" s="93" t="s">
        <v>48</v>
      </c>
      <c r="C14" s="42">
        <v>12</v>
      </c>
      <c r="F14" s="43">
        <v>13</v>
      </c>
      <c r="G14" s="93" t="s">
        <v>35</v>
      </c>
      <c r="H14" s="42" t="s">
        <v>36</v>
      </c>
      <c r="J14" s="43">
        <v>13</v>
      </c>
      <c r="K14" s="93" t="s">
        <v>22</v>
      </c>
      <c r="L14" s="42">
        <v>144</v>
      </c>
      <c r="N14" s="43">
        <v>12</v>
      </c>
      <c r="O14" s="93" t="s">
        <v>51</v>
      </c>
      <c r="P14" s="42">
        <v>12</v>
      </c>
      <c r="R14" s="448">
        <v>12</v>
      </c>
      <c r="S14" s="396" t="str">
        <f>Goles!G13</f>
        <v xml:space="preserve">Pere Beltran </v>
      </c>
      <c r="T14" s="396">
        <f>Goles!H13</f>
        <v>38</v>
      </c>
    </row>
    <row r="15" spans="1:21" x14ac:dyDescent="0.25">
      <c r="A15" s="43">
        <v>7</v>
      </c>
      <c r="B15" s="93" t="s">
        <v>52</v>
      </c>
      <c r="C15" s="42">
        <v>11</v>
      </c>
      <c r="F15" s="43">
        <v>13</v>
      </c>
      <c r="G15" s="93" t="s">
        <v>39</v>
      </c>
      <c r="H15" s="42" t="s">
        <v>36</v>
      </c>
      <c r="J15" s="43">
        <v>14</v>
      </c>
      <c r="K15" s="93" t="s">
        <v>5</v>
      </c>
      <c r="L15" s="42">
        <v>141</v>
      </c>
      <c r="N15" s="43">
        <v>14</v>
      </c>
      <c r="O15" s="93" t="s">
        <v>54</v>
      </c>
      <c r="P15" s="42">
        <v>11</v>
      </c>
      <c r="R15" s="448">
        <v>14</v>
      </c>
      <c r="S15" s="396" t="str">
        <f>Goles!G18</f>
        <v xml:space="preserve">Julian Gräbitz </v>
      </c>
      <c r="T15" s="396">
        <v>36</v>
      </c>
    </row>
    <row r="16" spans="1:21" x14ac:dyDescent="0.25">
      <c r="A16" s="43">
        <v>7</v>
      </c>
      <c r="B16" s="93" t="s">
        <v>56</v>
      </c>
      <c r="C16" s="42">
        <v>11</v>
      </c>
      <c r="F16" s="43">
        <v>13</v>
      </c>
      <c r="G16" s="93" t="s">
        <v>42</v>
      </c>
      <c r="H16" s="42" t="s">
        <v>36</v>
      </c>
      <c r="J16" s="43">
        <v>15</v>
      </c>
      <c r="K16" s="93" t="s">
        <v>13</v>
      </c>
      <c r="L16" s="42">
        <v>140</v>
      </c>
      <c r="N16" s="43">
        <v>14</v>
      </c>
      <c r="O16" s="93" t="s">
        <v>52</v>
      </c>
      <c r="P16" s="42">
        <v>11</v>
      </c>
      <c r="R16" s="448">
        <v>15</v>
      </c>
      <c r="S16" s="396" t="str">
        <f>Goles!G14</f>
        <v xml:space="preserve">Brunon Chuda </v>
      </c>
      <c r="T16" s="396">
        <f>Goles!H14</f>
        <v>33</v>
      </c>
    </row>
    <row r="17" spans="1:20" x14ac:dyDescent="0.25">
      <c r="A17" s="43">
        <v>8</v>
      </c>
      <c r="B17" s="93" t="s">
        <v>58</v>
      </c>
      <c r="C17" s="42">
        <v>6</v>
      </c>
      <c r="F17" s="43">
        <v>13</v>
      </c>
      <c r="G17" s="93" t="s">
        <v>46</v>
      </c>
      <c r="H17" s="42" t="s">
        <v>36</v>
      </c>
      <c r="J17" s="43">
        <v>16</v>
      </c>
      <c r="K17" s="93" t="s">
        <v>34</v>
      </c>
      <c r="L17" s="42">
        <v>135</v>
      </c>
      <c r="N17" s="43">
        <v>16</v>
      </c>
      <c r="O17" s="93" t="s">
        <v>63</v>
      </c>
      <c r="P17" s="42">
        <v>8</v>
      </c>
      <c r="R17" s="448">
        <v>16</v>
      </c>
      <c r="S17" s="396" t="str">
        <f>Goles!G16</f>
        <v xml:space="preserve">Kendor Nagiturri </v>
      </c>
      <c r="T17" s="396">
        <f>Goles!H16</f>
        <v>30</v>
      </c>
    </row>
    <row r="18" spans="1:20" x14ac:dyDescent="0.25">
      <c r="A18" s="43">
        <v>10</v>
      </c>
      <c r="B18" s="93" t="s">
        <v>65</v>
      </c>
      <c r="C18" s="42">
        <v>4</v>
      </c>
      <c r="F18" s="43">
        <v>13</v>
      </c>
      <c r="G18" s="93" t="s">
        <v>172</v>
      </c>
      <c r="H18" s="42" t="s">
        <v>36</v>
      </c>
      <c r="J18" s="43">
        <v>17</v>
      </c>
      <c r="K18" s="192" t="s">
        <v>675</v>
      </c>
      <c r="L18" s="42">
        <v>128</v>
      </c>
      <c r="N18" s="43">
        <v>16</v>
      </c>
      <c r="O18" s="93" t="s">
        <v>69</v>
      </c>
      <c r="P18" s="42">
        <v>8</v>
      </c>
      <c r="R18" s="448">
        <v>16</v>
      </c>
      <c r="S18" s="396" t="str">
        <f>Goles!G17</f>
        <v xml:space="preserve">Malte Neulinger </v>
      </c>
      <c r="T18" s="396">
        <f>Goles!H17</f>
        <v>30</v>
      </c>
    </row>
    <row r="19" spans="1:20" x14ac:dyDescent="0.25">
      <c r="A19" s="43">
        <v>11</v>
      </c>
      <c r="B19" s="93" t="s">
        <v>71</v>
      </c>
      <c r="C19" s="42">
        <v>3</v>
      </c>
      <c r="F19" s="43">
        <v>13</v>
      </c>
      <c r="G19" s="264" t="s">
        <v>760</v>
      </c>
      <c r="H19" s="42" t="s">
        <v>36</v>
      </c>
      <c r="J19" s="43">
        <v>18</v>
      </c>
      <c r="K19" s="93" t="s">
        <v>35</v>
      </c>
      <c r="L19" s="42">
        <v>111</v>
      </c>
      <c r="N19" s="43">
        <v>16</v>
      </c>
      <c r="O19" s="93" t="s">
        <v>73</v>
      </c>
      <c r="P19" s="42">
        <v>8</v>
      </c>
      <c r="R19" s="448">
        <v>18</v>
      </c>
      <c r="S19" s="399" t="str">
        <f>Goles!G24</f>
        <v xml:space="preserve">Guillermo Pedrajas </v>
      </c>
      <c r="T19" s="399">
        <v>30</v>
      </c>
    </row>
    <row r="20" spans="1:20" x14ac:dyDescent="0.25">
      <c r="A20" s="43">
        <v>12</v>
      </c>
      <c r="B20" s="93" t="s">
        <v>74</v>
      </c>
      <c r="C20" s="42">
        <v>2</v>
      </c>
      <c r="F20" s="43">
        <v>13</v>
      </c>
      <c r="G20" s="192" t="s">
        <v>24</v>
      </c>
      <c r="H20" s="42" t="s">
        <v>36</v>
      </c>
      <c r="J20" s="43">
        <v>19</v>
      </c>
      <c r="K20" s="93" t="s">
        <v>762</v>
      </c>
      <c r="L20" s="42">
        <v>110</v>
      </c>
      <c r="M20" s="42"/>
      <c r="N20" s="43">
        <v>19</v>
      </c>
      <c r="O20" s="93" t="s">
        <v>76</v>
      </c>
      <c r="P20" s="42">
        <v>7</v>
      </c>
      <c r="R20" s="448">
        <v>19</v>
      </c>
      <c r="S20" s="396" t="str">
        <f>Goles!G32</f>
        <v xml:space="preserve">Meraj Siddiqui </v>
      </c>
      <c r="T20" s="396">
        <v>29</v>
      </c>
    </row>
    <row r="21" spans="1:20" x14ac:dyDescent="0.25">
      <c r="A21" s="43">
        <v>12</v>
      </c>
      <c r="B21" s="93" t="s">
        <v>77</v>
      </c>
      <c r="C21" s="42">
        <v>2</v>
      </c>
      <c r="F21" s="43">
        <v>20</v>
      </c>
      <c r="G21" s="93" t="s">
        <v>49</v>
      </c>
      <c r="H21" s="42" t="s">
        <v>50</v>
      </c>
      <c r="J21" s="43">
        <v>20</v>
      </c>
      <c r="K21" s="93" t="s">
        <v>43</v>
      </c>
      <c r="L21" s="42">
        <v>105</v>
      </c>
      <c r="N21" s="43">
        <v>19</v>
      </c>
      <c r="O21" s="93" t="s">
        <v>80</v>
      </c>
      <c r="P21" s="42">
        <v>7</v>
      </c>
      <c r="R21" s="448">
        <v>20</v>
      </c>
      <c r="S21" s="396" t="str">
        <f>Goles!G19</f>
        <v xml:space="preserve">Joãozinho do Mato </v>
      </c>
      <c r="T21" s="396">
        <f>Goles!H19</f>
        <v>27</v>
      </c>
    </row>
    <row r="22" spans="1:20" x14ac:dyDescent="0.25">
      <c r="A22" s="43">
        <v>14</v>
      </c>
      <c r="B22" s="93" t="s">
        <v>81</v>
      </c>
      <c r="C22" s="42">
        <v>1</v>
      </c>
      <c r="F22" s="43">
        <v>20</v>
      </c>
      <c r="G22" s="93" t="s">
        <v>53</v>
      </c>
      <c r="H22" s="42" t="s">
        <v>50</v>
      </c>
      <c r="J22" s="43">
        <v>21</v>
      </c>
      <c r="K22" s="93" t="s">
        <v>761</v>
      </c>
      <c r="L22" s="42">
        <v>102</v>
      </c>
      <c r="N22" s="43">
        <v>19</v>
      </c>
      <c r="O22" s="93" t="s">
        <v>55</v>
      </c>
      <c r="P22" s="42">
        <v>7</v>
      </c>
      <c r="R22" s="448">
        <v>21</v>
      </c>
      <c r="S22" s="396" t="str">
        <f>Goles!G20</f>
        <v xml:space="preserve">Nikolay Gerasimenko </v>
      </c>
      <c r="T22" s="396">
        <f>Goles!H20</f>
        <v>24</v>
      </c>
    </row>
    <row r="23" spans="1:20" x14ac:dyDescent="0.25">
      <c r="A23" s="43">
        <v>14</v>
      </c>
      <c r="B23" s="93" t="s">
        <v>83</v>
      </c>
      <c r="C23" s="42">
        <v>1</v>
      </c>
      <c r="F23" s="43">
        <v>20</v>
      </c>
      <c r="G23" s="93" t="s">
        <v>57</v>
      </c>
      <c r="H23" s="42" t="s">
        <v>50</v>
      </c>
      <c r="J23" s="43">
        <v>22</v>
      </c>
      <c r="K23" s="93" t="s">
        <v>38</v>
      </c>
      <c r="L23" s="42">
        <v>93</v>
      </c>
      <c r="N23" s="43">
        <v>22</v>
      </c>
      <c r="O23" s="93" t="s">
        <v>85</v>
      </c>
      <c r="P23" s="42">
        <v>6</v>
      </c>
      <c r="R23" s="448">
        <v>21</v>
      </c>
      <c r="S23" s="396" t="str">
        <f>Goles!G21</f>
        <v xml:space="preserve">Aimar Lasalde </v>
      </c>
      <c r="T23" s="396">
        <f>Goles!H21</f>
        <v>24</v>
      </c>
    </row>
    <row r="24" spans="1:20" x14ac:dyDescent="0.25">
      <c r="A24" s="43">
        <v>14</v>
      </c>
      <c r="B24" s="93" t="s">
        <v>86</v>
      </c>
      <c r="C24" s="42">
        <v>1</v>
      </c>
      <c r="F24" s="43">
        <v>20</v>
      </c>
      <c r="G24" s="93" t="s">
        <v>59</v>
      </c>
      <c r="H24" s="42" t="s">
        <v>50</v>
      </c>
      <c r="J24" s="43">
        <v>23</v>
      </c>
      <c r="K24" s="192" t="s">
        <v>60</v>
      </c>
      <c r="L24" s="42">
        <v>92</v>
      </c>
      <c r="N24" s="43">
        <v>22</v>
      </c>
      <c r="O24" s="93" t="s">
        <v>87</v>
      </c>
      <c r="P24" s="42">
        <v>6</v>
      </c>
      <c r="R24" s="448">
        <v>21</v>
      </c>
      <c r="S24" s="396" t="str">
        <f>Goles!G22</f>
        <v xml:space="preserve">Leo Hilpinen </v>
      </c>
      <c r="T24" s="396">
        <f>Goles!H22</f>
        <v>24</v>
      </c>
    </row>
    <row r="25" spans="1:20" x14ac:dyDescent="0.25">
      <c r="A25" s="43">
        <v>14</v>
      </c>
      <c r="B25" s="93" t="s">
        <v>88</v>
      </c>
      <c r="C25" s="42">
        <v>1</v>
      </c>
      <c r="F25" s="43">
        <v>20</v>
      </c>
      <c r="G25" s="93" t="s">
        <v>7</v>
      </c>
      <c r="H25" s="42" t="s">
        <v>50</v>
      </c>
      <c r="J25" s="43">
        <v>24</v>
      </c>
      <c r="K25" s="93" t="s">
        <v>70</v>
      </c>
      <c r="L25" s="42">
        <v>84</v>
      </c>
      <c r="N25" s="43">
        <v>22</v>
      </c>
      <c r="O25" s="93" t="s">
        <v>34</v>
      </c>
      <c r="P25" s="42">
        <v>6</v>
      </c>
      <c r="R25" s="448">
        <v>21</v>
      </c>
      <c r="S25" s="396" t="str">
        <f>Goles!G23</f>
        <v xml:space="preserve">David Garcia-Spiess </v>
      </c>
      <c r="T25" s="396">
        <f>Goles!H23</f>
        <v>24</v>
      </c>
    </row>
    <row r="26" spans="1:20" x14ac:dyDescent="0.25">
      <c r="A26" s="43">
        <v>14</v>
      </c>
      <c r="B26" s="93" t="s">
        <v>89</v>
      </c>
      <c r="C26" s="42">
        <v>1</v>
      </c>
      <c r="F26" s="43">
        <v>20</v>
      </c>
      <c r="G26" s="93" t="s">
        <v>173</v>
      </c>
      <c r="H26" s="42" t="s">
        <v>50</v>
      </c>
      <c r="J26" s="43">
        <v>25</v>
      </c>
      <c r="K26" s="93" t="s">
        <v>62</v>
      </c>
      <c r="L26" s="42">
        <v>83</v>
      </c>
      <c r="R26" s="448">
        <v>25</v>
      </c>
      <c r="S26" s="396" t="str">
        <f>Goles!G25</f>
        <v xml:space="preserve">Nikolas Lakkotripi </v>
      </c>
      <c r="T26" s="396">
        <f>Goles!H25</f>
        <v>22</v>
      </c>
    </row>
    <row r="27" spans="1:20" x14ac:dyDescent="0.25">
      <c r="A27" s="43">
        <v>14</v>
      </c>
      <c r="B27" s="93" t="s">
        <v>91</v>
      </c>
      <c r="C27" s="42">
        <v>1</v>
      </c>
      <c r="F27" s="43">
        <v>20</v>
      </c>
      <c r="G27" s="192" t="s">
        <v>25</v>
      </c>
      <c r="H27" s="42" t="s">
        <v>50</v>
      </c>
      <c r="J27" s="43">
        <v>26</v>
      </c>
      <c r="K27" s="93" t="s">
        <v>68</v>
      </c>
      <c r="L27" s="42">
        <v>78</v>
      </c>
      <c r="R27" s="448">
        <v>25</v>
      </c>
      <c r="S27" s="396" t="str">
        <f>Goles!G26</f>
        <v xml:space="preserve">Tommaso Niscola </v>
      </c>
      <c r="T27" s="396">
        <f>Goles!H26</f>
        <v>22</v>
      </c>
    </row>
    <row r="28" spans="1:20" x14ac:dyDescent="0.25">
      <c r="A28" s="43">
        <v>14</v>
      </c>
      <c r="B28" s="93" t="s">
        <v>94</v>
      </c>
      <c r="C28" s="42">
        <v>1</v>
      </c>
      <c r="F28" s="43">
        <v>20</v>
      </c>
      <c r="G28" s="192" t="s">
        <v>30</v>
      </c>
      <c r="H28" s="42" t="s">
        <v>50</v>
      </c>
      <c r="J28" s="43">
        <v>27</v>
      </c>
      <c r="K28" s="93" t="s">
        <v>57</v>
      </c>
      <c r="L28" s="42">
        <v>67</v>
      </c>
      <c r="R28" s="448">
        <v>25</v>
      </c>
      <c r="S28" s="396" t="str">
        <f>Goles!G27</f>
        <v xml:space="preserve">Roelant Bierman </v>
      </c>
      <c r="T28" s="396">
        <f>Goles!H27</f>
        <v>22</v>
      </c>
    </row>
    <row r="29" spans="1:20" x14ac:dyDescent="0.25">
      <c r="A29" s="43">
        <v>14</v>
      </c>
      <c r="B29" s="93" t="s">
        <v>96</v>
      </c>
      <c r="C29" s="42">
        <v>1</v>
      </c>
      <c r="F29" s="43">
        <v>20</v>
      </c>
      <c r="G29" s="192" t="s">
        <v>20</v>
      </c>
      <c r="H29" s="42" t="s">
        <v>50</v>
      </c>
      <c r="J29" s="43">
        <v>28</v>
      </c>
      <c r="K29" s="93" t="s">
        <v>8</v>
      </c>
      <c r="L29" s="42">
        <v>64</v>
      </c>
      <c r="R29" s="448">
        <v>25</v>
      </c>
      <c r="S29" s="396" t="str">
        <f>Goles!G28</f>
        <v xml:space="preserve">Adamantios Fikias </v>
      </c>
      <c r="T29" s="396">
        <f>Goles!H28</f>
        <v>22</v>
      </c>
    </row>
    <row r="30" spans="1:20" x14ac:dyDescent="0.25">
      <c r="A30" s="43">
        <v>14</v>
      </c>
      <c r="B30" s="93" t="s">
        <v>98</v>
      </c>
      <c r="C30" s="42">
        <v>1</v>
      </c>
      <c r="F30" s="43">
        <v>20</v>
      </c>
      <c r="G30" s="192" t="s">
        <v>45</v>
      </c>
      <c r="H30" s="42" t="s">
        <v>50</v>
      </c>
      <c r="J30" s="43">
        <v>29</v>
      </c>
      <c r="K30" s="93" t="s">
        <v>79</v>
      </c>
      <c r="L30" s="42">
        <v>60</v>
      </c>
      <c r="R30" s="448">
        <v>29</v>
      </c>
      <c r="S30" s="396" t="str">
        <f>Goles!G29</f>
        <v xml:space="preserve">Ludwik Mojescik </v>
      </c>
      <c r="T30" s="396">
        <f>Goles!H29</f>
        <v>21</v>
      </c>
    </row>
    <row r="31" spans="1:20" x14ac:dyDescent="0.25">
      <c r="A31" s="43">
        <v>14</v>
      </c>
      <c r="B31" s="93" t="s">
        <v>101</v>
      </c>
      <c r="C31" s="42">
        <v>1</v>
      </c>
      <c r="F31" s="43">
        <v>20</v>
      </c>
      <c r="G31" s="192" t="s">
        <v>27</v>
      </c>
      <c r="H31" s="42" t="s">
        <v>50</v>
      </c>
      <c r="J31" s="43">
        <v>29</v>
      </c>
      <c r="K31" s="93" t="s">
        <v>59</v>
      </c>
      <c r="L31" s="42">
        <v>60</v>
      </c>
      <c r="R31" s="448">
        <v>30</v>
      </c>
      <c r="S31" s="399" t="str">
        <f>Goles!G34</f>
        <v xml:space="preserve">Berto Abandero </v>
      </c>
      <c r="T31" s="399">
        <v>20</v>
      </c>
    </row>
    <row r="32" spans="1:20" x14ac:dyDescent="0.25">
      <c r="A32" s="43">
        <v>14</v>
      </c>
      <c r="B32" s="93" t="s">
        <v>103</v>
      </c>
      <c r="C32" s="42">
        <v>1</v>
      </c>
      <c r="F32" s="43">
        <v>20</v>
      </c>
      <c r="G32" s="192" t="s">
        <v>1587</v>
      </c>
      <c r="H32" s="42" t="s">
        <v>50</v>
      </c>
      <c r="J32" s="43">
        <v>31</v>
      </c>
      <c r="K32" s="93" t="s">
        <v>730</v>
      </c>
      <c r="L32" s="42">
        <v>59</v>
      </c>
      <c r="R32" s="448">
        <v>31</v>
      </c>
      <c r="S32" s="396" t="str">
        <f>Goles!G30</f>
        <v xml:space="preserve">Renato Galeano </v>
      </c>
      <c r="T32" s="396">
        <f>Goles!H30</f>
        <v>19</v>
      </c>
    </row>
    <row r="33" spans="6:20" x14ac:dyDescent="0.25">
      <c r="F33" s="43">
        <v>32</v>
      </c>
      <c r="G33" s="93" t="s">
        <v>66</v>
      </c>
      <c r="H33" s="42" t="s">
        <v>67</v>
      </c>
      <c r="J33" s="43">
        <v>32</v>
      </c>
      <c r="K33" s="93" t="s">
        <v>84</v>
      </c>
      <c r="L33" s="42">
        <v>58</v>
      </c>
      <c r="R33" s="448">
        <v>31</v>
      </c>
      <c r="S33" s="396" t="str">
        <f>Goles!G31</f>
        <v xml:space="preserve">Cornel Boicea </v>
      </c>
      <c r="T33" s="396">
        <f>Goles!H31</f>
        <v>19</v>
      </c>
    </row>
    <row r="34" spans="6:20" x14ac:dyDescent="0.25">
      <c r="F34" s="43">
        <v>32</v>
      </c>
      <c r="G34" s="93" t="s">
        <v>72</v>
      </c>
      <c r="H34" s="42" t="s">
        <v>67</v>
      </c>
      <c r="J34" s="43">
        <v>33</v>
      </c>
      <c r="K34" s="93" t="s">
        <v>37</v>
      </c>
      <c r="L34" s="42">
        <v>57</v>
      </c>
      <c r="R34" s="448">
        <v>33</v>
      </c>
      <c r="S34" s="396" t="str">
        <f>Goles!G33</f>
        <v xml:space="preserve">Pepijn Zwaan </v>
      </c>
      <c r="T34" s="396">
        <f>Goles!H33</f>
        <v>18</v>
      </c>
    </row>
    <row r="35" spans="6:20" x14ac:dyDescent="0.25">
      <c r="F35" s="43">
        <v>32</v>
      </c>
      <c r="G35" s="93" t="s">
        <v>75</v>
      </c>
      <c r="H35" s="42" t="s">
        <v>67</v>
      </c>
      <c r="J35" s="43">
        <v>33</v>
      </c>
      <c r="K35" s="93" t="s">
        <v>10</v>
      </c>
      <c r="L35" s="42">
        <v>57</v>
      </c>
      <c r="R35" s="448">
        <v>33</v>
      </c>
      <c r="S35" s="396" t="str">
        <f>Goles!G35</f>
        <v xml:space="preserve">Pasqual Vilar </v>
      </c>
      <c r="T35" s="396">
        <f>Goles!H35</f>
        <v>18</v>
      </c>
    </row>
    <row r="36" spans="6:20" x14ac:dyDescent="0.25">
      <c r="F36" s="43">
        <v>32</v>
      </c>
      <c r="G36" s="93" t="s">
        <v>78</v>
      </c>
      <c r="H36" s="42" t="s">
        <v>67</v>
      </c>
      <c r="J36" s="43">
        <v>35</v>
      </c>
      <c r="K36" s="93" t="s">
        <v>93</v>
      </c>
      <c r="L36" s="42">
        <v>56</v>
      </c>
      <c r="R36" s="448">
        <v>35</v>
      </c>
      <c r="S36" s="399" t="str">
        <f>Goles!G60</f>
        <v xml:space="preserve">Nicolás Galaz </v>
      </c>
      <c r="T36" s="399">
        <v>18</v>
      </c>
    </row>
    <row r="37" spans="6:20" x14ac:dyDescent="0.25">
      <c r="F37" s="43">
        <v>32</v>
      </c>
      <c r="G37" s="93" t="s">
        <v>82</v>
      </c>
      <c r="H37" s="42" t="s">
        <v>67</v>
      </c>
      <c r="J37" s="43">
        <v>35</v>
      </c>
      <c r="K37" s="93" t="s">
        <v>72</v>
      </c>
      <c r="L37" s="42">
        <v>56</v>
      </c>
      <c r="R37" s="448">
        <v>35</v>
      </c>
      <c r="S37" s="396" t="str">
        <f>Goles!G36</f>
        <v xml:space="preserve">Jos Pittoors </v>
      </c>
      <c r="T37" s="396">
        <f>Goles!H36</f>
        <v>17</v>
      </c>
    </row>
    <row r="38" spans="6:20" x14ac:dyDescent="0.25">
      <c r="F38" s="43">
        <v>32</v>
      </c>
      <c r="G38" s="93" t="s">
        <v>62</v>
      </c>
      <c r="H38" s="42" t="s">
        <v>67</v>
      </c>
      <c r="J38" s="43">
        <v>35</v>
      </c>
      <c r="K38" s="264" t="s">
        <v>760</v>
      </c>
      <c r="L38" s="42">
        <v>56</v>
      </c>
      <c r="R38" s="448">
        <v>35</v>
      </c>
      <c r="S38" s="396" t="str">
        <f>Goles!G37</f>
        <v xml:space="preserve">Emilio Rojas </v>
      </c>
      <c r="T38" s="396">
        <f>Goles!H37</f>
        <v>17</v>
      </c>
    </row>
    <row r="39" spans="6:20" x14ac:dyDescent="0.25">
      <c r="F39" s="43">
        <v>32</v>
      </c>
      <c r="G39" s="93" t="s">
        <v>68</v>
      </c>
      <c r="H39" s="42" t="s">
        <v>67</v>
      </c>
      <c r="J39" s="43">
        <v>38</v>
      </c>
      <c r="K39" s="93" t="s">
        <v>32</v>
      </c>
      <c r="L39" s="42">
        <v>54</v>
      </c>
      <c r="R39" s="448">
        <v>38</v>
      </c>
      <c r="S39" s="396" t="str">
        <f>Goles!G38</f>
        <v xml:space="preserve">Manolo Negrín </v>
      </c>
      <c r="T39" s="396">
        <f>Goles!H38</f>
        <v>17</v>
      </c>
    </row>
    <row r="40" spans="6:20" x14ac:dyDescent="0.25">
      <c r="F40" s="43">
        <v>32</v>
      </c>
      <c r="G40" s="93" t="s">
        <v>79</v>
      </c>
      <c r="H40" s="42" t="s">
        <v>67</v>
      </c>
      <c r="J40" s="43">
        <v>38</v>
      </c>
      <c r="K40" s="192" t="s">
        <v>61</v>
      </c>
      <c r="L40" s="42">
        <v>54</v>
      </c>
      <c r="R40" s="448">
        <v>38</v>
      </c>
      <c r="S40" s="399" t="str">
        <f>Goles!G45</f>
        <v xml:space="preserve">Venanci Oset </v>
      </c>
      <c r="T40" s="399">
        <v>16</v>
      </c>
    </row>
    <row r="41" spans="6:20" x14ac:dyDescent="0.25">
      <c r="F41" s="43">
        <v>32</v>
      </c>
      <c r="G41" s="93" t="s">
        <v>90</v>
      </c>
      <c r="H41" s="42" t="s">
        <v>67</v>
      </c>
      <c r="J41" s="43">
        <v>40</v>
      </c>
      <c r="K41" s="54" t="s">
        <v>100</v>
      </c>
      <c r="L41" s="42">
        <v>52</v>
      </c>
      <c r="R41" s="448">
        <v>38</v>
      </c>
      <c r="S41" s="396" t="str">
        <f>Goles!G39</f>
        <v xml:space="preserve">Melcior Calmet </v>
      </c>
      <c r="T41" s="396">
        <f>Goles!H39</f>
        <v>16</v>
      </c>
    </row>
    <row r="42" spans="6:20" x14ac:dyDescent="0.25">
      <c r="F42" s="43">
        <v>32</v>
      </c>
      <c r="G42" s="93" t="s">
        <v>92</v>
      </c>
      <c r="H42" s="42" t="s">
        <v>67</v>
      </c>
      <c r="J42" s="43">
        <v>41</v>
      </c>
      <c r="K42" s="93" t="s">
        <v>95</v>
      </c>
      <c r="L42" s="42">
        <v>51</v>
      </c>
      <c r="R42" s="448">
        <v>38</v>
      </c>
      <c r="S42" s="396" t="str">
        <f>Goles!G40</f>
        <v xml:space="preserve">Ragip Övgü </v>
      </c>
      <c r="T42" s="396">
        <f>Goles!H40</f>
        <v>16</v>
      </c>
    </row>
    <row r="43" spans="6:20" x14ac:dyDescent="0.25">
      <c r="F43" s="43">
        <v>32</v>
      </c>
      <c r="G43" s="93" t="s">
        <v>95</v>
      </c>
      <c r="H43" s="42" t="s">
        <v>67</v>
      </c>
      <c r="J43" s="42">
        <v>41</v>
      </c>
      <c r="K43" s="93" t="s">
        <v>73</v>
      </c>
      <c r="L43" s="42">
        <v>51</v>
      </c>
      <c r="R43" s="448">
        <v>42</v>
      </c>
      <c r="S43" s="396" t="str">
        <f>Goles!G41</f>
        <v xml:space="preserve">Co Wolbers </v>
      </c>
      <c r="T43" s="396">
        <f>Goles!H41</f>
        <v>15</v>
      </c>
    </row>
    <row r="44" spans="6:20" x14ac:dyDescent="0.25">
      <c r="F44" s="43">
        <v>32</v>
      </c>
      <c r="G44" s="93" t="s">
        <v>97</v>
      </c>
      <c r="H44" s="42" t="s">
        <v>67</v>
      </c>
      <c r="R44" s="448">
        <v>43</v>
      </c>
      <c r="S44" s="396" t="str">
        <f>Goles!G42</f>
        <v xml:space="preserve">John Chung </v>
      </c>
      <c r="T44" s="396">
        <f>Goles!H42</f>
        <v>14</v>
      </c>
    </row>
    <row r="45" spans="6:20" x14ac:dyDescent="0.25">
      <c r="F45" s="43">
        <v>32</v>
      </c>
      <c r="G45" s="93" t="s">
        <v>99</v>
      </c>
      <c r="H45" s="42" t="s">
        <v>67</v>
      </c>
      <c r="R45" s="448">
        <v>43</v>
      </c>
      <c r="S45" s="396" t="str">
        <f>Goles!G43</f>
        <v xml:space="preserve">Arnold Kalckstein </v>
      </c>
      <c r="T45" s="396">
        <f>Goles!H43</f>
        <v>14</v>
      </c>
    </row>
    <row r="46" spans="6:20" x14ac:dyDescent="0.25">
      <c r="F46" s="43">
        <v>32</v>
      </c>
      <c r="G46" s="93" t="s">
        <v>102</v>
      </c>
      <c r="H46" s="42" t="s">
        <v>67</v>
      </c>
      <c r="R46" s="448">
        <v>45</v>
      </c>
      <c r="S46" s="399" t="str">
        <f>Goles!G44</f>
        <v xml:space="preserve">Iván Real Figueroa </v>
      </c>
      <c r="T46" s="399">
        <f>Goles!H44</f>
        <v>13</v>
      </c>
    </row>
    <row r="47" spans="6:20" x14ac:dyDescent="0.25">
      <c r="F47" s="43">
        <v>32</v>
      </c>
      <c r="G47" s="93" t="s">
        <v>676</v>
      </c>
      <c r="H47" s="42" t="s">
        <v>67</v>
      </c>
      <c r="R47" s="448">
        <v>45</v>
      </c>
      <c r="S47" s="396" t="str">
        <f>Goles!G46</f>
        <v xml:space="preserve">Ibiur Altxakoa </v>
      </c>
      <c r="T47" s="396">
        <f>Goles!H46</f>
        <v>13</v>
      </c>
    </row>
    <row r="48" spans="6:20" x14ac:dyDescent="0.25">
      <c r="F48" s="43">
        <v>32</v>
      </c>
      <c r="G48" s="93" t="s">
        <v>19</v>
      </c>
      <c r="H48" s="42" t="s">
        <v>67</v>
      </c>
      <c r="R48" s="448">
        <v>45</v>
      </c>
      <c r="S48" s="396" t="str">
        <f>Goles!G47</f>
        <v xml:space="preserve">Ellák Deák </v>
      </c>
      <c r="T48" s="396">
        <f>Goles!H47</f>
        <v>13</v>
      </c>
    </row>
    <row r="49" spans="6:20" x14ac:dyDescent="0.25">
      <c r="F49" s="43">
        <v>32</v>
      </c>
      <c r="G49" s="93" t="s">
        <v>761</v>
      </c>
      <c r="H49" s="42" t="s">
        <v>67</v>
      </c>
      <c r="R49" s="448">
        <v>48</v>
      </c>
      <c r="S49" s="396" t="str">
        <f>Goles!G48</f>
        <v xml:space="preserve">Gregor Freischläger </v>
      </c>
      <c r="T49" s="396">
        <f>Goles!H48</f>
        <v>12</v>
      </c>
    </row>
    <row r="50" spans="6:20" x14ac:dyDescent="0.25">
      <c r="R50" s="448">
        <v>48</v>
      </c>
      <c r="S50" s="396" t="str">
        <f>Goles!G49</f>
        <v xml:space="preserve">Roberto Abenoza </v>
      </c>
      <c r="T50" s="396">
        <f>Goles!H49</f>
        <v>12</v>
      </c>
    </row>
    <row r="51" spans="6:20" x14ac:dyDescent="0.25">
      <c r="R51" s="448">
        <v>48</v>
      </c>
      <c r="S51" s="396" t="str">
        <f>Goles!G50</f>
        <v xml:space="preserve">Stanislaw Zdankiewicz </v>
      </c>
      <c r="T51" s="396">
        <f>Goles!H50</f>
        <v>12</v>
      </c>
    </row>
    <row r="52" spans="6:20" x14ac:dyDescent="0.25">
      <c r="R52" s="448">
        <v>48</v>
      </c>
      <c r="S52" s="396" t="str">
        <f>Goles!G51</f>
        <v xml:space="preserve">Miklós Gábriel </v>
      </c>
      <c r="T52" s="396">
        <f>Goles!H51</f>
        <v>12</v>
      </c>
    </row>
    <row r="53" spans="6:20" x14ac:dyDescent="0.25">
      <c r="R53" s="448">
        <v>52</v>
      </c>
      <c r="S53" s="396" t="str">
        <f>Goles!G52</f>
        <v xml:space="preserve">Raffaele Sitter </v>
      </c>
      <c r="T53" s="396">
        <f>Goles!H52</f>
        <v>11</v>
      </c>
    </row>
    <row r="54" spans="6:20" x14ac:dyDescent="0.25">
      <c r="R54" s="448">
        <v>52</v>
      </c>
      <c r="S54" s="396" t="str">
        <f>Goles!G53</f>
        <v xml:space="preserve">Gino van Hoesel </v>
      </c>
      <c r="T54" s="396">
        <f>Goles!H53</f>
        <v>11</v>
      </c>
    </row>
    <row r="55" spans="6:20" x14ac:dyDescent="0.25">
      <c r="R55" s="448">
        <v>52</v>
      </c>
      <c r="S55" s="396" t="str">
        <f>Goles!G54</f>
        <v xml:space="preserve">Ricardo Esquerdo </v>
      </c>
      <c r="T55" s="396">
        <f>Goles!H54</f>
        <v>11</v>
      </c>
    </row>
    <row r="56" spans="6:20" x14ac:dyDescent="0.25">
      <c r="R56" s="448">
        <v>52</v>
      </c>
      <c r="S56" s="396" t="str">
        <f>Goles!G55</f>
        <v xml:space="preserve">Horacy Dzienis </v>
      </c>
      <c r="T56" s="396">
        <f>Goles!H55</f>
        <v>11</v>
      </c>
    </row>
    <row r="57" spans="6:20" x14ac:dyDescent="0.25">
      <c r="R57" s="448">
        <v>52</v>
      </c>
      <c r="S57" s="399" t="str">
        <f>Goles!G74</f>
        <v xml:space="preserve">Leandro Faias </v>
      </c>
      <c r="T57" s="399">
        <v>11</v>
      </c>
    </row>
    <row r="58" spans="6:20" x14ac:dyDescent="0.25">
      <c r="R58" s="448">
        <v>57</v>
      </c>
      <c r="S58" s="396" t="str">
        <f>Goles!G56</f>
        <v xml:space="preserve">Erik Lemming </v>
      </c>
      <c r="T58" s="396">
        <f>Goles!H56</f>
        <v>10</v>
      </c>
    </row>
    <row r="59" spans="6:20" x14ac:dyDescent="0.25">
      <c r="R59" s="448">
        <v>57</v>
      </c>
      <c r="S59" s="396" t="str">
        <f>Goles!G57</f>
        <v xml:space="preserve">Nicolau Caraduxe </v>
      </c>
      <c r="T59" s="396">
        <f>Goles!H57</f>
        <v>10</v>
      </c>
    </row>
    <row r="60" spans="6:20" x14ac:dyDescent="0.25">
      <c r="R60" s="448">
        <v>57</v>
      </c>
      <c r="S60" s="396" t="str">
        <f>Goles!G58</f>
        <v xml:space="preserve">Lars Pouilliers </v>
      </c>
      <c r="T60" s="396">
        <f>Goles!H58</f>
        <v>10</v>
      </c>
    </row>
    <row r="61" spans="6:20" x14ac:dyDescent="0.25">
      <c r="R61" s="448">
        <v>57</v>
      </c>
      <c r="S61" s="396" t="str">
        <f>Goles!G59</f>
        <v xml:space="preserve">Antoine Dupré </v>
      </c>
      <c r="T61" s="396">
        <f>Goles!H59</f>
        <v>10</v>
      </c>
    </row>
    <row r="62" spans="6:20" x14ac:dyDescent="0.25">
      <c r="R62" s="448">
        <v>61</v>
      </c>
      <c r="S62" s="396" t="str">
        <f>Goles!G61</f>
        <v xml:space="preserve">Morgan Thomas </v>
      </c>
      <c r="T62" s="396">
        <f>Goles!H61</f>
        <v>9</v>
      </c>
    </row>
    <row r="63" spans="6:20" x14ac:dyDescent="0.25">
      <c r="R63" s="448">
        <v>61</v>
      </c>
      <c r="S63" s="396" t="str">
        <f>Goles!G62</f>
        <v xml:space="preserve">Michele Giampieri </v>
      </c>
      <c r="T63" s="396">
        <f>Goles!H62</f>
        <v>9</v>
      </c>
    </row>
    <row r="64" spans="6:20" x14ac:dyDescent="0.25">
      <c r="R64" s="448">
        <v>61</v>
      </c>
      <c r="S64" s="396" t="str">
        <f>Goles!G63</f>
        <v xml:space="preserve">Arjo Olthuis </v>
      </c>
      <c r="T64" s="396">
        <f>Goles!H63</f>
        <v>9</v>
      </c>
    </row>
    <row r="65" spans="18:20" x14ac:dyDescent="0.25">
      <c r="R65" s="448">
        <v>61</v>
      </c>
      <c r="S65" s="396" t="str">
        <f>Goles!G64</f>
        <v xml:space="preserve">Giulio Procaccianti </v>
      </c>
      <c r="T65" s="396">
        <f>Goles!H64</f>
        <v>9</v>
      </c>
    </row>
    <row r="66" spans="18:20" x14ac:dyDescent="0.25">
      <c r="R66" s="448">
        <v>65</v>
      </c>
      <c r="S66" s="396" t="str">
        <f>Goles!G65</f>
        <v xml:space="preserve">Patrick Werner </v>
      </c>
      <c r="T66" s="396">
        <f>Goles!H65</f>
        <v>8</v>
      </c>
    </row>
    <row r="67" spans="18:20" x14ac:dyDescent="0.25">
      <c r="R67" s="448">
        <v>65</v>
      </c>
      <c r="S67" s="396" t="str">
        <f>Goles!G66</f>
        <v xml:space="preserve">Augustin Demaison </v>
      </c>
      <c r="T67" s="396">
        <f>Goles!H66</f>
        <v>8</v>
      </c>
    </row>
    <row r="68" spans="18:20" x14ac:dyDescent="0.25">
      <c r="R68" s="448">
        <v>65</v>
      </c>
      <c r="S68" s="396" t="str">
        <f>Goles!G67</f>
        <v xml:space="preserve">Miguel Fernández </v>
      </c>
      <c r="T68" s="396">
        <f>Goles!H67</f>
        <v>8</v>
      </c>
    </row>
    <row r="69" spans="18:20" x14ac:dyDescent="0.25">
      <c r="R69" s="448">
        <v>65</v>
      </c>
      <c r="S69" s="396" t="str">
        <f>Goles!G68</f>
        <v xml:space="preserve">Mario Omarini </v>
      </c>
      <c r="T69" s="396">
        <f>Goles!H68</f>
        <v>8</v>
      </c>
    </row>
    <row r="70" spans="18:20" x14ac:dyDescent="0.25">
      <c r="R70" s="448">
        <v>65</v>
      </c>
      <c r="S70" s="396" t="str">
        <f>Goles!G69</f>
        <v xml:space="preserve">Feliciano Becerril </v>
      </c>
      <c r="T70" s="396">
        <f>Goles!H69</f>
        <v>8</v>
      </c>
    </row>
    <row r="71" spans="18:20" x14ac:dyDescent="0.25">
      <c r="R71" s="448">
        <v>70</v>
      </c>
      <c r="S71" s="396" t="str">
        <f>Goles!G70</f>
        <v xml:space="preserve">Relf Härteis </v>
      </c>
      <c r="T71" s="396">
        <f>Goles!H70</f>
        <v>7</v>
      </c>
    </row>
    <row r="72" spans="18:20" x14ac:dyDescent="0.25">
      <c r="R72" s="448">
        <v>70</v>
      </c>
      <c r="S72" s="396" t="str">
        <f>Goles!G71</f>
        <v xml:space="preserve">Fere Pulido </v>
      </c>
      <c r="T72" s="396">
        <f>Goles!H71</f>
        <v>7</v>
      </c>
    </row>
    <row r="73" spans="18:20" x14ac:dyDescent="0.25">
      <c r="R73" s="448">
        <v>70</v>
      </c>
      <c r="S73" s="396" t="str">
        <f>Goles!G72</f>
        <v xml:space="preserve">Gongotzon Ialdebere </v>
      </c>
      <c r="T73" s="396">
        <f>Goles!H72</f>
        <v>7</v>
      </c>
    </row>
    <row r="74" spans="18:20" x14ac:dyDescent="0.25">
      <c r="R74" s="448">
        <v>70</v>
      </c>
      <c r="S74" s="396" t="str">
        <f>Goles!G73</f>
        <v xml:space="preserve">Markus Currie </v>
      </c>
      <c r="T74" s="396">
        <f>Goles!H73</f>
        <v>7</v>
      </c>
    </row>
    <row r="75" spans="18:20" x14ac:dyDescent="0.25">
      <c r="R75" s="448">
        <v>70</v>
      </c>
      <c r="S75" s="396" t="str">
        <f>Goles!G75</f>
        <v xml:space="preserve">Iuliu Pana </v>
      </c>
      <c r="T75" s="396">
        <f>Goles!H75</f>
        <v>7</v>
      </c>
    </row>
    <row r="76" spans="18:20" x14ac:dyDescent="0.25">
      <c r="R76" s="448">
        <v>70</v>
      </c>
      <c r="S76" s="396" t="str">
        <f>Goles!G76</f>
        <v xml:space="preserve">Károly Serfel </v>
      </c>
      <c r="T76" s="396">
        <f>Goles!H76</f>
        <v>7</v>
      </c>
    </row>
    <row r="77" spans="18:20" x14ac:dyDescent="0.25">
      <c r="R77" s="448">
        <v>70</v>
      </c>
      <c r="S77" s="396" t="str">
        <f>Goles!G77</f>
        <v xml:space="preserve">Martin Kilev </v>
      </c>
      <c r="T77" s="396">
        <f>Goles!H77</f>
        <v>7</v>
      </c>
    </row>
    <row r="78" spans="18:20" x14ac:dyDescent="0.25">
      <c r="R78" s="448">
        <v>77</v>
      </c>
      <c r="S78" s="396" t="str">
        <f>Goles!G78</f>
        <v xml:space="preserve">Alex Txantre </v>
      </c>
      <c r="T78" s="396">
        <f>Goles!H78</f>
        <v>6</v>
      </c>
    </row>
    <row r="79" spans="18:20" x14ac:dyDescent="0.25">
      <c r="R79" s="448">
        <v>77</v>
      </c>
      <c r="S79" s="396" t="str">
        <f>Goles!G79</f>
        <v xml:space="preserve">Iyad Chaabo </v>
      </c>
      <c r="T79" s="396">
        <f>Goles!H79</f>
        <v>6</v>
      </c>
    </row>
    <row r="80" spans="18:20" x14ac:dyDescent="0.25">
      <c r="R80" s="448">
        <v>77</v>
      </c>
      <c r="S80" s="396" t="str">
        <f>Goles!G80</f>
        <v xml:space="preserve">Fernando Gazón </v>
      </c>
      <c r="T80" s="396">
        <f>Goles!H80</f>
        <v>6</v>
      </c>
    </row>
    <row r="81" spans="18:20" x14ac:dyDescent="0.25">
      <c r="R81" s="448">
        <v>77</v>
      </c>
      <c r="S81" s="396" t="str">
        <f>Goles!G81</f>
        <v xml:space="preserve">Jorge Walter Whitaker </v>
      </c>
      <c r="T81" s="396">
        <f>Goles!H81</f>
        <v>6</v>
      </c>
    </row>
    <row r="82" spans="18:20" x14ac:dyDescent="0.25">
      <c r="R82" s="448">
        <v>77</v>
      </c>
      <c r="S82" s="396" t="str">
        <f>Goles!G82</f>
        <v xml:space="preserve">Torsten Kortenhof </v>
      </c>
      <c r="T82" s="396">
        <f>Goles!H82</f>
        <v>6</v>
      </c>
    </row>
    <row r="83" spans="18:20" x14ac:dyDescent="0.25">
      <c r="R83" s="448">
        <v>77</v>
      </c>
      <c r="S83" s="396" t="str">
        <f>Goles!G83</f>
        <v xml:space="preserve">Boleslaw Starzomski </v>
      </c>
      <c r="T83" s="396">
        <f>Goles!H83</f>
        <v>6</v>
      </c>
    </row>
    <row r="84" spans="18:20" x14ac:dyDescent="0.25">
      <c r="R84" s="448">
        <v>77</v>
      </c>
      <c r="S84" s="396" t="str">
        <f>Goles!G84</f>
        <v xml:space="preserve">Raúl Riquelme </v>
      </c>
      <c r="T84" s="396">
        <f>Goles!H84</f>
        <v>6</v>
      </c>
    </row>
    <row r="85" spans="18:20" x14ac:dyDescent="0.25">
      <c r="R85" s="448">
        <v>77</v>
      </c>
      <c r="S85" s="396" t="str">
        <f>Goles!G85</f>
        <v xml:space="preserve">David Knuff </v>
      </c>
      <c r="T85" s="396">
        <f>Goles!H85</f>
        <v>6</v>
      </c>
    </row>
    <row r="86" spans="18:20" x14ac:dyDescent="0.25">
      <c r="R86" s="448">
        <v>77</v>
      </c>
      <c r="S86" s="396" t="str">
        <f>Goles!G86</f>
        <v xml:space="preserve">Nicolai Stentoft </v>
      </c>
      <c r="T86" s="396">
        <f>Goles!H86</f>
        <v>6</v>
      </c>
    </row>
    <row r="87" spans="18:20" x14ac:dyDescent="0.25">
      <c r="R87" s="448">
        <v>77</v>
      </c>
      <c r="S87" s="396" t="str">
        <f>Goles!G87</f>
        <v xml:space="preserve">Fabien Fabre </v>
      </c>
      <c r="T87" s="396">
        <f>Goles!H87</f>
        <v>6</v>
      </c>
    </row>
    <row r="88" spans="18:20" x14ac:dyDescent="0.25">
      <c r="R88" s="448">
        <v>77</v>
      </c>
      <c r="S88" s="396" t="str">
        <f>Goles!G88</f>
        <v xml:space="preserve">Christophe Reinhart </v>
      </c>
      <c r="T88" s="396">
        <f>Goles!H88</f>
        <v>6</v>
      </c>
    </row>
    <row r="89" spans="18:20" x14ac:dyDescent="0.25">
      <c r="R89" s="448">
        <v>77</v>
      </c>
      <c r="S89" s="396" t="str">
        <f>Goles!G89</f>
        <v xml:space="preserve">Honesto Cousa </v>
      </c>
      <c r="T89" s="396">
        <f>Goles!H89</f>
        <v>6</v>
      </c>
    </row>
    <row r="90" spans="18:20" x14ac:dyDescent="0.25">
      <c r="R90" s="448">
        <v>77</v>
      </c>
      <c r="S90" s="396" t="str">
        <f>Goles!G90</f>
        <v xml:space="preserve">Wicher Ossedrijver </v>
      </c>
      <c r="T90" s="396">
        <f>Goles!H90</f>
        <v>6</v>
      </c>
    </row>
    <row r="91" spans="18:20" x14ac:dyDescent="0.25">
      <c r="R91" s="448">
        <v>77</v>
      </c>
      <c r="S91" s="396" t="str">
        <f>Goles!G91</f>
        <v xml:space="preserve">David Erbiti </v>
      </c>
      <c r="T91" s="396">
        <f>Goles!H91</f>
        <v>6</v>
      </c>
    </row>
    <row r="92" spans="18:20" x14ac:dyDescent="0.25">
      <c r="R92" s="448">
        <v>77</v>
      </c>
      <c r="S92" s="396" t="str">
        <f>Goles!G92</f>
        <v xml:space="preserve">Romain Grière </v>
      </c>
      <c r="T92" s="396">
        <f>Goles!H92</f>
        <v>6</v>
      </c>
    </row>
    <row r="93" spans="18:20" x14ac:dyDescent="0.25">
      <c r="R93" s="448">
        <v>77</v>
      </c>
      <c r="S93" s="396" t="str">
        <f>Goles!G93</f>
        <v xml:space="preserve">Pablo Gil Fano </v>
      </c>
      <c r="T93" s="396">
        <f>Goles!H93</f>
        <v>6</v>
      </c>
    </row>
    <row r="94" spans="18:20" x14ac:dyDescent="0.25">
      <c r="R94" s="448">
        <v>77</v>
      </c>
      <c r="S94" s="396" t="str">
        <f>Goles!G94</f>
        <v xml:space="preserve">Tomasz Artymiuk </v>
      </c>
      <c r="T94" s="396">
        <f>Goles!H94</f>
        <v>6</v>
      </c>
    </row>
    <row r="95" spans="18:20" x14ac:dyDescent="0.25">
      <c r="R95" s="448">
        <v>94</v>
      </c>
      <c r="S95" s="396" t="str">
        <f>Goles!G95</f>
        <v xml:space="preserve">Ilari Santasalmi </v>
      </c>
      <c r="T95" s="396">
        <f>Goles!H95</f>
        <v>5</v>
      </c>
    </row>
    <row r="96" spans="18:20" x14ac:dyDescent="0.25">
      <c r="R96" s="448">
        <v>94</v>
      </c>
      <c r="S96" s="396" t="str">
        <f>Goles!G96</f>
        <v xml:space="preserve">Martin Herber </v>
      </c>
      <c r="T96" s="396">
        <f>Goles!H96</f>
        <v>5</v>
      </c>
    </row>
    <row r="97" spans="18:20" x14ac:dyDescent="0.25">
      <c r="R97" s="448">
        <v>94</v>
      </c>
      <c r="S97" s="396" t="str">
        <f>Goles!G97</f>
        <v xml:space="preserve">Aureliusz Staszczuk </v>
      </c>
      <c r="T97" s="396">
        <f>Goles!H97</f>
        <v>5</v>
      </c>
    </row>
    <row r="98" spans="18:20" x14ac:dyDescent="0.25">
      <c r="R98" s="448">
        <v>94</v>
      </c>
      <c r="S98" s="396" t="str">
        <f>Goles!G98</f>
        <v xml:space="preserve">Csaba Mezo </v>
      </c>
      <c r="T98" s="396">
        <f>Goles!H98</f>
        <v>5</v>
      </c>
    </row>
    <row r="99" spans="18:20" x14ac:dyDescent="0.25">
      <c r="R99" s="448">
        <v>94</v>
      </c>
      <c r="S99" s="396" t="str">
        <f>Goles!G99</f>
        <v xml:space="preserve">Jacobo Ferrueros </v>
      </c>
      <c r="T99" s="396">
        <f>Goles!H99</f>
        <v>5</v>
      </c>
    </row>
    <row r="100" spans="18:20" x14ac:dyDescent="0.25">
      <c r="R100" s="448">
        <v>94</v>
      </c>
      <c r="S100" s="396" t="str">
        <f>Goles!G100</f>
        <v xml:space="preserve">Cornel Caraba </v>
      </c>
      <c r="T100" s="396">
        <f>Goles!H100</f>
        <v>5</v>
      </c>
    </row>
    <row r="101" spans="18:20" x14ac:dyDescent="0.25">
      <c r="R101" s="448">
        <v>94</v>
      </c>
      <c r="S101" s="396" t="str">
        <f>Goles!G101</f>
        <v xml:space="preserve">Harald Georg Berchthold </v>
      </c>
      <c r="T101" s="396">
        <f>Goles!H101</f>
        <v>5</v>
      </c>
    </row>
    <row r="102" spans="18:20" x14ac:dyDescent="0.25">
      <c r="R102" s="448">
        <v>94</v>
      </c>
      <c r="S102" s="396" t="str">
        <f>Goles!G102</f>
        <v xml:space="preserve">Aleksi Alarotu </v>
      </c>
      <c r="T102" s="396">
        <f>Goles!H102</f>
        <v>5</v>
      </c>
    </row>
    <row r="103" spans="18:20" x14ac:dyDescent="0.25">
      <c r="R103" s="448">
        <v>94</v>
      </c>
      <c r="S103" s="396" t="str">
        <f>Goles!G103</f>
        <v xml:space="preserve">Ulf Schenkel </v>
      </c>
      <c r="T103" s="396">
        <f>Goles!H103</f>
        <v>5</v>
      </c>
    </row>
    <row r="104" spans="18:20" x14ac:dyDescent="0.25">
      <c r="R104" s="448">
        <v>94</v>
      </c>
      <c r="S104" s="396" t="str">
        <f>Goles!G104</f>
        <v xml:space="preserve">Andrea Califano </v>
      </c>
      <c r="T104" s="396">
        <f>Goles!H104</f>
        <v>5</v>
      </c>
    </row>
    <row r="105" spans="18:20" x14ac:dyDescent="0.25">
      <c r="R105" s="448">
        <v>94</v>
      </c>
      <c r="S105" s="396" t="str">
        <f>Goles!G105</f>
        <v xml:space="preserve">Fernando Juárez Sierra </v>
      </c>
      <c r="T105" s="396">
        <f>Goles!H105</f>
        <v>5</v>
      </c>
    </row>
    <row r="106" spans="18:20" x14ac:dyDescent="0.25">
      <c r="R106" s="448">
        <v>94</v>
      </c>
      <c r="S106" s="396" t="str">
        <f>Goles!G106</f>
        <v xml:space="preserve">Pau Redondo </v>
      </c>
      <c r="T106" s="396">
        <f>Goles!H106</f>
        <v>5</v>
      </c>
    </row>
    <row r="107" spans="18:20" x14ac:dyDescent="0.25">
      <c r="R107" s="448">
        <v>106</v>
      </c>
      <c r="S107" s="396" t="str">
        <f>Goles!G107</f>
        <v xml:space="preserve">Christophe Méjean </v>
      </c>
      <c r="T107" s="396">
        <f>Goles!H107</f>
        <v>4</v>
      </c>
    </row>
    <row r="108" spans="18:20" x14ac:dyDescent="0.25">
      <c r="R108" s="448">
        <v>106</v>
      </c>
      <c r="S108" s="396" t="str">
        <f>Goles!G108</f>
        <v xml:space="preserve">Sejo Sáenz Marín </v>
      </c>
      <c r="T108" s="396">
        <f>Goles!H108</f>
        <v>4</v>
      </c>
    </row>
    <row r="109" spans="18:20" x14ac:dyDescent="0.25">
      <c r="R109" s="448">
        <v>106</v>
      </c>
      <c r="S109" s="396" t="str">
        <f>Goles!G109</f>
        <v xml:space="preserve">Dolf Fohringer </v>
      </c>
      <c r="T109" s="396">
        <f>Goles!H109</f>
        <v>4</v>
      </c>
    </row>
    <row r="110" spans="18:20" x14ac:dyDescent="0.25">
      <c r="R110" s="448">
        <v>106</v>
      </c>
      <c r="S110" s="396" t="str">
        <f>Goles!G110</f>
        <v xml:space="preserve">Mattia Sambri </v>
      </c>
      <c r="T110" s="396">
        <f>Goles!H110</f>
        <v>4</v>
      </c>
    </row>
    <row r="111" spans="18:20" x14ac:dyDescent="0.25">
      <c r="R111" s="448">
        <v>106</v>
      </c>
      <c r="S111" s="396" t="str">
        <f>Goles!G111</f>
        <v xml:space="preserve">Uday Adeeb </v>
      </c>
      <c r="T111" s="396">
        <f>Goles!H111</f>
        <v>4</v>
      </c>
    </row>
    <row r="112" spans="18:20" x14ac:dyDescent="0.25">
      <c r="R112" s="448">
        <v>106</v>
      </c>
      <c r="S112" s="396" t="str">
        <f>Goles!G112</f>
        <v xml:space="preserve">Jörg Londorf </v>
      </c>
      <c r="T112" s="396">
        <f>Goles!H112</f>
        <v>4</v>
      </c>
    </row>
    <row r="113" spans="18:20" x14ac:dyDescent="0.25">
      <c r="R113" s="448">
        <v>106</v>
      </c>
      <c r="S113" s="396" t="str">
        <f>Goles!G113</f>
        <v xml:space="preserve">Eckardt Hägerling </v>
      </c>
      <c r="T113" s="396">
        <f>Goles!H113</f>
        <v>4</v>
      </c>
    </row>
    <row r="114" spans="18:20" x14ac:dyDescent="0.25">
      <c r="R114" s="448">
        <v>106</v>
      </c>
      <c r="S114" s="396" t="str">
        <f>Goles!G114</f>
        <v xml:space="preserve">? (Pan) ?? (Yuandong) </v>
      </c>
      <c r="T114" s="396">
        <f>Goles!H114</f>
        <v>4</v>
      </c>
    </row>
    <row r="115" spans="18:20" x14ac:dyDescent="0.25">
      <c r="R115" s="448">
        <v>106</v>
      </c>
      <c r="S115" s="396" t="str">
        <f>Goles!G115</f>
        <v xml:space="preserve">Dan Veneau </v>
      </c>
      <c r="T115" s="396">
        <f>Goles!H115</f>
        <v>4</v>
      </c>
    </row>
    <row r="116" spans="18:20" x14ac:dyDescent="0.25">
      <c r="R116" s="448">
        <v>106</v>
      </c>
      <c r="S116" s="396" t="str">
        <f>Goles!G116</f>
        <v xml:space="preserve">Krzysztof Buras </v>
      </c>
      <c r="T116" s="396">
        <f>Goles!H116</f>
        <v>4</v>
      </c>
    </row>
    <row r="117" spans="18:20" x14ac:dyDescent="0.25">
      <c r="R117" s="448">
        <v>106</v>
      </c>
      <c r="S117" s="396" t="str">
        <f>Goles!G117</f>
        <v xml:space="preserve">Gastone Cianelli </v>
      </c>
      <c r="T117" s="396">
        <f>Goles!H117</f>
        <v>4</v>
      </c>
    </row>
    <row r="118" spans="18:20" x14ac:dyDescent="0.25">
      <c r="R118" s="448">
        <v>106</v>
      </c>
      <c r="S118" s="396" t="str">
        <f>Goles!G118</f>
        <v xml:space="preserve">Ernst Lammers </v>
      </c>
      <c r="T118" s="396">
        <f>Goles!H118</f>
        <v>4</v>
      </c>
    </row>
    <row r="119" spans="18:20" x14ac:dyDescent="0.25">
      <c r="R119" s="448">
        <v>106</v>
      </c>
      <c r="S119" s="396" t="str">
        <f>Goles!G119</f>
        <v xml:space="preserve">Hansjürg Devier </v>
      </c>
      <c r="T119" s="396">
        <f>Goles!H119</f>
        <v>4</v>
      </c>
    </row>
    <row r="120" spans="18:20" x14ac:dyDescent="0.25">
      <c r="R120" s="448">
        <v>106</v>
      </c>
      <c r="S120" s="396" t="str">
        <f>Goles!G120</f>
        <v xml:space="preserve">Emilio Mochelato </v>
      </c>
      <c r="T120" s="396">
        <f>Goles!H120</f>
        <v>4</v>
      </c>
    </row>
    <row r="121" spans="18:20" x14ac:dyDescent="0.25">
      <c r="R121" s="448">
        <v>106</v>
      </c>
      <c r="S121" s="396" t="str">
        <f>Goles!G121</f>
        <v xml:space="preserve">Carlos Ipinza </v>
      </c>
      <c r="T121" s="396">
        <f>Goles!H121</f>
        <v>4</v>
      </c>
    </row>
    <row r="122" spans="18:20" x14ac:dyDescent="0.25">
      <c r="R122" s="448">
        <v>106</v>
      </c>
      <c r="S122" s="399" t="s">
        <v>1518</v>
      </c>
      <c r="T122" s="399">
        <v>4</v>
      </c>
    </row>
    <row r="123" spans="18:20" x14ac:dyDescent="0.25">
      <c r="R123" s="448">
        <v>122</v>
      </c>
      <c r="S123" s="396" t="str">
        <f>Goles!G122</f>
        <v xml:space="preserve">Richey Cowper </v>
      </c>
      <c r="T123" s="396">
        <f>Goles!H122</f>
        <v>3</v>
      </c>
    </row>
    <row r="124" spans="18:20" x14ac:dyDescent="0.25">
      <c r="R124" s="448">
        <v>123</v>
      </c>
      <c r="S124" s="396" t="str">
        <f>Goles!G123</f>
        <v xml:space="preserve">Aiurdi Azpileta </v>
      </c>
      <c r="T124" s="396">
        <f>Goles!H123</f>
        <v>3</v>
      </c>
    </row>
    <row r="125" spans="18:20" x14ac:dyDescent="0.25">
      <c r="R125" s="448">
        <v>124</v>
      </c>
      <c r="S125" s="396" t="str">
        <f>Goles!G124</f>
        <v xml:space="preserve">Tristan Voet </v>
      </c>
      <c r="T125" s="396">
        <f>Goles!H124</f>
        <v>3</v>
      </c>
    </row>
    <row r="126" spans="18:20" x14ac:dyDescent="0.25">
      <c r="R126" s="448">
        <v>125</v>
      </c>
      <c r="S126" s="396" t="str">
        <f>Goles!G125</f>
        <v xml:space="preserve">Roberto Montero </v>
      </c>
      <c r="T126" s="396">
        <f>Goles!H125</f>
        <v>3</v>
      </c>
    </row>
    <row r="127" spans="18:20" x14ac:dyDescent="0.25">
      <c r="R127" s="448">
        <v>126</v>
      </c>
      <c r="S127" s="396" t="str">
        <f>Goles!G126</f>
        <v xml:space="preserve">Mauro Vaz </v>
      </c>
      <c r="T127" s="396">
        <f>Goles!H126</f>
        <v>3</v>
      </c>
    </row>
    <row r="128" spans="18:20" x14ac:dyDescent="0.25">
      <c r="R128" s="448">
        <v>127</v>
      </c>
      <c r="S128" s="396" t="str">
        <f>Goles!G127</f>
        <v xml:space="preserve">Iacob Sarpe </v>
      </c>
      <c r="T128" s="396">
        <f>Goles!H127</f>
        <v>3</v>
      </c>
    </row>
    <row r="129" spans="18:20" x14ac:dyDescent="0.25">
      <c r="R129" s="448">
        <v>128</v>
      </c>
      <c r="S129" s="396" t="str">
        <f>Goles!G128</f>
        <v xml:space="preserve">? (Ho) ?? (Minwei) </v>
      </c>
      <c r="T129" s="396">
        <f>Goles!H128</f>
        <v>3</v>
      </c>
    </row>
    <row r="130" spans="18:20" x14ac:dyDescent="0.25">
      <c r="R130" s="448">
        <v>129</v>
      </c>
      <c r="S130" s="399" t="str">
        <f>Goles!G129</f>
        <v xml:space="preserve">Cosme Fonteboa </v>
      </c>
      <c r="T130" s="399">
        <f>Goles!H129</f>
        <v>3</v>
      </c>
    </row>
    <row r="131" spans="18:20" x14ac:dyDescent="0.25">
      <c r="R131" s="448">
        <v>130</v>
      </c>
      <c r="S131" s="396" t="str">
        <f>Goles!G130</f>
        <v xml:space="preserve">Zeno Baets </v>
      </c>
      <c r="T131" s="396">
        <f>Goles!H130</f>
        <v>3</v>
      </c>
    </row>
    <row r="132" spans="18:20" x14ac:dyDescent="0.25">
      <c r="R132" s="448">
        <v>131</v>
      </c>
      <c r="S132" s="396" t="str">
        <f>Goles!G131</f>
        <v xml:space="preserve">Clifford Smallwood </v>
      </c>
      <c r="T132" s="396">
        <f>Goles!H131</f>
        <v>3</v>
      </c>
    </row>
    <row r="133" spans="18:20" x14ac:dyDescent="0.25">
      <c r="R133" s="448">
        <v>132</v>
      </c>
      <c r="S133" s="396" t="str">
        <f>Goles!G132</f>
        <v xml:space="preserve">Stefano Spanu </v>
      </c>
      <c r="T133" s="396">
        <f>Goles!H132</f>
        <v>3</v>
      </c>
    </row>
    <row r="134" spans="18:20" x14ac:dyDescent="0.25">
      <c r="R134" s="448">
        <v>133</v>
      </c>
      <c r="S134" s="396" t="str">
        <f>Goles!G133</f>
        <v xml:space="preserve">Matteo Omacini </v>
      </c>
      <c r="T134" s="396">
        <f>Goles!H133</f>
        <v>3</v>
      </c>
    </row>
    <row r="135" spans="18:20" x14ac:dyDescent="0.25">
      <c r="R135" s="448">
        <v>134</v>
      </c>
      <c r="S135" s="396" t="str">
        <f>Goles!G134</f>
        <v xml:space="preserve">Vincent Gautsch </v>
      </c>
      <c r="T135" s="396">
        <f>Goles!H134</f>
        <v>3</v>
      </c>
    </row>
    <row r="136" spans="18:20" x14ac:dyDescent="0.25">
      <c r="R136" s="448">
        <v>135</v>
      </c>
      <c r="S136" s="396" t="str">
        <f>Goles!G135</f>
        <v xml:space="preserve">Enis Kalan </v>
      </c>
      <c r="T136" s="396">
        <f>Goles!H135</f>
        <v>3</v>
      </c>
    </row>
    <row r="137" spans="18:20" x14ac:dyDescent="0.25">
      <c r="R137" s="448">
        <v>136</v>
      </c>
      <c r="S137" s="396" t="str">
        <f>Goles!G136</f>
        <v xml:space="preserve">David Berkenbosch </v>
      </c>
      <c r="T137" s="396">
        <f>Goles!H136</f>
        <v>3</v>
      </c>
    </row>
    <row r="138" spans="18:20" x14ac:dyDescent="0.25">
      <c r="R138" s="448">
        <v>137</v>
      </c>
      <c r="S138" s="396" t="str">
        <f>Goles!G137</f>
        <v xml:space="preserve">Damiano Clementi </v>
      </c>
      <c r="T138" s="396">
        <f>Goles!H137</f>
        <v>3</v>
      </c>
    </row>
    <row r="139" spans="18:20" x14ac:dyDescent="0.25">
      <c r="R139" s="448">
        <v>138</v>
      </c>
      <c r="S139" s="396" t="str">
        <f>Goles!G138</f>
        <v xml:space="preserve">Manuel Parejo </v>
      </c>
      <c r="T139" s="396">
        <f>Goles!H138</f>
        <v>3</v>
      </c>
    </row>
    <row r="140" spans="18:20" x14ac:dyDescent="0.25">
      <c r="R140" s="448">
        <v>139</v>
      </c>
      <c r="S140" s="396" t="str">
        <f>Goles!G139</f>
        <v xml:space="preserve">Xofre Taín </v>
      </c>
      <c r="T140" s="396">
        <f>Goles!H139</f>
        <v>3</v>
      </c>
    </row>
    <row r="141" spans="18:20" x14ac:dyDescent="0.25">
      <c r="R141" s="448">
        <v>140</v>
      </c>
      <c r="S141" s="396" t="str">
        <f>Goles!G140</f>
        <v xml:space="preserve">Lech Sipinski </v>
      </c>
      <c r="T141" s="396">
        <f>Goles!H140</f>
        <v>3</v>
      </c>
    </row>
    <row r="142" spans="18:20" x14ac:dyDescent="0.25">
      <c r="R142" s="448">
        <v>141</v>
      </c>
      <c r="S142" s="396" t="str">
        <f>Goles!G141</f>
        <v xml:space="preserve">Petru Pena </v>
      </c>
      <c r="T142" s="396">
        <f>Goles!H141</f>
        <v>3</v>
      </c>
    </row>
    <row r="143" spans="18:20" x14ac:dyDescent="0.25">
      <c r="R143" s="448">
        <v>142</v>
      </c>
      <c r="S143" s="396" t="str">
        <f>Goles!G142</f>
        <v xml:space="preserve">Domenic Janjic </v>
      </c>
      <c r="T143" s="396">
        <f>Goles!H142</f>
        <v>2</v>
      </c>
    </row>
    <row r="144" spans="18:20" x14ac:dyDescent="0.25">
      <c r="R144" s="448">
        <v>143</v>
      </c>
      <c r="S144" s="396" t="str">
        <f>Goles!G143</f>
        <v xml:space="preserve">Martijn Collinet </v>
      </c>
      <c r="T144" s="396">
        <f>Goles!H143</f>
        <v>2</v>
      </c>
    </row>
    <row r="145" spans="18:20" x14ac:dyDescent="0.25">
      <c r="R145" s="448">
        <v>144</v>
      </c>
      <c r="S145" s="396" t="str">
        <f>Goles!G144</f>
        <v xml:space="preserve">Karl Edwin </v>
      </c>
      <c r="T145" s="396">
        <f>Goles!H144</f>
        <v>2</v>
      </c>
    </row>
    <row r="146" spans="18:20" x14ac:dyDescent="0.25">
      <c r="R146" s="448">
        <v>145</v>
      </c>
      <c r="S146" s="396" t="str">
        <f>Goles!G145</f>
        <v xml:space="preserve">Igli Volpicelli </v>
      </c>
      <c r="T146" s="396">
        <f>Goles!H145</f>
        <v>2</v>
      </c>
    </row>
    <row r="147" spans="18:20" x14ac:dyDescent="0.25">
      <c r="R147" s="448">
        <v>146</v>
      </c>
      <c r="S147" s="396" t="str">
        <f>Goles!G146</f>
        <v xml:space="preserve">Christophe Bodin </v>
      </c>
      <c r="T147" s="396">
        <f>Goles!H146</f>
        <v>2</v>
      </c>
    </row>
    <row r="148" spans="18:20" x14ac:dyDescent="0.25">
      <c r="R148" s="448">
        <v>147</v>
      </c>
      <c r="S148" s="396" t="str">
        <f>Goles!G147</f>
        <v xml:space="preserve">Udo Mier </v>
      </c>
      <c r="T148" s="396">
        <f>Goles!H147</f>
        <v>2</v>
      </c>
    </row>
    <row r="149" spans="18:20" x14ac:dyDescent="0.25">
      <c r="R149" s="448">
        <v>148</v>
      </c>
      <c r="S149" s="396" t="str">
        <f>Goles!G148</f>
        <v xml:space="preserve">Ofek Azuri </v>
      </c>
      <c r="T149" s="396">
        <f>Goles!H148</f>
        <v>2</v>
      </c>
    </row>
    <row r="150" spans="18:20" x14ac:dyDescent="0.25">
      <c r="R150" s="448">
        <v>149</v>
      </c>
      <c r="S150" s="396" t="str">
        <f>Goles!G149</f>
        <v xml:space="preserve">Lauri Piminäinen </v>
      </c>
      <c r="T150" s="396">
        <f>Goles!H149</f>
        <v>2</v>
      </c>
    </row>
    <row r="151" spans="18:20" x14ac:dyDescent="0.25">
      <c r="R151" s="448">
        <v>150</v>
      </c>
      <c r="S151" s="396" t="str">
        <f>Goles!G150</f>
        <v xml:space="preserve">José Rubianes </v>
      </c>
      <c r="T151" s="396">
        <f>Goles!H150</f>
        <v>2</v>
      </c>
    </row>
    <row r="152" spans="18:20" x14ac:dyDescent="0.25">
      <c r="R152" s="448">
        <v>151</v>
      </c>
      <c r="S152" s="396" t="str">
        <f>Goles!G151</f>
        <v xml:space="preserve">Percy Alfredsson </v>
      </c>
      <c r="T152" s="396">
        <f>Goles!H151</f>
        <v>2</v>
      </c>
    </row>
    <row r="153" spans="18:20" x14ac:dyDescent="0.25">
      <c r="R153" s="448">
        <v>152</v>
      </c>
      <c r="S153" s="396" t="str">
        <f>Goles!G152</f>
        <v xml:space="preserve">Mateusz Brzostowski </v>
      </c>
      <c r="T153" s="396">
        <f>Goles!H152</f>
        <v>2</v>
      </c>
    </row>
    <row r="154" spans="18:20" x14ac:dyDescent="0.25">
      <c r="R154" s="448">
        <v>153</v>
      </c>
      <c r="S154" s="396" t="str">
        <f>Goles!G153</f>
        <v xml:space="preserve">Andrija Miškovic </v>
      </c>
      <c r="T154" s="396">
        <f>Goles!H153</f>
        <v>2</v>
      </c>
    </row>
    <row r="155" spans="18:20" x14ac:dyDescent="0.25">
      <c r="R155" s="448">
        <v>154</v>
      </c>
      <c r="S155" s="396" t="str">
        <f>Goles!G154</f>
        <v xml:space="preserve">Zsolt Novák </v>
      </c>
      <c r="T155" s="396">
        <f>Goles!H154</f>
        <v>2</v>
      </c>
    </row>
    <row r="156" spans="18:20" x14ac:dyDescent="0.25">
      <c r="R156" s="448">
        <v>155</v>
      </c>
      <c r="S156" s="396" t="str">
        <f>Goles!G155</f>
        <v xml:space="preserve">Casildo Abraldes </v>
      </c>
      <c r="T156" s="396">
        <f>Goles!H155</f>
        <v>2</v>
      </c>
    </row>
    <row r="157" spans="18:20" x14ac:dyDescent="0.25">
      <c r="R157" s="448">
        <v>156</v>
      </c>
      <c r="S157" s="396" t="str">
        <f>Goles!G156</f>
        <v xml:space="preserve">Juan Gabriel de Minaya </v>
      </c>
      <c r="T157" s="396">
        <f>Goles!H156</f>
        <v>2</v>
      </c>
    </row>
    <row r="158" spans="18:20" x14ac:dyDescent="0.25">
      <c r="R158" s="448">
        <v>157</v>
      </c>
      <c r="S158" s="396" t="str">
        <f>Goles!G157</f>
        <v xml:space="preserve">Sansão Trindade Oliveira </v>
      </c>
      <c r="T158" s="396">
        <f>Goles!H157</f>
        <v>2</v>
      </c>
    </row>
    <row r="159" spans="18:20" x14ac:dyDescent="0.25">
      <c r="R159" s="448">
        <v>158</v>
      </c>
      <c r="S159" s="396" t="str">
        <f>Goles!G158</f>
        <v xml:space="preserve">Jaime Ocón </v>
      </c>
      <c r="T159" s="396">
        <f>Goles!H158</f>
        <v>2</v>
      </c>
    </row>
    <row r="160" spans="18:20" x14ac:dyDescent="0.25">
      <c r="R160" s="448">
        <v>159</v>
      </c>
      <c r="S160" s="396" t="str">
        <f>Goles!G159</f>
        <v xml:space="preserve">Sascha Gilch </v>
      </c>
      <c r="T160" s="396">
        <f>Goles!H159</f>
        <v>2</v>
      </c>
    </row>
    <row r="161" spans="18:20" x14ac:dyDescent="0.25">
      <c r="R161" s="448">
        <v>160</v>
      </c>
      <c r="S161" s="396" t="str">
        <f>Goles!G160</f>
        <v xml:space="preserve">Felipe Andrés Massarelli </v>
      </c>
      <c r="T161" s="396">
        <f>Goles!H160</f>
        <v>2</v>
      </c>
    </row>
    <row r="162" spans="18:20" x14ac:dyDescent="0.25">
      <c r="R162" s="448">
        <v>161</v>
      </c>
      <c r="S162" s="396" t="str">
        <f>Goles!G161</f>
        <v xml:space="preserve">Jurgen Muësen </v>
      </c>
      <c r="T162" s="396">
        <f>Goles!H161</f>
        <v>2</v>
      </c>
    </row>
    <row r="163" spans="18:20" x14ac:dyDescent="0.25">
      <c r="R163" s="448">
        <v>162</v>
      </c>
      <c r="S163" s="396" t="str">
        <f>Goles!G162</f>
        <v xml:space="preserve">Tijl van Hamburg </v>
      </c>
      <c r="T163" s="396">
        <f>Goles!H162</f>
        <v>2</v>
      </c>
    </row>
    <row r="164" spans="18:20" x14ac:dyDescent="0.25">
      <c r="R164" s="448">
        <v>163</v>
      </c>
      <c r="S164" s="396" t="str">
        <f>Goles!G163</f>
        <v xml:space="preserve">Aamos Vara </v>
      </c>
      <c r="T164" s="396">
        <f>Goles!H163</f>
        <v>2</v>
      </c>
    </row>
    <row r="165" spans="18:20" x14ac:dyDescent="0.25">
      <c r="R165" s="448">
        <v>164</v>
      </c>
      <c r="S165" s="396" t="str">
        <f>Goles!G164</f>
        <v xml:space="preserve">Karst van Gils </v>
      </c>
      <c r="T165" s="396">
        <f>Goles!H164</f>
        <v>2</v>
      </c>
    </row>
    <row r="166" spans="18:20" x14ac:dyDescent="0.25">
      <c r="R166" s="448">
        <v>165</v>
      </c>
      <c r="S166" s="396" t="str">
        <f>Goles!G165</f>
        <v xml:space="preserve">Fabien Goncalves </v>
      </c>
      <c r="T166" s="396">
        <f>Goles!H165</f>
        <v>2</v>
      </c>
    </row>
    <row r="167" spans="18:20" x14ac:dyDescent="0.25">
      <c r="R167" s="448">
        <v>166</v>
      </c>
      <c r="S167" s="396" t="str">
        <f>Goles!G166</f>
        <v xml:space="preserve">Cezary Pauch </v>
      </c>
      <c r="T167" s="396">
        <f>Goles!H166</f>
        <v>2</v>
      </c>
    </row>
    <row r="168" spans="18:20" x14ac:dyDescent="0.25">
      <c r="R168" s="448">
        <v>167</v>
      </c>
      <c r="S168" s="396" t="str">
        <f>Goles!G167</f>
        <v xml:space="preserve">Arkadiusz Dembek </v>
      </c>
      <c r="T168" s="396">
        <f>Goles!H167</f>
        <v>2</v>
      </c>
    </row>
    <row r="169" spans="18:20" x14ac:dyDescent="0.25">
      <c r="R169" s="448">
        <v>168</v>
      </c>
      <c r="S169" s="447" t="s">
        <v>1518</v>
      </c>
      <c r="T169" s="447">
        <v>2</v>
      </c>
    </row>
    <row r="170" spans="18:20" x14ac:dyDescent="0.25">
      <c r="R170" s="448">
        <v>169</v>
      </c>
      <c r="S170" s="396" t="str">
        <f>Goles!G168</f>
        <v xml:space="preserve">Marcin Lulewicz </v>
      </c>
      <c r="T170" s="396">
        <f>Goles!H168</f>
        <v>1</v>
      </c>
    </row>
    <row r="171" spans="18:20" x14ac:dyDescent="0.25">
      <c r="R171" s="448">
        <v>170</v>
      </c>
      <c r="S171" s="396" t="str">
        <f>Goles!G169</f>
        <v xml:space="preserve">Gregorio Manrique </v>
      </c>
      <c r="T171" s="396">
        <f>Goles!H169</f>
        <v>1</v>
      </c>
    </row>
    <row r="172" spans="18:20" x14ac:dyDescent="0.25">
      <c r="R172" s="448">
        <v>171</v>
      </c>
      <c r="S172" s="396" t="str">
        <f>Goles!G170</f>
        <v xml:space="preserve">Massimiliano Jula </v>
      </c>
      <c r="T172" s="396">
        <f>Goles!H170</f>
        <v>1</v>
      </c>
    </row>
    <row r="173" spans="18:20" x14ac:dyDescent="0.25">
      <c r="R173" s="448">
        <v>172</v>
      </c>
      <c r="S173" s="396" t="str">
        <f>Goles!G171</f>
        <v xml:space="preserve">Barnabás Borsányi </v>
      </c>
      <c r="T173" s="396">
        <f>Goles!H171</f>
        <v>1</v>
      </c>
    </row>
    <row r="174" spans="18:20" x14ac:dyDescent="0.25">
      <c r="R174" s="448">
        <v>173</v>
      </c>
      <c r="S174" s="396" t="str">
        <f>Goles!G172</f>
        <v xml:space="preserve">Serapio Castrelos </v>
      </c>
      <c r="T174" s="396">
        <f>Goles!H172</f>
        <v>1</v>
      </c>
    </row>
    <row r="175" spans="18:20" x14ac:dyDescent="0.25">
      <c r="R175" s="448">
        <v>174</v>
      </c>
      <c r="S175" s="396" t="str">
        <f>Goles!G173</f>
        <v xml:space="preserve">Dimitris Prokos </v>
      </c>
      <c r="T175" s="396">
        <f>Goles!H173</f>
        <v>1</v>
      </c>
    </row>
    <row r="176" spans="18:20" x14ac:dyDescent="0.25">
      <c r="R176" s="448">
        <v>175</v>
      </c>
      <c r="S176" s="396" t="str">
        <f>Goles!G174</f>
        <v xml:space="preserve">Alfonso Londoño </v>
      </c>
      <c r="T176" s="396">
        <f>Goles!H174</f>
        <v>1</v>
      </c>
    </row>
    <row r="177" spans="18:20" x14ac:dyDescent="0.25">
      <c r="R177" s="448">
        <v>176</v>
      </c>
      <c r="S177" s="396" t="str">
        <f>Goles!G175</f>
        <v xml:space="preserve">José Luis Valdés Saavedra </v>
      </c>
      <c r="T177" s="396">
        <f>Goles!H175</f>
        <v>1</v>
      </c>
    </row>
    <row r="178" spans="18:20" x14ac:dyDescent="0.25">
      <c r="R178" s="448">
        <v>177</v>
      </c>
      <c r="S178" s="396" t="str">
        <f>Goles!G176</f>
        <v xml:space="preserve">Francesc Giró </v>
      </c>
      <c r="T178" s="396">
        <f>Goles!H176</f>
        <v>1</v>
      </c>
    </row>
    <row r="179" spans="18:20" x14ac:dyDescent="0.25">
      <c r="R179" s="448">
        <v>178</v>
      </c>
      <c r="S179" s="396" t="str">
        <f>Goles!G177</f>
        <v xml:space="preserve">Ludovic Gygax </v>
      </c>
      <c r="T179" s="396">
        <f>Goles!H177</f>
        <v>1</v>
      </c>
    </row>
    <row r="180" spans="18:20" x14ac:dyDescent="0.25">
      <c r="R180" s="448">
        <v>179</v>
      </c>
      <c r="S180" s="396" t="str">
        <f>Goles!G178</f>
        <v xml:space="preserve">Hjalte Egede </v>
      </c>
      <c r="T180" s="396">
        <f>Goles!H178</f>
        <v>1</v>
      </c>
    </row>
    <row r="181" spans="18:20" x14ac:dyDescent="0.25">
      <c r="R181" s="448">
        <v>180</v>
      </c>
      <c r="S181" s="396" t="str">
        <f>Goles!G179</f>
        <v xml:space="preserve">Steve Mckinnon </v>
      </c>
      <c r="T181" s="396">
        <f>Goles!H179</f>
        <v>1</v>
      </c>
    </row>
    <row r="182" spans="18:20" x14ac:dyDescent="0.25">
      <c r="R182" s="448">
        <v>181</v>
      </c>
      <c r="S182" s="396" t="str">
        <f>Goles!G180</f>
        <v xml:space="preserve">Olli Rambow </v>
      </c>
      <c r="T182" s="396">
        <f>Goles!H180</f>
        <v>1</v>
      </c>
    </row>
    <row r="183" spans="18:20" x14ac:dyDescent="0.25">
      <c r="R183" s="448">
        <v>182</v>
      </c>
      <c r="S183" s="396" t="str">
        <f>Goles!G181</f>
        <v xml:space="preserve">Jan Jessen </v>
      </c>
      <c r="T183" s="396">
        <f>Goles!H181</f>
        <v>1</v>
      </c>
    </row>
    <row r="184" spans="18:20" x14ac:dyDescent="0.25">
      <c r="R184" s="448">
        <v>183</v>
      </c>
      <c r="S184" s="396" t="str">
        <f>Goles!G182</f>
        <v xml:space="preserve">Alexander Pahl </v>
      </c>
      <c r="T184" s="396">
        <f>Goles!H182</f>
        <v>1</v>
      </c>
    </row>
    <row r="185" spans="18:20" x14ac:dyDescent="0.25">
      <c r="R185" s="448">
        <v>184</v>
      </c>
      <c r="S185" s="396" t="str">
        <f>Goles!G183</f>
        <v xml:space="preserve">Morgan Gomes </v>
      </c>
      <c r="T185" s="396">
        <f>Goles!H183</f>
        <v>1</v>
      </c>
    </row>
    <row r="186" spans="18:20" x14ac:dyDescent="0.25">
      <c r="R186" s="448">
        <v>185</v>
      </c>
      <c r="S186" s="396" t="str">
        <f>Goles!G184</f>
        <v xml:space="preserve">Dan Lindgren </v>
      </c>
      <c r="T186" s="396">
        <f>Goles!H184</f>
        <v>1</v>
      </c>
    </row>
    <row r="187" spans="18:20" x14ac:dyDescent="0.25">
      <c r="R187" s="448">
        <v>186</v>
      </c>
      <c r="S187" s="396" t="str">
        <f>Goles!G185</f>
        <v xml:space="preserve">José Manuel Carneiro </v>
      </c>
      <c r="T187" s="396">
        <f>Goles!H185</f>
        <v>1</v>
      </c>
    </row>
    <row r="188" spans="18:20" x14ac:dyDescent="0.25">
      <c r="R188" s="448">
        <v>187</v>
      </c>
      <c r="S188" s="396" t="str">
        <f>Goles!G186</f>
        <v xml:space="preserve">Adolfo Vitulli </v>
      </c>
      <c r="T188" s="396">
        <f>Goles!H186</f>
        <v>1</v>
      </c>
    </row>
    <row r="189" spans="18:20" x14ac:dyDescent="0.25">
      <c r="R189" s="448">
        <v>188</v>
      </c>
      <c r="S189" s="396" t="str">
        <f>Goles!G187</f>
        <v xml:space="preserve">Zbyšek Hamrozi </v>
      </c>
      <c r="T189" s="396">
        <f>Goles!H187</f>
        <v>1</v>
      </c>
    </row>
    <row r="190" spans="18:20" x14ac:dyDescent="0.25">
      <c r="R190" s="448">
        <v>189</v>
      </c>
      <c r="S190" s="396" t="str">
        <f>Goles!G188</f>
        <v xml:space="preserve">Gawel Nanowski </v>
      </c>
      <c r="T190" s="396">
        <f>Goles!H188</f>
        <v>1</v>
      </c>
    </row>
    <row r="191" spans="18:20" x14ac:dyDescent="0.25">
      <c r="R191" s="448">
        <v>190</v>
      </c>
      <c r="S191" s="396" t="str">
        <f>Goles!G189</f>
        <v xml:space="preserve">Ludvig Andreasson </v>
      </c>
      <c r="T191" s="396">
        <f>Goles!H189</f>
        <v>1</v>
      </c>
    </row>
    <row r="192" spans="18:20" x14ac:dyDescent="0.25">
      <c r="R192" s="448">
        <v>191</v>
      </c>
      <c r="S192" s="396" t="str">
        <f>Goles!G190</f>
        <v xml:space="preserve">Pieter Pelleboer </v>
      </c>
      <c r="T192" s="396">
        <f>Goles!H190</f>
        <v>1</v>
      </c>
    </row>
    <row r="193" spans="18:20" x14ac:dyDescent="0.25">
      <c r="R193" s="448">
        <v>192</v>
      </c>
      <c r="S193" s="396" t="str">
        <f>Goles!G191</f>
        <v xml:space="preserve">Luigi Tripodo </v>
      </c>
      <c r="T193" s="396">
        <f>Goles!H191</f>
        <v>1</v>
      </c>
    </row>
    <row r="194" spans="18:20" x14ac:dyDescent="0.25">
      <c r="R194" s="448">
        <v>193</v>
      </c>
      <c r="S194" s="396" t="str">
        <f>Goles!G192</f>
        <v xml:space="preserve">Seran Aranguren </v>
      </c>
      <c r="T194" s="396">
        <f>Goles!H192</f>
        <v>1</v>
      </c>
    </row>
    <row r="195" spans="18:20" x14ac:dyDescent="0.25">
      <c r="R195" s="448">
        <v>194</v>
      </c>
      <c r="S195" s="396" t="str">
        <f>Goles!G193</f>
        <v xml:space="preserve">Finlay MacGrory </v>
      </c>
      <c r="T195" s="396">
        <f>Goles!H193</f>
        <v>1</v>
      </c>
    </row>
    <row r="196" spans="18:20" x14ac:dyDescent="0.25">
      <c r="R196" s="448">
        <v>195</v>
      </c>
      <c r="S196" s="396" t="str">
        <f>Goles!G194</f>
        <v xml:space="preserve">Gustaw Bugajski </v>
      </c>
      <c r="T196" s="396">
        <f>Goles!H194</f>
        <v>1</v>
      </c>
    </row>
    <row r="197" spans="18:20" x14ac:dyDescent="0.25">
      <c r="R197" s="448">
        <v>196</v>
      </c>
      <c r="S197" s="396" t="str">
        <f>Goles!G195</f>
        <v xml:space="preserve">Ryan Clarke </v>
      </c>
      <c r="T197" s="396">
        <f>Goles!H195</f>
        <v>1</v>
      </c>
    </row>
    <row r="198" spans="18:20" x14ac:dyDescent="0.25">
      <c r="R198" s="448">
        <v>197</v>
      </c>
      <c r="S198" s="396" t="str">
        <f>Goles!G196</f>
        <v xml:space="preserve">Andres Kalvet </v>
      </c>
      <c r="T198" s="396">
        <f>Goles!H196</f>
        <v>1</v>
      </c>
    </row>
    <row r="199" spans="18:20" x14ac:dyDescent="0.25">
      <c r="R199" s="448">
        <v>198</v>
      </c>
      <c r="S199" s="396" t="str">
        <f>Goles!G197</f>
        <v xml:space="preserve">Catalin Corobea </v>
      </c>
      <c r="T199" s="396">
        <f>Goles!H197</f>
        <v>1</v>
      </c>
    </row>
    <row r="200" spans="18:20" x14ac:dyDescent="0.25">
      <c r="R200" s="448">
        <v>199</v>
      </c>
      <c r="S200" s="396" t="str">
        <f>Goles!G198</f>
        <v xml:space="preserve">Andrea Chiu </v>
      </c>
      <c r="T200" s="396">
        <f>Goles!H198</f>
        <v>1</v>
      </c>
    </row>
    <row r="201" spans="18:20" x14ac:dyDescent="0.25">
      <c r="R201" s="448">
        <v>200</v>
      </c>
      <c r="S201" s="399" t="s">
        <v>1583</v>
      </c>
      <c r="T201" s="399">
        <v>1</v>
      </c>
    </row>
    <row r="202" spans="18:20" x14ac:dyDescent="0.25">
      <c r="R202" s="448">
        <v>201</v>
      </c>
      <c r="S202" s="399" t="s">
        <v>1598</v>
      </c>
      <c r="T202" s="399">
        <v>1</v>
      </c>
    </row>
    <row r="203" spans="18:20" x14ac:dyDescent="0.25">
      <c r="R203" s="43"/>
      <c r="S203" s="396"/>
      <c r="T203" s="396"/>
    </row>
    <row r="204" spans="18:20" x14ac:dyDescent="0.25">
      <c r="R204" s="43"/>
      <c r="S204" s="396"/>
      <c r="T204" s="396"/>
    </row>
    <row r="205" spans="18:20" x14ac:dyDescent="0.25">
      <c r="R205" s="43"/>
      <c r="S205" s="396"/>
      <c r="T205" s="396"/>
    </row>
    <row r="206" spans="18:20" x14ac:dyDescent="0.25">
      <c r="R206" s="43"/>
      <c r="S206" s="396"/>
      <c r="T206" s="396"/>
    </row>
    <row r="207" spans="18:20" x14ac:dyDescent="0.25">
      <c r="R207" s="43"/>
      <c r="S207" s="396"/>
      <c r="T207" s="396"/>
    </row>
    <row r="208" spans="18:20" x14ac:dyDescent="0.25">
      <c r="R208" s="43"/>
      <c r="S208" s="396"/>
      <c r="T208" s="396"/>
    </row>
    <row r="209" spans="18:20" x14ac:dyDescent="0.25">
      <c r="R209" s="43"/>
      <c r="S209" s="396"/>
      <c r="T209" s="396"/>
    </row>
    <row r="210" spans="18:20" x14ac:dyDescent="0.25">
      <c r="R210" s="43"/>
      <c r="S210" s="396"/>
      <c r="T210" s="396"/>
    </row>
    <row r="211" spans="18:20" x14ac:dyDescent="0.25">
      <c r="R211" s="43"/>
      <c r="S211" s="396"/>
      <c r="T211" s="396"/>
    </row>
    <row r="212" spans="18:20" x14ac:dyDescent="0.25">
      <c r="R212" s="43"/>
      <c r="S212" s="396"/>
      <c r="T212" s="396"/>
    </row>
    <row r="213" spans="18:20" x14ac:dyDescent="0.25">
      <c r="R213" s="43"/>
      <c r="S213" s="396"/>
      <c r="T213" s="396"/>
    </row>
    <row r="214" spans="18:20" x14ac:dyDescent="0.25">
      <c r="R214" s="43"/>
      <c r="S214" s="396"/>
      <c r="T214" s="396"/>
    </row>
    <row r="215" spans="18:20" x14ac:dyDescent="0.25">
      <c r="R215" s="43"/>
      <c r="S215" s="396"/>
      <c r="T215" s="396"/>
    </row>
    <row r="216" spans="18:20" x14ac:dyDescent="0.25">
      <c r="R216" s="43"/>
      <c r="S216" s="396"/>
      <c r="T216" s="396"/>
    </row>
    <row r="217" spans="18:20" x14ac:dyDescent="0.25">
      <c r="R217" s="43"/>
      <c r="S217" s="396"/>
      <c r="T217" s="396"/>
    </row>
    <row r="218" spans="18:20" x14ac:dyDescent="0.25">
      <c r="R218" s="43"/>
      <c r="S218" s="396"/>
      <c r="T218" s="396"/>
    </row>
    <row r="219" spans="18:20" x14ac:dyDescent="0.25">
      <c r="R219" s="43"/>
      <c r="S219" s="396"/>
      <c r="T219" s="396"/>
    </row>
    <row r="220" spans="18:20" x14ac:dyDescent="0.25">
      <c r="R220" s="43"/>
      <c r="S220" s="396"/>
      <c r="T220" s="396"/>
    </row>
    <row r="221" spans="18:20" x14ac:dyDescent="0.25">
      <c r="R221" s="43"/>
      <c r="S221" s="396"/>
      <c r="T221" s="396"/>
    </row>
    <row r="222" spans="18:20" x14ac:dyDescent="0.25">
      <c r="R222" s="43"/>
      <c r="S222" s="396"/>
      <c r="T222" s="396"/>
    </row>
    <row r="223" spans="18:20" x14ac:dyDescent="0.25">
      <c r="R223" s="43"/>
      <c r="S223" s="396"/>
      <c r="T223" s="396"/>
    </row>
    <row r="224" spans="18:20" x14ac:dyDescent="0.25">
      <c r="R224" s="43"/>
      <c r="S224" s="396"/>
      <c r="T224" s="396"/>
    </row>
    <row r="225" spans="18:20" x14ac:dyDescent="0.25">
      <c r="R225" s="43"/>
      <c r="S225" s="396"/>
      <c r="T225" s="396"/>
    </row>
    <row r="226" spans="18:20" x14ac:dyDescent="0.25">
      <c r="R226" s="43"/>
      <c r="S226" s="396"/>
      <c r="T226" s="396"/>
    </row>
    <row r="227" spans="18:20" x14ac:dyDescent="0.25">
      <c r="R227" s="43"/>
      <c r="S227" s="396"/>
      <c r="T227" s="396"/>
    </row>
  </sheetData>
  <mergeCells count="3">
    <mergeCell ref="B8:C8"/>
    <mergeCell ref="G1:H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A377-A013-4F17-9C57-4398D501FAD7}">
  <sheetPr>
    <tabColor rgb="FF7030A0"/>
  </sheetPr>
  <dimension ref="A1:D9"/>
  <sheetViews>
    <sheetView workbookViewId="0">
      <selection activeCell="B16" sqref="B16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1500</v>
      </c>
      <c r="B1" s="400">
        <v>44377</v>
      </c>
      <c r="C1" s="42"/>
    </row>
    <row r="2" spans="1:4" x14ac:dyDescent="0.25">
      <c r="A2" t="s">
        <v>1501</v>
      </c>
      <c r="B2" s="400">
        <v>44392</v>
      </c>
      <c r="C2" s="42"/>
    </row>
    <row r="3" spans="1:4" x14ac:dyDescent="0.25">
      <c r="C3" s="42"/>
    </row>
    <row r="4" spans="1:4" x14ac:dyDescent="0.25">
      <c r="A4" s="41" t="s">
        <v>1502</v>
      </c>
      <c r="B4" s="41" t="s">
        <v>1503</v>
      </c>
      <c r="C4" s="43" t="s">
        <v>1504</v>
      </c>
      <c r="D4" s="43" t="s">
        <v>1505</v>
      </c>
    </row>
    <row r="5" spans="1:4" x14ac:dyDescent="0.25">
      <c r="A5" t="s">
        <v>1506</v>
      </c>
      <c r="B5" t="s">
        <v>1507</v>
      </c>
      <c r="C5" s="42">
        <v>1</v>
      </c>
      <c r="D5" s="42">
        <v>4</v>
      </c>
    </row>
    <row r="6" spans="1:4" x14ac:dyDescent="0.25">
      <c r="A6" t="s">
        <v>1508</v>
      </c>
      <c r="B6" t="s">
        <v>1509</v>
      </c>
      <c r="C6" s="42">
        <v>0</v>
      </c>
      <c r="D6" s="42">
        <v>1</v>
      </c>
    </row>
    <row r="7" spans="1:4" x14ac:dyDescent="0.25">
      <c r="A7" t="s">
        <v>1510</v>
      </c>
      <c r="B7" t="s">
        <v>1511</v>
      </c>
      <c r="C7" s="42">
        <v>0</v>
      </c>
      <c r="D7" s="42">
        <v>2</v>
      </c>
    </row>
    <row r="8" spans="1:4" x14ac:dyDescent="0.25">
      <c r="A8" t="s">
        <v>1512</v>
      </c>
      <c r="B8" t="s">
        <v>1513</v>
      </c>
      <c r="C8" s="42">
        <v>0</v>
      </c>
      <c r="D8" s="42">
        <v>2</v>
      </c>
    </row>
    <row r="9" spans="1:4" x14ac:dyDescent="0.25">
      <c r="A9" t="s">
        <v>1514</v>
      </c>
      <c r="B9" t="s">
        <v>1515</v>
      </c>
      <c r="C9" s="401" t="s">
        <v>1516</v>
      </c>
      <c r="D9" s="401" t="s">
        <v>1517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O20" sqref="O20"/>
    </sheetView>
  </sheetViews>
  <sheetFormatPr baseColWidth="10" defaultColWidth="9.140625" defaultRowHeight="15" x14ac:dyDescent="0.25"/>
  <cols>
    <col min="1" max="1" width="3.5703125" style="242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2" width="10.5703125" bestFit="1" customWidth="1"/>
    <col min="23" max="23" width="9.42578125" bestFit="1" customWidth="1"/>
    <col min="24" max="30" width="6.42578125" bestFit="1" customWidth="1"/>
    <col min="31" max="31" width="8.5703125" bestFit="1" customWidth="1"/>
    <col min="32" max="32" width="6.5703125" bestFit="1" customWidth="1"/>
    <col min="33" max="38" width="7" bestFit="1" customWidth="1"/>
    <col min="39" max="39" width="7.5703125" bestFit="1" customWidth="1"/>
    <col min="40" max="41" width="3.42578125" bestFit="1" customWidth="1"/>
    <col min="42" max="42" width="3.5703125" bestFit="1" customWidth="1"/>
    <col min="43" max="43" width="5.28515625" bestFit="1" customWidth="1"/>
    <col min="44" max="44" width="7.140625" bestFit="1" customWidth="1"/>
    <col min="45" max="45" width="13.140625" bestFit="1" customWidth="1"/>
    <col min="46" max="46" width="10.7109375" bestFit="1" customWidth="1"/>
    <col min="47" max="51" width="10" customWidth="1"/>
  </cols>
  <sheetData>
    <row r="1" spans="1:46" x14ac:dyDescent="0.25">
      <c r="D1" s="23">
        <v>42268</v>
      </c>
      <c r="V1">
        <v>372802</v>
      </c>
      <c r="W1" s="44">
        <f>V2-V1</f>
        <v>-51852</v>
      </c>
    </row>
    <row r="2" spans="1:46" x14ac:dyDescent="0.25">
      <c r="D2" s="23">
        <f ca="1">TODAY()</f>
        <v>44711</v>
      </c>
      <c r="I2" s="24">
        <f>AVERAGE(I4:I20)</f>
        <v>10.13529411764706</v>
      </c>
      <c r="J2" s="24"/>
      <c r="N2" s="27">
        <f ca="1">AVERAGE(N4:N20)</f>
        <v>0.96345669930276068</v>
      </c>
      <c r="O2" s="24">
        <f>AVERAGE(O4:O20)</f>
        <v>7.2941176470588225</v>
      </c>
      <c r="Q2" s="24">
        <f>AVERAGE(Q4:Q20)</f>
        <v>5.1764705882352944</v>
      </c>
      <c r="R2" s="2">
        <f>AVERAGE(R4:R20)</f>
        <v>0.85346007611356789</v>
      </c>
      <c r="S2" s="2">
        <f>AVERAGE(S4:S20)</f>
        <v>0.92980748366900312</v>
      </c>
      <c r="T2" s="28">
        <f>SUM(T4:T20)</f>
        <v>1855770</v>
      </c>
      <c r="U2" s="28">
        <f>SUM(U4:U20)</f>
        <v>-639420</v>
      </c>
      <c r="V2" s="28">
        <f>SUM(V4:V20)</f>
        <v>320950</v>
      </c>
      <c r="W2" s="29">
        <f>T2/V2</f>
        <v>5.7821155943293352</v>
      </c>
      <c r="AD2" s="27">
        <f>AVERAGE(AD5:AD20)</f>
        <v>14</v>
      </c>
      <c r="AE2" s="25"/>
      <c r="AF2" s="24"/>
      <c r="AM2" s="24"/>
      <c r="AN2" s="24"/>
      <c r="AO2" s="24"/>
      <c r="AP2" s="24"/>
    </row>
    <row r="3" spans="1:46" x14ac:dyDescent="0.25">
      <c r="A3" s="241" t="s">
        <v>104</v>
      </c>
      <c r="B3" s="13" t="s">
        <v>105</v>
      </c>
      <c r="C3" s="14" t="s">
        <v>106</v>
      </c>
      <c r="D3" s="15" t="s">
        <v>107</v>
      </c>
      <c r="E3" s="13" t="s">
        <v>108</v>
      </c>
      <c r="F3" s="13" t="s">
        <v>109</v>
      </c>
      <c r="G3" s="13" t="s">
        <v>110</v>
      </c>
      <c r="H3" s="13" t="s">
        <v>111</v>
      </c>
      <c r="I3" s="13" t="s">
        <v>112</v>
      </c>
      <c r="J3" s="13" t="s">
        <v>113</v>
      </c>
      <c r="K3" s="16" t="s">
        <v>114</v>
      </c>
      <c r="L3" s="16" t="s">
        <v>115</v>
      </c>
      <c r="M3" s="13" t="s">
        <v>116</v>
      </c>
      <c r="N3" s="13" t="s">
        <v>117</v>
      </c>
      <c r="O3" s="13" t="s">
        <v>118</v>
      </c>
      <c r="P3" s="13" t="s">
        <v>119</v>
      </c>
      <c r="Q3" s="13" t="s">
        <v>120</v>
      </c>
      <c r="R3" s="39" t="s">
        <v>121</v>
      </c>
      <c r="S3" s="39" t="s">
        <v>122</v>
      </c>
      <c r="T3" s="13" t="s">
        <v>123</v>
      </c>
      <c r="U3" s="13" t="s">
        <v>124</v>
      </c>
      <c r="V3" s="13" t="s">
        <v>125</v>
      </c>
      <c r="W3" s="13" t="s">
        <v>126</v>
      </c>
      <c r="X3" s="13" t="s">
        <v>127</v>
      </c>
      <c r="Y3" s="13" t="s">
        <v>128</v>
      </c>
      <c r="Z3" s="13" t="s">
        <v>129</v>
      </c>
      <c r="AA3" s="13" t="s">
        <v>130</v>
      </c>
      <c r="AB3" s="13" t="s">
        <v>131</v>
      </c>
      <c r="AC3" s="13" t="s">
        <v>132</v>
      </c>
      <c r="AD3" s="13" t="s">
        <v>110</v>
      </c>
      <c r="AE3" s="13" t="s">
        <v>134</v>
      </c>
      <c r="AF3" s="17" t="s">
        <v>135</v>
      </c>
      <c r="AG3" s="17" t="s">
        <v>136</v>
      </c>
      <c r="AH3" s="17" t="s">
        <v>137</v>
      </c>
      <c r="AI3" s="17" t="s">
        <v>138</v>
      </c>
      <c r="AJ3" s="17" t="s">
        <v>139</v>
      </c>
      <c r="AK3" s="17" t="s">
        <v>140</v>
      </c>
      <c r="AL3" s="17" t="s">
        <v>141</v>
      </c>
      <c r="AM3" s="17" t="s">
        <v>142</v>
      </c>
      <c r="AN3" s="13" t="s">
        <v>143</v>
      </c>
      <c r="AO3" s="13" t="s">
        <v>144</v>
      </c>
      <c r="AP3" s="13" t="s">
        <v>145</v>
      </c>
      <c r="AQ3" s="13" t="s">
        <v>146</v>
      </c>
      <c r="AR3" s="282" t="s">
        <v>147</v>
      </c>
      <c r="AS3" s="283" t="s">
        <v>489</v>
      </c>
      <c r="AT3" s="283" t="s">
        <v>756</v>
      </c>
    </row>
    <row r="4" spans="1:46" x14ac:dyDescent="0.25">
      <c r="A4" s="243" t="s">
        <v>148</v>
      </c>
      <c r="B4" s="49" t="s">
        <v>149</v>
      </c>
      <c r="C4" s="195">
        <f t="shared" ref="C4:C20" ca="1" si="0">((36*112)-(E4*112)-(F4))/112</f>
        <v>3.9821428571428572</v>
      </c>
      <c r="D4" s="95" t="s">
        <v>9</v>
      </c>
      <c r="E4" s="4">
        <v>32</v>
      </c>
      <c r="F4" s="5">
        <f ca="1">$D$2-$D$1-1097-112-112-112-112-112-112-112-112-112-112-224</f>
        <v>2</v>
      </c>
      <c r="G4" s="6"/>
      <c r="H4" s="7">
        <v>4</v>
      </c>
      <c r="I4" s="8">
        <v>14</v>
      </c>
      <c r="J4" s="21">
        <f t="shared" ref="J4:J20" si="1">LOG(I4)*4/3</f>
        <v>1.5281707142376506</v>
      </c>
      <c r="K4" s="9">
        <f t="shared" ref="K4:K20" si="2">(H4)*(H4)*(I4)</f>
        <v>224</v>
      </c>
      <c r="L4" s="9">
        <f t="shared" ref="L4:L20" si="3">(H4+1)*(H4+1)*I4</f>
        <v>350</v>
      </c>
      <c r="M4" s="62">
        <v>43415</v>
      </c>
      <c r="N4" s="63">
        <f t="shared" ref="N4:N12" ca="1" si="4">IF((TODAY()-M4)&gt;335,1,((TODAY()-M4)^0.64)/(336^0.64))</f>
        <v>1</v>
      </c>
      <c r="O4" s="19">
        <v>7.6</v>
      </c>
      <c r="P4" s="20">
        <f t="shared" ref="P4:P20" si="5">O4*10+19</f>
        <v>95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57870</v>
      </c>
      <c r="U4" s="10">
        <f t="shared" ref="U4:U20" si="8">T4-AR4</f>
        <v>-15120</v>
      </c>
      <c r="V4" s="10">
        <v>20500</v>
      </c>
      <c r="W4" s="11">
        <f t="shared" ref="W4:W20" si="9">T4/V4</f>
        <v>2.8229268292682925</v>
      </c>
      <c r="X4" s="262">
        <v>15</v>
      </c>
      <c r="Y4" s="21">
        <f>13+3/14</f>
        <v>13.214285714285714</v>
      </c>
      <c r="Z4" s="262">
        <v>0</v>
      </c>
      <c r="AA4" s="21">
        <v>2</v>
      </c>
      <c r="AB4" s="262">
        <v>1</v>
      </c>
      <c r="AC4" s="21">
        <v>1</v>
      </c>
      <c r="AD4" s="262">
        <v>19</v>
      </c>
      <c r="AE4" s="12">
        <v>1542</v>
      </c>
      <c r="AF4" s="11">
        <f t="shared" ref="AF4:AF20" ca="1" si="10">(((Y4+LOG(I4)*4/3+N4)+(AB4+LOG(I4)*4/3+N4)*2)/8)*(Q4/7)^0.5</f>
        <v>2.6384481633325922</v>
      </c>
      <c r="AG4" s="22">
        <f t="shared" ref="AG4:AG20" ca="1" si="11">(Y4+J4+N4)*(Q4/7)^0.5</f>
        <v>14.574682581320545</v>
      </c>
      <c r="AH4" s="22">
        <f t="shared" ref="AH4:AH20" ca="1" si="12">(Y4+J4+N4)*(IF(Q4=7,(Q4/7)^0.5,((Q4+1)/7)^0.5))</f>
        <v>15.742456428523365</v>
      </c>
      <c r="AI4" s="22">
        <f t="shared" ref="AI4:AI20" ca="1" si="13">(Z4+N4+(LOG(I4)*4/3))*(Q4/7)^0.5</f>
        <v>2.3406312628975443</v>
      </c>
      <c r="AJ4" s="22">
        <f t="shared" ref="AJ4:AJ20" ca="1" si="14">(Z4+N4+(LOG(I4)*4/3))*(IF(Q4=7,(Q4/7)^0.5,((Q4+1)/7)^0.5))</f>
        <v>2.5281707142376506</v>
      </c>
      <c r="AK4" s="22">
        <f t="shared" ref="AK4:AK20" ca="1" si="15">(AD4+1+(LOG(I4)*4/3)+N4)*(Q4/7)^0.5</f>
        <v>20.857033258348572</v>
      </c>
      <c r="AL4" s="22">
        <f t="shared" ref="AL4:AL20" ca="1" si="16">(AD4+1+N4+(LOG(I4)*4/3))*(IF(Q4=7,(Q4/7)^0.5,((Q4+1)/7)^0.5))</f>
        <v>22.52817071423765</v>
      </c>
      <c r="AM4" s="11">
        <f t="shared" ref="AM4:AM20" ca="1" si="17">(AD4+LOG(I4)*4/3+N4)*0.7+(AC4+LOG(I4)*4/3+N4)*0.3</f>
        <v>16.128170714237648</v>
      </c>
      <c r="AN4" s="20">
        <v>1</v>
      </c>
      <c r="AO4" s="20">
        <v>3</v>
      </c>
      <c r="AP4" s="20">
        <v>2</v>
      </c>
      <c r="AQ4" s="57">
        <f t="shared" ref="AQ4:AQ20" si="18">IF(AO4=4,IF(AP4=0,0.137+0.0697,0.137+0.02),IF(AO4=3,IF(AP4=0,0.0958+0.0697,0.0958+0.02),IF(AO4=2,IF(AP4=0,0.0415+0.0697,0.0415+0.02),IF(AO4=1,IF(AP4=0,0.0294+0.0697,0.0294+0.02),IF(AO4=0,IF(AP4=0,0.0063+0.0697,0.0063+0.02))))))</f>
        <v>0.1158</v>
      </c>
      <c r="AR4" s="10">
        <v>72990</v>
      </c>
      <c r="AS4" s="284">
        <v>7000000</v>
      </c>
      <c r="AT4" s="285" t="s">
        <v>757</v>
      </c>
    </row>
    <row r="5" spans="1:46" x14ac:dyDescent="0.25">
      <c r="A5" s="243" t="s">
        <v>150</v>
      </c>
      <c r="B5" s="49" t="s">
        <v>149</v>
      </c>
      <c r="C5" s="195">
        <f t="shared" ca="1" si="0"/>
        <v>3.7589285714285716</v>
      </c>
      <c r="D5" s="307" t="s">
        <v>61</v>
      </c>
      <c r="E5" s="4">
        <v>32</v>
      </c>
      <c r="F5" s="5">
        <f ca="1">$D$2-$D$1-880+32-112-112-112-112-112-112-112-112-112-112-112-112-224</f>
        <v>27</v>
      </c>
      <c r="G5" s="6"/>
      <c r="H5" s="91">
        <v>5</v>
      </c>
      <c r="I5" s="8">
        <v>2.2999999999999998</v>
      </c>
      <c r="J5" s="21">
        <f t="shared" si="1"/>
        <v>0.48230378135679047</v>
      </c>
      <c r="K5" s="9">
        <f t="shared" si="2"/>
        <v>57.499999999999993</v>
      </c>
      <c r="L5" s="9">
        <f t="shared" si="3"/>
        <v>82.8</v>
      </c>
      <c r="M5" s="62">
        <v>43190</v>
      </c>
      <c r="N5" s="63">
        <f t="shared" ca="1" si="4"/>
        <v>1</v>
      </c>
      <c r="O5" s="19">
        <v>6</v>
      </c>
      <c r="P5" s="20">
        <f t="shared" si="5"/>
        <v>79</v>
      </c>
      <c r="Q5" s="20">
        <v>2</v>
      </c>
      <c r="R5" s="57">
        <f t="shared" si="6"/>
        <v>0.53452248382484879</v>
      </c>
      <c r="S5" s="57">
        <f t="shared" si="7"/>
        <v>0.65356167049702141</v>
      </c>
      <c r="T5" s="349">
        <v>120</v>
      </c>
      <c r="U5" s="10">
        <f t="shared" si="8"/>
        <v>-160</v>
      </c>
      <c r="V5" s="10">
        <v>830</v>
      </c>
      <c r="W5" s="11">
        <f t="shared" si="9"/>
        <v>0.14457831325301204</v>
      </c>
      <c r="X5" s="262">
        <v>5.95</v>
      </c>
      <c r="Y5" s="21">
        <f>6+0/5</f>
        <v>6</v>
      </c>
      <c r="Z5" s="262">
        <v>0</v>
      </c>
      <c r="AA5" s="21">
        <v>3</v>
      </c>
      <c r="AB5" s="262">
        <v>1</v>
      </c>
      <c r="AC5" s="21">
        <v>1</v>
      </c>
      <c r="AD5" s="262">
        <v>7</v>
      </c>
      <c r="AE5" s="12">
        <v>364</v>
      </c>
      <c r="AF5" s="11">
        <f t="shared" ca="1" si="10"/>
        <v>0.83164424594752284</v>
      </c>
      <c r="AG5" s="22">
        <f t="shared" ca="1" si="11"/>
        <v>3.9994596019428901</v>
      </c>
      <c r="AH5" s="22">
        <f t="shared" ca="1" si="12"/>
        <v>4.8983176358174001</v>
      </c>
      <c r="AI5" s="22">
        <f t="shared" ca="1" si="13"/>
        <v>0.79232469899379732</v>
      </c>
      <c r="AJ5" s="22">
        <f t="shared" ca="1" si="14"/>
        <v>0.97039561156953758</v>
      </c>
      <c r="AK5" s="22">
        <f t="shared" ca="1" si="15"/>
        <v>5.0685045695925881</v>
      </c>
      <c r="AL5" s="22">
        <f t="shared" ca="1" si="16"/>
        <v>6.2076249772333547</v>
      </c>
      <c r="AM5" s="11">
        <f t="shared" ca="1" si="17"/>
        <v>6.68230378135679</v>
      </c>
      <c r="AN5" s="20">
        <v>3</v>
      </c>
      <c r="AO5" s="20">
        <v>0</v>
      </c>
      <c r="AP5" s="20">
        <v>2</v>
      </c>
      <c r="AQ5" s="57">
        <f t="shared" si="18"/>
        <v>2.63E-2</v>
      </c>
      <c r="AR5" s="349">
        <v>280</v>
      </c>
      <c r="AS5" s="286">
        <v>14000</v>
      </c>
      <c r="AT5" s="285" t="s">
        <v>176</v>
      </c>
    </row>
    <row r="6" spans="1:46" x14ac:dyDescent="0.25">
      <c r="A6" s="243" t="s">
        <v>153</v>
      </c>
      <c r="B6" s="49" t="s">
        <v>152</v>
      </c>
      <c r="C6" s="195">
        <f t="shared" ca="1" si="0"/>
        <v>4.1785714285714288</v>
      </c>
      <c r="D6" s="95" t="s">
        <v>25</v>
      </c>
      <c r="E6" s="4">
        <v>31</v>
      </c>
      <c r="F6" s="5">
        <f ca="1">$D$2-$D$1-1102-17-112-112-112-112-112-112-112-112-112-112-112</f>
        <v>92</v>
      </c>
      <c r="G6" s="6"/>
      <c r="H6" s="7">
        <v>4</v>
      </c>
      <c r="I6" s="8">
        <v>10</v>
      </c>
      <c r="J6" s="21">
        <f t="shared" si="1"/>
        <v>1.3333333333333333</v>
      </c>
      <c r="K6" s="9">
        <f t="shared" si="2"/>
        <v>160</v>
      </c>
      <c r="L6" s="9">
        <f t="shared" si="3"/>
        <v>250</v>
      </c>
      <c r="M6" s="62">
        <v>43410</v>
      </c>
      <c r="N6" s="63">
        <f t="shared" ca="1" si="4"/>
        <v>1</v>
      </c>
      <c r="O6" s="19">
        <v>7.4</v>
      </c>
      <c r="P6" s="20">
        <f t="shared" si="5"/>
        <v>93</v>
      </c>
      <c r="Q6" s="20">
        <v>5</v>
      </c>
      <c r="R6" s="57">
        <f t="shared" si="6"/>
        <v>0.84515425472851657</v>
      </c>
      <c r="S6" s="57">
        <f t="shared" si="7"/>
        <v>0.92504826128926143</v>
      </c>
      <c r="T6" s="349">
        <v>126590</v>
      </c>
      <c r="U6" s="10">
        <f t="shared" si="8"/>
        <v>-27620</v>
      </c>
      <c r="V6" s="10">
        <v>30200</v>
      </c>
      <c r="W6" s="11">
        <f t="shared" si="9"/>
        <v>4.1917218543046362</v>
      </c>
      <c r="X6" s="262">
        <v>0</v>
      </c>
      <c r="Y6" s="21">
        <f>16+1/23</f>
        <v>16.043478260869566</v>
      </c>
      <c r="Z6" s="262">
        <f>5+2/8</f>
        <v>5.25</v>
      </c>
      <c r="AA6" s="21">
        <f>9+0/5</f>
        <v>9</v>
      </c>
      <c r="AB6" s="262">
        <f>9+0/7</f>
        <v>9</v>
      </c>
      <c r="AC6" s="21">
        <v>1</v>
      </c>
      <c r="AD6" s="262">
        <v>17</v>
      </c>
      <c r="AE6" s="12">
        <v>1889</v>
      </c>
      <c r="AF6" s="11">
        <f t="shared" ca="1" si="10"/>
        <v>4.3360087851289109</v>
      </c>
      <c r="AG6" s="22">
        <f t="shared" ca="1" si="11"/>
        <v>15.531240507184913</v>
      </c>
      <c r="AH6" s="22">
        <f t="shared" ca="1" si="12"/>
        <v>17.013621543646305</v>
      </c>
      <c r="AI6" s="22">
        <f t="shared" ca="1" si="13"/>
        <v>6.4090864316912501</v>
      </c>
      <c r="AJ6" s="22">
        <f t="shared" ca="1" si="14"/>
        <v>7.0208024232751809</v>
      </c>
      <c r="AK6" s="22">
        <f t="shared" ca="1" si="15"/>
        <v>17.184803179479836</v>
      </c>
      <c r="AL6" s="22">
        <f t="shared" ca="1" si="16"/>
        <v>18.82500869537521</v>
      </c>
      <c r="AM6" s="11">
        <f t="shared" ca="1" si="17"/>
        <v>14.533333333333331</v>
      </c>
      <c r="AN6" s="20">
        <v>3</v>
      </c>
      <c r="AO6" s="20">
        <v>2</v>
      </c>
      <c r="AP6" s="20">
        <v>2</v>
      </c>
      <c r="AQ6" s="57">
        <f t="shared" si="18"/>
        <v>6.1499999999999999E-2</v>
      </c>
      <c r="AR6" s="349">
        <v>154210</v>
      </c>
      <c r="AS6" s="286">
        <v>3600000</v>
      </c>
      <c r="AT6" s="285" t="s">
        <v>757</v>
      </c>
    </row>
    <row r="7" spans="1:46" x14ac:dyDescent="0.25">
      <c r="A7" s="243" t="s">
        <v>154</v>
      </c>
      <c r="B7" s="49" t="s">
        <v>152</v>
      </c>
      <c r="C7" s="195">
        <f t="shared" ca="1" si="0"/>
        <v>3.7321428571428572</v>
      </c>
      <c r="D7" s="95" t="s">
        <v>64</v>
      </c>
      <c r="E7" s="4">
        <v>32</v>
      </c>
      <c r="F7" s="5">
        <f ca="1">$D$2-$D$1-1069-112-112-112-112-112-112-112-112-112-112-224</f>
        <v>30</v>
      </c>
      <c r="G7" s="6"/>
      <c r="H7" s="7">
        <v>1</v>
      </c>
      <c r="I7" s="8">
        <v>10</v>
      </c>
      <c r="J7" s="21">
        <f t="shared" si="1"/>
        <v>1.3333333333333333</v>
      </c>
      <c r="K7" s="9">
        <f t="shared" si="2"/>
        <v>10</v>
      </c>
      <c r="L7" s="9">
        <f t="shared" si="3"/>
        <v>40</v>
      </c>
      <c r="M7" s="62">
        <v>43383</v>
      </c>
      <c r="N7" s="63">
        <f t="shared" ca="1" si="4"/>
        <v>1</v>
      </c>
      <c r="O7" s="19">
        <v>7.3</v>
      </c>
      <c r="P7" s="20">
        <f t="shared" si="5"/>
        <v>92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349">
        <v>98940</v>
      </c>
      <c r="U7" s="10">
        <f t="shared" si="8"/>
        <v>-46510</v>
      </c>
      <c r="V7" s="10">
        <v>18780</v>
      </c>
      <c r="W7" s="11">
        <f t="shared" si="9"/>
        <v>5.2683706070287544</v>
      </c>
      <c r="X7" s="262">
        <v>0</v>
      </c>
      <c r="Y7" s="21">
        <v>15</v>
      </c>
      <c r="Z7" s="262">
        <f>3+1/4+(30/90)*1/4+1/4*29/90+1/8*31/90</f>
        <v>3.4569444444444448</v>
      </c>
      <c r="AA7" s="21">
        <f>9+2/5</f>
        <v>9.4</v>
      </c>
      <c r="AB7" s="262">
        <f>12+0/9</f>
        <v>12</v>
      </c>
      <c r="AC7" s="21">
        <v>3.95</v>
      </c>
      <c r="AD7" s="262">
        <v>17</v>
      </c>
      <c r="AE7" s="12">
        <v>1922</v>
      </c>
      <c r="AF7" s="11">
        <f t="shared" ca="1" si="10"/>
        <v>5.3234655736921708</v>
      </c>
      <c r="AG7" s="22">
        <f t="shared" ca="1" si="11"/>
        <v>16.047548396057557</v>
      </c>
      <c r="AH7" s="22">
        <f t="shared" ca="1" si="12"/>
        <v>17.333333333333332</v>
      </c>
      <c r="AI7" s="22">
        <f t="shared" ca="1" si="13"/>
        <v>5.3607555499330095</v>
      </c>
      <c r="AJ7" s="22">
        <f t="shared" ca="1" si="14"/>
        <v>5.7902777777777779</v>
      </c>
      <c r="AK7" s="22">
        <f t="shared" ca="1" si="15"/>
        <v>18.82500869537521</v>
      </c>
      <c r="AL7" s="22">
        <f t="shared" ca="1" si="16"/>
        <v>20.333333333333332</v>
      </c>
      <c r="AM7" s="11">
        <f t="shared" ca="1" si="17"/>
        <v>15.418333333333331</v>
      </c>
      <c r="AN7" s="20">
        <v>0</v>
      </c>
      <c r="AO7" s="20">
        <v>3</v>
      </c>
      <c r="AP7" s="20">
        <v>2</v>
      </c>
      <c r="AQ7" s="57">
        <f t="shared" si="18"/>
        <v>0.1158</v>
      </c>
      <c r="AR7" s="349">
        <v>145450</v>
      </c>
      <c r="AS7" s="286">
        <v>2500000</v>
      </c>
      <c r="AT7" s="285" t="s">
        <v>757</v>
      </c>
    </row>
    <row r="8" spans="1:46" x14ac:dyDescent="0.25">
      <c r="A8" s="243" t="s">
        <v>151</v>
      </c>
      <c r="B8" s="49" t="s">
        <v>152</v>
      </c>
      <c r="C8" s="195">
        <f t="shared" ca="1" si="0"/>
        <v>3.8660714285714284</v>
      </c>
      <c r="D8" s="95" t="s">
        <v>45</v>
      </c>
      <c r="E8" s="4">
        <v>32</v>
      </c>
      <c r="F8" s="5">
        <f ca="1">$D$2-$D$1-880+55-112-112-14-21-112-112-112-112-112-112-112-112-112-112-224</f>
        <v>15</v>
      </c>
      <c r="G8" s="6"/>
      <c r="H8" s="7">
        <v>4</v>
      </c>
      <c r="I8" s="8">
        <v>10</v>
      </c>
      <c r="J8" s="21">
        <f t="shared" si="1"/>
        <v>1.3333333333333333</v>
      </c>
      <c r="K8" s="9">
        <f t="shared" si="2"/>
        <v>160</v>
      </c>
      <c r="L8" s="9">
        <f t="shared" si="3"/>
        <v>250</v>
      </c>
      <c r="M8" s="62">
        <v>43419</v>
      </c>
      <c r="N8" s="63">
        <f t="shared" ca="1" si="4"/>
        <v>1</v>
      </c>
      <c r="O8" s="19">
        <v>7.3</v>
      </c>
      <c r="P8" s="20">
        <f t="shared" si="5"/>
        <v>92</v>
      </c>
      <c r="Q8" s="20">
        <v>6</v>
      </c>
      <c r="R8" s="57">
        <f t="shared" si="6"/>
        <v>0.92582009977255142</v>
      </c>
      <c r="S8" s="57">
        <f t="shared" si="7"/>
        <v>0.99928545900129484</v>
      </c>
      <c r="T8" s="10">
        <v>96230</v>
      </c>
      <c r="U8" s="10">
        <f t="shared" si="8"/>
        <v>-51320</v>
      </c>
      <c r="V8" s="10">
        <v>13100</v>
      </c>
      <c r="W8" s="11">
        <f t="shared" si="9"/>
        <v>7.3458015267175574</v>
      </c>
      <c r="X8" s="262">
        <v>0</v>
      </c>
      <c r="Y8" s="21">
        <f>13+3/16</f>
        <v>13.1875</v>
      </c>
      <c r="Z8" s="262">
        <f>11+6/9</f>
        <v>11.666666666666666</v>
      </c>
      <c r="AA8" s="21">
        <f>5+1/4</f>
        <v>5.25</v>
      </c>
      <c r="AB8" s="262">
        <f>11+1/7</f>
        <v>11.142857142857142</v>
      </c>
      <c r="AC8" s="21">
        <v>4</v>
      </c>
      <c r="AD8" s="262">
        <v>17</v>
      </c>
      <c r="AE8" s="12">
        <v>1863</v>
      </c>
      <c r="AF8" s="11">
        <f t="shared" ca="1" si="10"/>
        <v>4.9153194359576196</v>
      </c>
      <c r="AG8" s="22">
        <f t="shared" ca="1" si="11"/>
        <v>14.369499465219809</v>
      </c>
      <c r="AH8" s="22">
        <f t="shared" ca="1" si="12"/>
        <v>15.520833333333334</v>
      </c>
      <c r="AI8" s="22">
        <f t="shared" ca="1" si="13"/>
        <v>12.961481396815721</v>
      </c>
      <c r="AJ8" s="22">
        <f t="shared" ca="1" si="14"/>
        <v>14</v>
      </c>
      <c r="AK8" s="22">
        <f t="shared" ca="1" si="15"/>
        <v>18.82500869537521</v>
      </c>
      <c r="AL8" s="22">
        <f t="shared" ca="1" si="16"/>
        <v>20.333333333333332</v>
      </c>
      <c r="AM8" s="11">
        <f t="shared" ca="1" si="17"/>
        <v>15.433333333333332</v>
      </c>
      <c r="AN8" s="20">
        <v>0</v>
      </c>
      <c r="AO8" s="20">
        <v>2</v>
      </c>
      <c r="AP8" s="20">
        <v>2</v>
      </c>
      <c r="AQ8" s="57">
        <f t="shared" si="18"/>
        <v>6.1499999999999999E-2</v>
      </c>
      <c r="AR8" s="10">
        <v>147550</v>
      </c>
      <c r="AS8" s="286">
        <v>3869000</v>
      </c>
      <c r="AT8" s="285" t="s">
        <v>757</v>
      </c>
    </row>
    <row r="9" spans="1:46" x14ac:dyDescent="0.25">
      <c r="A9" s="243" t="s">
        <v>156</v>
      </c>
      <c r="B9" s="49" t="s">
        <v>152</v>
      </c>
      <c r="C9" s="195">
        <f t="shared" ca="1" si="0"/>
        <v>3.4821428571428572</v>
      </c>
      <c r="D9" s="95" t="s">
        <v>60</v>
      </c>
      <c r="E9" s="4">
        <v>32</v>
      </c>
      <c r="F9" s="5">
        <f ca="1">$D$2-$D$1-1377-112-112-112-112-112-112-112-224</f>
        <v>58</v>
      </c>
      <c r="G9" s="6"/>
      <c r="H9" s="7">
        <v>2</v>
      </c>
      <c r="I9" s="8">
        <v>10</v>
      </c>
      <c r="J9" s="21">
        <f t="shared" si="1"/>
        <v>1.3333333333333333</v>
      </c>
      <c r="K9" s="9">
        <f t="shared" si="2"/>
        <v>40</v>
      </c>
      <c r="L9" s="9">
        <f t="shared" si="3"/>
        <v>90</v>
      </c>
      <c r="M9" s="62">
        <v>43706</v>
      </c>
      <c r="N9" s="63">
        <f t="shared" ca="1" si="4"/>
        <v>1</v>
      </c>
      <c r="O9" s="19">
        <v>7.2</v>
      </c>
      <c r="P9" s="20">
        <f t="shared" si="5"/>
        <v>91</v>
      </c>
      <c r="Q9" s="20">
        <v>6</v>
      </c>
      <c r="R9" s="57">
        <f t="shared" si="6"/>
        <v>0.92582009977255142</v>
      </c>
      <c r="S9" s="57">
        <f t="shared" si="7"/>
        <v>0.99928545900129484</v>
      </c>
      <c r="T9" s="10">
        <v>96320</v>
      </c>
      <c r="U9" s="10">
        <f t="shared" si="8"/>
        <v>-69580</v>
      </c>
      <c r="V9" s="10">
        <v>19100</v>
      </c>
      <c r="W9" s="11">
        <f t="shared" si="9"/>
        <v>5.0429319371727752</v>
      </c>
      <c r="X9" s="262">
        <v>0</v>
      </c>
      <c r="Y9" s="21">
        <v>15</v>
      </c>
      <c r="Z9" s="262">
        <v>6</v>
      </c>
      <c r="AA9" s="21">
        <f>3+1/3</f>
        <v>3.3333333333333335</v>
      </c>
      <c r="AB9" s="262">
        <f>12+2/9</f>
        <v>12.222222222222221</v>
      </c>
      <c r="AC9" s="21">
        <v>5.95</v>
      </c>
      <c r="AD9" s="262">
        <v>17</v>
      </c>
      <c r="AE9" s="12">
        <v>1921</v>
      </c>
      <c r="AF9" s="11">
        <f t="shared" ca="1" si="10"/>
        <v>5.3749000236795341</v>
      </c>
      <c r="AG9" s="22">
        <f t="shared" ca="1" si="11"/>
        <v>16.047548396057557</v>
      </c>
      <c r="AH9" s="22">
        <f t="shared" ca="1" si="12"/>
        <v>17.333333333333332</v>
      </c>
      <c r="AI9" s="22">
        <f t="shared" ca="1" si="13"/>
        <v>7.7151674981045959</v>
      </c>
      <c r="AJ9" s="22">
        <f t="shared" ca="1" si="14"/>
        <v>8.3333333333333339</v>
      </c>
      <c r="AK9" s="22">
        <f t="shared" ca="1" si="15"/>
        <v>18.82500869537521</v>
      </c>
      <c r="AL9" s="22">
        <f t="shared" ca="1" si="16"/>
        <v>20.333333333333332</v>
      </c>
      <c r="AM9" s="11">
        <f t="shared" ca="1" si="17"/>
        <v>16.018333333333331</v>
      </c>
      <c r="AN9" s="20">
        <v>2</v>
      </c>
      <c r="AO9" s="20">
        <v>2</v>
      </c>
      <c r="AP9" s="20">
        <v>1</v>
      </c>
      <c r="AQ9" s="57">
        <f t="shared" si="18"/>
        <v>6.1499999999999999E-2</v>
      </c>
      <c r="AR9" s="10">
        <v>165900</v>
      </c>
      <c r="AS9" s="286">
        <v>4162000</v>
      </c>
      <c r="AT9" s="285" t="s">
        <v>757</v>
      </c>
    </row>
    <row r="10" spans="1:46" x14ac:dyDescent="0.25">
      <c r="A10" s="243" t="s">
        <v>157</v>
      </c>
      <c r="B10" s="49" t="s">
        <v>158</v>
      </c>
      <c r="C10" s="195">
        <f t="shared" ca="1" si="0"/>
        <v>4.0446428571428568</v>
      </c>
      <c r="D10" s="95" t="s">
        <v>20</v>
      </c>
      <c r="E10" s="4">
        <v>31</v>
      </c>
      <c r="F10" s="5">
        <f ca="1">$D$2-$D$1-885-112-112-112-112-112-112-112-112-107-112-112-112-112</f>
        <v>107</v>
      </c>
      <c r="G10" s="6" t="s">
        <v>159</v>
      </c>
      <c r="H10" s="91">
        <v>5</v>
      </c>
      <c r="I10" s="8">
        <v>12</v>
      </c>
      <c r="J10" s="21">
        <f t="shared" si="1"/>
        <v>1.4389083280634998</v>
      </c>
      <c r="K10" s="9">
        <f t="shared" si="2"/>
        <v>300</v>
      </c>
      <c r="L10" s="9">
        <f t="shared" si="3"/>
        <v>432</v>
      </c>
      <c r="M10" s="62">
        <v>43137</v>
      </c>
      <c r="N10" s="63">
        <f t="shared" ca="1" si="4"/>
        <v>1</v>
      </c>
      <c r="O10" s="19">
        <v>7.6</v>
      </c>
      <c r="P10" s="20">
        <f t="shared" si="5"/>
        <v>95</v>
      </c>
      <c r="Q10" s="20">
        <v>5</v>
      </c>
      <c r="R10" s="57">
        <f t="shared" si="6"/>
        <v>0.84515425472851657</v>
      </c>
      <c r="S10" s="57">
        <f t="shared" si="7"/>
        <v>0.92504826128926143</v>
      </c>
      <c r="T10" s="10">
        <v>156380</v>
      </c>
      <c r="U10" s="10">
        <f t="shared" si="8"/>
        <v>-13750</v>
      </c>
      <c r="V10" s="10">
        <v>21560</v>
      </c>
      <c r="W10" s="11">
        <f t="shared" si="9"/>
        <v>7.2532467532467528</v>
      </c>
      <c r="X10" s="262">
        <v>0</v>
      </c>
      <c r="Y10" s="21">
        <f>14+6/16</f>
        <v>14.375</v>
      </c>
      <c r="Z10" s="262">
        <f>5+0/5</f>
        <v>5</v>
      </c>
      <c r="AA10" s="21">
        <f>14+0/9</f>
        <v>14</v>
      </c>
      <c r="AB10" s="262">
        <v>9</v>
      </c>
      <c r="AC10" s="21">
        <v>6.95</v>
      </c>
      <c r="AD10" s="262">
        <v>18</v>
      </c>
      <c r="AE10" s="12">
        <v>2064</v>
      </c>
      <c r="AF10" s="11">
        <f t="shared" ca="1" si="10"/>
        <v>4.1932037809878455</v>
      </c>
      <c r="AG10" s="22">
        <f t="shared" ca="1" si="11"/>
        <v>14.210346162078103</v>
      </c>
      <c r="AH10" s="22">
        <f t="shared" ca="1" si="12"/>
        <v>15.56665428585428</v>
      </c>
      <c r="AI10" s="22">
        <f t="shared" ca="1" si="13"/>
        <v>6.2870250239982619</v>
      </c>
      <c r="AJ10" s="22">
        <f t="shared" ca="1" si="14"/>
        <v>6.8870908504866124</v>
      </c>
      <c r="AK10" s="22">
        <f t="shared" ca="1" si="15"/>
        <v>18.119184590197495</v>
      </c>
      <c r="AL10" s="22">
        <f t="shared" ca="1" si="16"/>
        <v>19.848572247302336</v>
      </c>
      <c r="AM10" s="11">
        <f t="shared" ca="1" si="17"/>
        <v>17.1239083280635</v>
      </c>
      <c r="AN10" s="20">
        <v>1</v>
      </c>
      <c r="AO10" s="20">
        <v>2</v>
      </c>
      <c r="AP10" s="20">
        <v>3</v>
      </c>
      <c r="AQ10" s="57">
        <f t="shared" si="18"/>
        <v>6.1499999999999999E-2</v>
      </c>
      <c r="AR10" s="10">
        <v>170130</v>
      </c>
      <c r="AS10" s="286">
        <v>1530000</v>
      </c>
      <c r="AT10" s="285" t="s">
        <v>757</v>
      </c>
    </row>
    <row r="11" spans="1:46" x14ac:dyDescent="0.25">
      <c r="A11" s="243" t="s">
        <v>160</v>
      </c>
      <c r="B11" s="49" t="s">
        <v>158</v>
      </c>
      <c r="C11" s="195">
        <f t="shared" ca="1" si="0"/>
        <v>4.3928571428571432</v>
      </c>
      <c r="D11" s="95" t="s">
        <v>161</v>
      </c>
      <c r="E11" s="4">
        <v>31</v>
      </c>
      <c r="F11" s="5">
        <f ca="1">$D$2-$D$1-1479-112-112-112-112-112-112-112-112</f>
        <v>68</v>
      </c>
      <c r="G11" s="6" t="s">
        <v>162</v>
      </c>
      <c r="H11" s="7">
        <v>3</v>
      </c>
      <c r="I11" s="8">
        <v>12</v>
      </c>
      <c r="J11" s="21">
        <f t="shared" si="1"/>
        <v>1.4389083280634998</v>
      </c>
      <c r="K11" s="9">
        <f t="shared" si="2"/>
        <v>108</v>
      </c>
      <c r="L11" s="9">
        <f t="shared" si="3"/>
        <v>192</v>
      </c>
      <c r="M11" s="62">
        <v>43122</v>
      </c>
      <c r="N11" s="63">
        <f t="shared" ca="1" si="4"/>
        <v>1</v>
      </c>
      <c r="O11" s="19">
        <v>7.6</v>
      </c>
      <c r="P11" s="20">
        <f t="shared" si="5"/>
        <v>95</v>
      </c>
      <c r="Q11" s="20">
        <v>4</v>
      </c>
      <c r="R11" s="57">
        <f t="shared" si="6"/>
        <v>0.7559289460184544</v>
      </c>
      <c r="S11" s="57">
        <f t="shared" si="7"/>
        <v>0.84430867747355465</v>
      </c>
      <c r="T11" s="10">
        <v>174380</v>
      </c>
      <c r="U11" s="10">
        <f t="shared" si="8"/>
        <v>-84210</v>
      </c>
      <c r="V11" s="10">
        <v>22110</v>
      </c>
      <c r="W11" s="11">
        <f t="shared" si="9"/>
        <v>7.8869289914066032</v>
      </c>
      <c r="X11" s="262">
        <v>0</v>
      </c>
      <c r="Y11" s="21">
        <f>14+0/22</f>
        <v>14</v>
      </c>
      <c r="Z11" s="262">
        <f>5+0/6</f>
        <v>5</v>
      </c>
      <c r="AA11" s="21">
        <f>15+1/9</f>
        <v>15.111111111111111</v>
      </c>
      <c r="AB11" s="262">
        <f>10+0/7</f>
        <v>10</v>
      </c>
      <c r="AC11" s="21">
        <v>6.95</v>
      </c>
      <c r="AD11" s="262">
        <v>18</v>
      </c>
      <c r="AE11" s="12">
        <v>2197</v>
      </c>
      <c r="AF11" s="11">
        <f t="shared" ca="1" si="10"/>
        <v>3.9040635462791835</v>
      </c>
      <c r="AG11" s="22">
        <f t="shared" ca="1" si="11"/>
        <v>12.426646646127033</v>
      </c>
      <c r="AH11" s="22">
        <f t="shared" ca="1" si="12"/>
        <v>13.893413316554909</v>
      </c>
      <c r="AI11" s="22">
        <f t="shared" ca="1" si="13"/>
        <v>5.6232861319609437</v>
      </c>
      <c r="AJ11" s="22">
        <f t="shared" ca="1" si="14"/>
        <v>6.2870250239982619</v>
      </c>
      <c r="AK11" s="22">
        <f t="shared" ca="1" si="15"/>
        <v>16.206291376219308</v>
      </c>
      <c r="AL11" s="22">
        <f t="shared" ca="1" si="16"/>
        <v>18.119184590197495</v>
      </c>
      <c r="AM11" s="11">
        <f t="shared" ca="1" si="17"/>
        <v>17.1239083280635</v>
      </c>
      <c r="AN11" s="20">
        <v>2</v>
      </c>
      <c r="AO11" s="20">
        <v>0</v>
      </c>
      <c r="AP11" s="20">
        <v>2</v>
      </c>
      <c r="AQ11" s="57">
        <f t="shared" si="18"/>
        <v>2.63E-2</v>
      </c>
      <c r="AR11" s="10">
        <v>258590</v>
      </c>
      <c r="AS11" s="286">
        <v>600000</v>
      </c>
      <c r="AT11" s="285" t="s">
        <v>757</v>
      </c>
    </row>
    <row r="12" spans="1:46" x14ac:dyDescent="0.25">
      <c r="A12" s="243" t="s">
        <v>163</v>
      </c>
      <c r="B12" s="49" t="s">
        <v>158</v>
      </c>
      <c r="C12" s="195">
        <f t="shared" ca="1" si="0"/>
        <v>4.0446428571428568</v>
      </c>
      <c r="D12" s="95" t="s">
        <v>27</v>
      </c>
      <c r="E12" s="4">
        <v>31</v>
      </c>
      <c r="F12" s="5">
        <f ca="1">$D$2-$D$1-880-112-112-112-112-112-112-112-112-112-112-112-112-112</f>
        <v>107</v>
      </c>
      <c r="G12" s="6" t="s">
        <v>159</v>
      </c>
      <c r="H12" s="30">
        <v>6</v>
      </c>
      <c r="I12" s="8">
        <v>11</v>
      </c>
      <c r="J12" s="21">
        <f t="shared" si="1"/>
        <v>1.3885235802109668</v>
      </c>
      <c r="K12" s="9">
        <f t="shared" si="2"/>
        <v>396</v>
      </c>
      <c r="L12" s="9">
        <f t="shared" si="3"/>
        <v>539</v>
      </c>
      <c r="M12" s="62">
        <v>43051</v>
      </c>
      <c r="N12" s="63">
        <f t="shared" ca="1" si="4"/>
        <v>1</v>
      </c>
      <c r="O12" s="19">
        <v>7.6</v>
      </c>
      <c r="P12" s="20">
        <f t="shared" si="5"/>
        <v>95</v>
      </c>
      <c r="Q12" s="20">
        <v>4</v>
      </c>
      <c r="R12" s="57">
        <f t="shared" si="6"/>
        <v>0.7559289460184544</v>
      </c>
      <c r="S12" s="57">
        <f t="shared" si="7"/>
        <v>0.84430867747355465</v>
      </c>
      <c r="T12" s="349">
        <v>119750</v>
      </c>
      <c r="U12" s="10">
        <f t="shared" si="8"/>
        <v>-38910</v>
      </c>
      <c r="V12" s="10">
        <v>16090</v>
      </c>
      <c r="W12" s="11">
        <f t="shared" si="9"/>
        <v>7.4425108763206964</v>
      </c>
      <c r="X12" s="262">
        <v>0</v>
      </c>
      <c r="Y12" s="21">
        <f>13+5/15</f>
        <v>13.333333333333334</v>
      </c>
      <c r="Z12" s="262">
        <v>5</v>
      </c>
      <c r="AA12" s="21">
        <f>14+0/6</f>
        <v>14</v>
      </c>
      <c r="AB12" s="262">
        <v>10</v>
      </c>
      <c r="AC12" s="21">
        <v>6.95</v>
      </c>
      <c r="AD12" s="262">
        <v>18</v>
      </c>
      <c r="AE12" s="12">
        <v>2000</v>
      </c>
      <c r="AF12" s="11">
        <f t="shared" ca="1" si="10"/>
        <v>3.8267867339419728</v>
      </c>
      <c r="AG12" s="22">
        <f t="shared" ca="1" si="11"/>
        <v>11.884606726108494</v>
      </c>
      <c r="AH12" s="22">
        <f t="shared" ca="1" si="12"/>
        <v>13.287394262714908</v>
      </c>
      <c r="AI12" s="22">
        <f t="shared" ca="1" si="13"/>
        <v>5.5851988426213728</v>
      </c>
      <c r="AJ12" s="22">
        <f t="shared" ca="1" si="14"/>
        <v>6.24444213997727</v>
      </c>
      <c r="AK12" s="22">
        <f t="shared" ca="1" si="15"/>
        <v>16.168204086879737</v>
      </c>
      <c r="AL12" s="22">
        <f t="shared" ca="1" si="16"/>
        <v>18.076601706176504</v>
      </c>
      <c r="AM12" s="11">
        <f t="shared" ca="1" si="17"/>
        <v>17.073523580210967</v>
      </c>
      <c r="AN12" s="20">
        <v>2</v>
      </c>
      <c r="AO12" s="20">
        <v>2</v>
      </c>
      <c r="AP12" s="20">
        <v>1</v>
      </c>
      <c r="AQ12" s="57">
        <f t="shared" si="18"/>
        <v>6.1499999999999999E-2</v>
      </c>
      <c r="AR12" s="349">
        <v>158660</v>
      </c>
      <c r="AS12" s="286">
        <v>496109</v>
      </c>
      <c r="AT12" s="285" t="s">
        <v>757</v>
      </c>
    </row>
    <row r="13" spans="1:46" x14ac:dyDescent="0.25">
      <c r="A13" s="243" t="s">
        <v>164</v>
      </c>
      <c r="B13" s="49" t="s">
        <v>158</v>
      </c>
      <c r="C13" s="195">
        <f t="shared" ca="1" si="0"/>
        <v>4.0803571428571432</v>
      </c>
      <c r="D13" s="95" t="s">
        <v>14</v>
      </c>
      <c r="E13" s="4">
        <v>31</v>
      </c>
      <c r="F13" s="5">
        <f ca="1">$D$2-$D$1-880-4-112-112-112-112-112-112-112-112-112-112-112-112-112</f>
        <v>103</v>
      </c>
      <c r="G13" s="6" t="s">
        <v>162</v>
      </c>
      <c r="H13" s="7">
        <v>1</v>
      </c>
      <c r="I13" s="8">
        <v>13</v>
      </c>
      <c r="J13" s="21">
        <f t="shared" si="1"/>
        <v>1.4852578030757824</v>
      </c>
      <c r="K13" s="9">
        <f t="shared" si="2"/>
        <v>13</v>
      </c>
      <c r="L13" s="9">
        <f t="shared" si="3"/>
        <v>52</v>
      </c>
      <c r="M13" s="62">
        <v>43046</v>
      </c>
      <c r="N13" s="63">
        <v>1.5</v>
      </c>
      <c r="O13" s="19">
        <v>7.6</v>
      </c>
      <c r="P13" s="20">
        <f t="shared" si="5"/>
        <v>95</v>
      </c>
      <c r="Q13" s="20">
        <v>4</v>
      </c>
      <c r="R13" s="57">
        <f t="shared" si="6"/>
        <v>0.7559289460184544</v>
      </c>
      <c r="S13" s="57">
        <f t="shared" si="7"/>
        <v>0.84430867747355465</v>
      </c>
      <c r="T13" s="349">
        <v>174700</v>
      </c>
      <c r="U13" s="10">
        <f t="shared" si="8"/>
        <v>-8700</v>
      </c>
      <c r="V13" s="10">
        <v>23860</v>
      </c>
      <c r="W13" s="11">
        <f t="shared" si="9"/>
        <v>7.3218776194467727</v>
      </c>
      <c r="X13" s="262">
        <v>0</v>
      </c>
      <c r="Y13" s="21">
        <f>12+8/12</f>
        <v>12.666666666666666</v>
      </c>
      <c r="Z13" s="262">
        <v>7</v>
      </c>
      <c r="AA13" s="21">
        <f>16+0/17</f>
        <v>16</v>
      </c>
      <c r="AB13" s="262">
        <v>10</v>
      </c>
      <c r="AC13" s="21">
        <f>7+4/5</f>
        <v>7.8</v>
      </c>
      <c r="AD13" s="262">
        <v>19</v>
      </c>
      <c r="AE13" s="12">
        <v>2213</v>
      </c>
      <c r="AF13" s="11">
        <f t="shared" si="10"/>
        <v>3.9329509071608548</v>
      </c>
      <c r="AG13" s="22">
        <f t="shared" si="11"/>
        <v>11.831742767572864</v>
      </c>
      <c r="AH13" s="22">
        <f t="shared" si="12"/>
        <v>13.22829056029221</v>
      </c>
      <c r="AI13" s="22">
        <f t="shared" si="13"/>
        <v>7.5481454068016234</v>
      </c>
      <c r="AJ13" s="22">
        <f t="shared" si="14"/>
        <v>8.4390831168306182</v>
      </c>
      <c r="AK13" s="22">
        <f t="shared" si="15"/>
        <v>17.375221705041533</v>
      </c>
      <c r="AL13" s="22">
        <f t="shared" si="16"/>
        <v>19.426088428301334</v>
      </c>
      <c r="AM13" s="11">
        <f t="shared" si="17"/>
        <v>18.62525780307578</v>
      </c>
      <c r="AN13" s="20">
        <v>4</v>
      </c>
      <c r="AO13" s="20">
        <v>3</v>
      </c>
      <c r="AP13" s="20">
        <v>2</v>
      </c>
      <c r="AQ13" s="57">
        <f t="shared" si="18"/>
        <v>0.1158</v>
      </c>
      <c r="AR13" s="476">
        <v>183400</v>
      </c>
      <c r="AS13" s="286">
        <v>0</v>
      </c>
      <c r="AT13" s="285" t="s">
        <v>757</v>
      </c>
    </row>
    <row r="14" spans="1:46" x14ac:dyDescent="0.25">
      <c r="A14" s="243" t="s">
        <v>165</v>
      </c>
      <c r="B14" s="49" t="s">
        <v>158</v>
      </c>
      <c r="C14" s="195">
        <f t="shared" ca="1" si="0"/>
        <v>4.0803571428571432</v>
      </c>
      <c r="D14" s="95" t="s">
        <v>166</v>
      </c>
      <c r="E14" s="4">
        <v>31</v>
      </c>
      <c r="F14" s="5">
        <f ca="1">$D$2-$D$1-880-4-112-112-112-112-112-112-112-112-112-112-112-112-112</f>
        <v>103</v>
      </c>
      <c r="G14" s="6" t="s">
        <v>159</v>
      </c>
      <c r="H14" s="30">
        <v>6</v>
      </c>
      <c r="I14" s="8">
        <v>11</v>
      </c>
      <c r="J14" s="21">
        <f t="shared" si="1"/>
        <v>1.3885235802109668</v>
      </c>
      <c r="K14" s="9">
        <f t="shared" si="2"/>
        <v>396</v>
      </c>
      <c r="L14" s="9">
        <f t="shared" si="3"/>
        <v>539</v>
      </c>
      <c r="M14" s="62">
        <v>43054</v>
      </c>
      <c r="N14" s="63">
        <f t="shared" ref="N14:N20" ca="1" si="19">IF((TODAY()-M14)&gt;335,1,((TODAY()-M14)^0.64)/(336^0.64))</f>
        <v>1</v>
      </c>
      <c r="O14" s="19">
        <v>7.6</v>
      </c>
      <c r="P14" s="20">
        <f t="shared" si="5"/>
        <v>95</v>
      </c>
      <c r="Q14" s="20">
        <v>5</v>
      </c>
      <c r="R14" s="57">
        <f t="shared" si="6"/>
        <v>0.84515425472851657</v>
      </c>
      <c r="S14" s="57">
        <f t="shared" si="7"/>
        <v>0.92504826128926143</v>
      </c>
      <c r="T14" s="10">
        <v>160170</v>
      </c>
      <c r="U14" s="10">
        <f t="shared" si="8"/>
        <v>-37890</v>
      </c>
      <c r="V14" s="10">
        <v>18700</v>
      </c>
      <c r="W14" s="11">
        <f t="shared" si="9"/>
        <v>8.5652406417112292</v>
      </c>
      <c r="X14" s="262">
        <v>0</v>
      </c>
      <c r="Y14" s="21">
        <f>13+0/18</f>
        <v>13</v>
      </c>
      <c r="Z14" s="262">
        <f>6+2/5</f>
        <v>6.4</v>
      </c>
      <c r="AA14" s="21">
        <f>15+0/9</f>
        <v>15</v>
      </c>
      <c r="AB14" s="262">
        <v>9</v>
      </c>
      <c r="AC14" s="21">
        <v>7.95</v>
      </c>
      <c r="AD14" s="262">
        <v>18</v>
      </c>
      <c r="AE14" s="12">
        <v>2098</v>
      </c>
      <c r="AF14" s="11">
        <f t="shared" ca="1" si="10"/>
        <v>4.0319743119485096</v>
      </c>
      <c r="AG14" s="22">
        <f t="shared" ca="1" si="11"/>
        <v>13.005676177805404</v>
      </c>
      <c r="AH14" s="22">
        <f t="shared" ca="1" si="12"/>
        <v>14.247004436383177</v>
      </c>
      <c r="AI14" s="22">
        <f t="shared" ca="1" si="13"/>
        <v>7.4276580965971943</v>
      </c>
      <c r="AJ14" s="22">
        <f t="shared" ca="1" si="14"/>
        <v>8.1365917778843375</v>
      </c>
      <c r="AK14" s="22">
        <f t="shared" ca="1" si="15"/>
        <v>18.076601706176504</v>
      </c>
      <c r="AL14" s="22">
        <f t="shared" ca="1" si="16"/>
        <v>19.801925035018488</v>
      </c>
      <c r="AM14" s="11">
        <f t="shared" ca="1" si="17"/>
        <v>17.373523580210968</v>
      </c>
      <c r="AN14" s="20">
        <v>2</v>
      </c>
      <c r="AO14" s="20">
        <v>2</v>
      </c>
      <c r="AP14" s="20">
        <v>1</v>
      </c>
      <c r="AQ14" s="57">
        <f t="shared" si="18"/>
        <v>6.1499999999999999E-2</v>
      </c>
      <c r="AR14" s="10">
        <v>198060</v>
      </c>
      <c r="AS14" s="286">
        <v>245000</v>
      </c>
      <c r="AT14" s="285" t="s">
        <v>757</v>
      </c>
    </row>
    <row r="15" spans="1:46" x14ac:dyDescent="0.25">
      <c r="A15" s="243" t="s">
        <v>167</v>
      </c>
      <c r="B15" s="49" t="s">
        <v>168</v>
      </c>
      <c r="C15" s="195">
        <f t="shared" ca="1" si="0"/>
        <v>3.9910714285714284</v>
      </c>
      <c r="D15" s="307" t="s">
        <v>1617</v>
      </c>
      <c r="E15" s="4">
        <v>32</v>
      </c>
      <c r="F15" s="5">
        <f ca="1">$D$2-$D$1-2442</f>
        <v>1</v>
      </c>
      <c r="G15" s="6" t="s">
        <v>162</v>
      </c>
      <c r="H15" s="7">
        <v>5</v>
      </c>
      <c r="I15" s="8">
        <v>8</v>
      </c>
      <c r="J15" s="21">
        <f t="shared" si="1"/>
        <v>1.2041199826559248</v>
      </c>
      <c r="K15" s="9">
        <f t="shared" si="2"/>
        <v>200</v>
      </c>
      <c r="L15" s="9">
        <f t="shared" si="3"/>
        <v>288</v>
      </c>
      <c r="M15" s="62">
        <v>44613</v>
      </c>
      <c r="N15" s="63">
        <f t="shared" ca="1" si="19"/>
        <v>0.45449336859218992</v>
      </c>
      <c r="O15" s="19">
        <v>7.3</v>
      </c>
      <c r="P15" s="20">
        <f t="shared" si="5"/>
        <v>92</v>
      </c>
      <c r="Q15" s="20">
        <v>6</v>
      </c>
      <c r="R15" s="57">
        <f t="shared" si="6"/>
        <v>0.92582009977255142</v>
      </c>
      <c r="S15" s="57">
        <f t="shared" si="7"/>
        <v>0.99928545900129484</v>
      </c>
      <c r="T15" s="349">
        <v>91870</v>
      </c>
      <c r="U15" s="10">
        <f t="shared" si="8"/>
        <v>0</v>
      </c>
      <c r="V15" s="10">
        <v>19548</v>
      </c>
      <c r="W15" s="11">
        <f t="shared" si="9"/>
        <v>4.6997135256803766</v>
      </c>
      <c r="X15" s="262">
        <v>0</v>
      </c>
      <c r="Y15" s="21">
        <v>11</v>
      </c>
      <c r="Z15" s="262">
        <v>14</v>
      </c>
      <c r="AA15" s="21">
        <v>1</v>
      </c>
      <c r="AB15" s="262">
        <v>11</v>
      </c>
      <c r="AC15" s="21">
        <v>5</v>
      </c>
      <c r="AD15" s="262">
        <v>4</v>
      </c>
      <c r="AE15" s="12">
        <v>1698</v>
      </c>
      <c r="AF15" s="11">
        <f t="shared" ca="1" si="10"/>
        <v>4.3948495034380048</v>
      </c>
      <c r="AG15" s="22">
        <f t="shared" ca="1" si="11"/>
        <v>11.71959867583468</v>
      </c>
      <c r="AH15" s="22">
        <f t="shared" ca="1" si="12"/>
        <v>12.658613351248114</v>
      </c>
      <c r="AI15" s="22">
        <f t="shared" ca="1" si="13"/>
        <v>14.497058975152335</v>
      </c>
      <c r="AJ15" s="22">
        <f t="shared" ca="1" si="14"/>
        <v>15.658613351248114</v>
      </c>
      <c r="AK15" s="22">
        <f t="shared" ca="1" si="15"/>
        <v>6.1646780771993726</v>
      </c>
      <c r="AL15" s="22">
        <f t="shared" ca="1" si="16"/>
        <v>6.6586133512481149</v>
      </c>
      <c r="AM15" s="11">
        <f t="shared" ca="1" si="17"/>
        <v>5.9586133512481148</v>
      </c>
      <c r="AN15" s="20">
        <v>1</v>
      </c>
      <c r="AO15" s="20">
        <v>3</v>
      </c>
      <c r="AP15" s="20">
        <v>1</v>
      </c>
      <c r="AQ15" s="57">
        <f t="shared" si="18"/>
        <v>0.1158</v>
      </c>
      <c r="AR15" s="349">
        <v>91870</v>
      </c>
      <c r="AS15" s="286">
        <v>3500000</v>
      </c>
      <c r="AT15" s="285" t="s">
        <v>176</v>
      </c>
    </row>
    <row r="16" spans="1:46" x14ac:dyDescent="0.25">
      <c r="A16" s="402" t="s">
        <v>155</v>
      </c>
      <c r="B16" s="403" t="s">
        <v>168</v>
      </c>
      <c r="C16" s="404">
        <f ca="1">((36*112)-(E16*112)-(F16))/112</f>
        <v>3.0089285714285716</v>
      </c>
      <c r="D16" s="475" t="s">
        <v>1618</v>
      </c>
      <c r="E16" s="405">
        <v>32</v>
      </c>
      <c r="F16" s="406">
        <f ca="1">$D$2-$D$1-2332</f>
        <v>111</v>
      </c>
      <c r="G16" s="407" t="s">
        <v>169</v>
      </c>
      <c r="H16" s="408">
        <v>1</v>
      </c>
      <c r="I16" s="409">
        <v>7</v>
      </c>
      <c r="J16" s="410">
        <f>LOG(I16)*4/3</f>
        <v>1.1267973866856758</v>
      </c>
      <c r="K16" s="411">
        <f>(H16)*(H16)*(I16)</f>
        <v>7</v>
      </c>
      <c r="L16" s="411">
        <f>(H16+1)*(H16+1)*I16</f>
        <v>28</v>
      </c>
      <c r="M16" s="412">
        <v>44550</v>
      </c>
      <c r="N16" s="413">
        <f ca="1">IF((TODAY()-M16)&gt;335,1,((TODAY()-M16)^0.64)/(336^0.64))</f>
        <v>0.62446977532493753</v>
      </c>
      <c r="O16" s="414">
        <v>6.8</v>
      </c>
      <c r="P16" s="415">
        <f>O16*10+19</f>
        <v>87</v>
      </c>
      <c r="Q16" s="415">
        <v>6</v>
      </c>
      <c r="R16" s="416">
        <f>(Q16/7)^0.5</f>
        <v>0.92582009977255142</v>
      </c>
      <c r="S16" s="416">
        <f>IF(Q16=7,1,((Q16+0.99)/7)^0.5)</f>
        <v>0.99928545900129484</v>
      </c>
      <c r="T16" s="417">
        <v>87170</v>
      </c>
      <c r="U16" s="417">
        <f t="shared" si="8"/>
        <v>30</v>
      </c>
      <c r="V16" s="417">
        <v>19056</v>
      </c>
      <c r="W16" s="418">
        <f>T16/V16</f>
        <v>4.5744122586062135</v>
      </c>
      <c r="X16" s="419">
        <v>0</v>
      </c>
      <c r="Y16" s="410">
        <v>10</v>
      </c>
      <c r="Z16" s="419">
        <v>13</v>
      </c>
      <c r="AA16" s="410">
        <v>2</v>
      </c>
      <c r="AB16" s="419">
        <v>12</v>
      </c>
      <c r="AC16" s="410">
        <v>0</v>
      </c>
      <c r="AD16" s="419">
        <v>6</v>
      </c>
      <c r="AE16" s="420">
        <v>1501</v>
      </c>
      <c r="AF16" s="418">
        <f t="shared" ca="1" si="10"/>
        <v>4.5427448010312403</v>
      </c>
      <c r="AG16" s="22">
        <f t="shared" ref="AG16" ca="1" si="20">(Y16+J16+N16)*(Q16/7)^0.5</f>
        <v>10.879559336386572</v>
      </c>
      <c r="AH16" s="22">
        <f t="shared" ref="AH16" ca="1" si="21">(Y16+J16+N16)*(IF(Q16=7,(Q16/7)^0.5,((Q16+1)/7)^0.5))</f>
        <v>11.751267162010613</v>
      </c>
      <c r="AI16" s="22">
        <f t="shared" ref="AI16" ca="1" si="22">(Z16+N16+(LOG(I16)*4/3))*(Q16/7)^0.5</f>
        <v>13.657019635704227</v>
      </c>
      <c r="AJ16" s="22">
        <f t="shared" ref="AJ16" ca="1" si="23">(Z16+N16+(LOG(I16)*4/3))*(IF(Q16=7,(Q16/7)^0.5,((Q16+1)/7)^0.5))</f>
        <v>14.751267162010613</v>
      </c>
      <c r="AK16" s="22">
        <f t="shared" ref="AK16" ca="1" si="24">(AD16+1+(LOG(I16)*4/3)+N16)*(Q16/7)^0.5</f>
        <v>8.1020990370689194</v>
      </c>
      <c r="AL16" s="22">
        <f t="shared" ref="AL16" ca="1" si="25">(AD16+1+N16+(LOG(I16)*4/3))*(IF(Q16=7,(Q16/7)^0.5,((Q16+1)/7)^0.5))</f>
        <v>8.7512671620106133</v>
      </c>
      <c r="AM16" s="11">
        <f t="shared" ref="AM16" ca="1" si="26">(AD16+LOG(I16)*4/3+N16)*0.7+(AC16+LOG(I16)*4/3+N16)*0.3</f>
        <v>5.9512671620106135</v>
      </c>
      <c r="AN16" s="415">
        <v>2</v>
      </c>
      <c r="AO16" s="415">
        <v>2</v>
      </c>
      <c r="AP16" s="415">
        <v>2</v>
      </c>
      <c r="AQ16" s="416">
        <f>IF(AO16=4,IF(AP16=0,0.137+0.0697,0.137+0.02),IF(AO16=3,IF(AP16=0,0.0958+0.0697,0.0958+0.02),IF(AO16=2,IF(AP16=0,0.0415+0.0697,0.0415+0.02),IF(AO16=1,IF(AP16=0,0.0294+0.0697,0.0294+0.02),IF(AO16=0,IF(AP16=0,0.0063+0.0697,0.0063+0.02))))))</f>
        <v>6.1499999999999999E-2</v>
      </c>
      <c r="AR16" s="417">
        <v>87140</v>
      </c>
      <c r="AS16" s="286">
        <v>2890000</v>
      </c>
      <c r="AT16" s="285" t="s">
        <v>176</v>
      </c>
    </row>
    <row r="17" spans="1:46" x14ac:dyDescent="0.25">
      <c r="A17" s="243" t="s">
        <v>170</v>
      </c>
      <c r="B17" s="49" t="s">
        <v>168</v>
      </c>
      <c r="C17" s="195">
        <f ca="1">((36*112)-(E17*112)-(F17))/112</f>
        <v>3.0803571428571428</v>
      </c>
      <c r="D17" s="307" t="s">
        <v>1583</v>
      </c>
      <c r="E17" s="4">
        <v>32</v>
      </c>
      <c r="F17" s="5">
        <f ca="1">$D$2-$D$1-2116-112-112</f>
        <v>103</v>
      </c>
      <c r="G17" s="6" t="s">
        <v>159</v>
      </c>
      <c r="H17" s="7">
        <v>1</v>
      </c>
      <c r="I17" s="8">
        <v>11</v>
      </c>
      <c r="J17" s="21">
        <f>LOG(I17)*4/3</f>
        <v>1.3885235802109668</v>
      </c>
      <c r="K17" s="9">
        <f>(H17)*(H17)*(I17)</f>
        <v>11</v>
      </c>
      <c r="L17" s="9">
        <f>(H17+1)*(H17+1)*I17</f>
        <v>44</v>
      </c>
      <c r="M17" s="62">
        <v>44069</v>
      </c>
      <c r="N17" s="63">
        <f ca="1">IF((TODAY()-M17)&gt;335,1,((TODAY()-M17)^0.64)/(336^0.64))</f>
        <v>1</v>
      </c>
      <c r="O17" s="19">
        <v>7.3</v>
      </c>
      <c r="P17" s="20">
        <f>O17*10+19</f>
        <v>92</v>
      </c>
      <c r="Q17" s="20">
        <v>5</v>
      </c>
      <c r="R17" s="57">
        <f>(Q17/7)^0.5</f>
        <v>0.84515425472851657</v>
      </c>
      <c r="S17" s="57">
        <f>IF(Q17=7,1,((Q17+0.99)/7)^0.5)</f>
        <v>0.92504826128926143</v>
      </c>
      <c r="T17" s="10">
        <v>102140</v>
      </c>
      <c r="U17" s="10">
        <f>T17-AR17</f>
        <v>-46460</v>
      </c>
      <c r="V17" s="10">
        <v>25188</v>
      </c>
      <c r="W17" s="11">
        <f>T17/V17</f>
        <v>4.0551056058440524</v>
      </c>
      <c r="X17" s="262">
        <v>0</v>
      </c>
      <c r="Y17" s="21">
        <v>10.95</v>
      </c>
      <c r="Z17" s="262">
        <v>14</v>
      </c>
      <c r="AA17" s="21">
        <v>3</v>
      </c>
      <c r="AB17" s="262">
        <v>11</v>
      </c>
      <c r="AC17" s="21">
        <v>8</v>
      </c>
      <c r="AD17" s="262">
        <v>8</v>
      </c>
      <c r="AE17" s="12">
        <v>1796</v>
      </c>
      <c r="AF17" s="11">
        <f ca="1">(((Y17+LOG(I17)*4/3+N17)+(AB17+LOG(I17)*4/3+N17)*2)/8)*(Q17/7)^0.5</f>
        <v>4.2379806615385851</v>
      </c>
      <c r="AG17" s="22">
        <f ca="1">(Y17+J17+N17)*(Q17/7)^0.5</f>
        <v>11.273109955611943</v>
      </c>
      <c r="AH17" s="22">
        <f ca="1">(Y17+J17+N17)*(IF(Q17=7,(Q17/7)^0.5,((Q17+1)/7)^0.5))</f>
        <v>12.349073231849447</v>
      </c>
      <c r="AI17" s="22">
        <f ca="1">(Z17+N17+(LOG(I17)*4/3))*(Q17/7)^0.5</f>
        <v>13.850830432533922</v>
      </c>
      <c r="AJ17" s="22">
        <f ca="1">(Z17+N17+(LOG(I17)*4/3))*(IF(Q17=7,(Q17/7)^0.5,((Q17+1)/7)^0.5))</f>
        <v>15.17282453615573</v>
      </c>
      <c r="AK17" s="22">
        <f ca="1">(AD17+1+(LOG(I17)*4/3)+N17)*(Q17/7)^0.5</f>
        <v>9.6250591588913359</v>
      </c>
      <c r="AL17" s="22">
        <f ca="1">(AD17+1+N17+(LOG(I17)*4/3))*(IF(Q17=7,(Q17/7)^0.5,((Q17+1)/7)^0.5))</f>
        <v>10.543724037292971</v>
      </c>
      <c r="AM17" s="11">
        <f ca="1">(AD17+LOG(I17)*4/3+N17)*0.7+(AC17+LOG(I17)*4/3+N17)*0.3</f>
        <v>10.388523580210965</v>
      </c>
      <c r="AN17" s="20">
        <v>1</v>
      </c>
      <c r="AO17" s="20">
        <v>3</v>
      </c>
      <c r="AP17" s="20">
        <v>2</v>
      </c>
      <c r="AQ17" s="57">
        <f>IF(AO17=4,IF(AP17=0,0.137+0.0697,0.137+0.02),IF(AO17=3,IF(AP17=0,0.0958+0.0697,0.0958+0.02),IF(AO17=2,IF(AP17=0,0.0415+0.0697,0.0415+0.02),IF(AO17=1,IF(AP17=0,0.0294+0.0697,0.0294+0.02),IF(AO17=0,IF(AP17=0,0.0063+0.0697,0.0063+0.02))))))</f>
        <v>0.1158</v>
      </c>
      <c r="AR17" s="10">
        <v>148600</v>
      </c>
      <c r="AS17" s="286">
        <v>3500000</v>
      </c>
      <c r="AT17" s="285" t="s">
        <v>176</v>
      </c>
    </row>
    <row r="18" spans="1:46" x14ac:dyDescent="0.25">
      <c r="A18" s="402" t="s">
        <v>150</v>
      </c>
      <c r="B18" s="403" t="s">
        <v>171</v>
      </c>
      <c r="C18" s="195">
        <f ca="1">((36*112)-(E18*112)-(F18))/112</f>
        <v>3.375</v>
      </c>
      <c r="D18" s="475" t="s">
        <v>1587</v>
      </c>
      <c r="E18" s="405">
        <v>32</v>
      </c>
      <c r="F18" s="406">
        <f ca="1">$D$2-$D$1-2149-112-112</f>
        <v>70</v>
      </c>
      <c r="G18" s="407" t="s">
        <v>162</v>
      </c>
      <c r="H18" s="408">
        <v>4</v>
      </c>
      <c r="I18" s="409">
        <v>12</v>
      </c>
      <c r="J18" s="410">
        <f>LOG(I18)*4/3</f>
        <v>1.4389083280634998</v>
      </c>
      <c r="K18" s="411">
        <f>(H18)*(H18)*(I18)</f>
        <v>192</v>
      </c>
      <c r="L18" s="411">
        <f>(H18+1)*(H18+1)*I18</f>
        <v>300</v>
      </c>
      <c r="M18" s="412">
        <v>44474</v>
      </c>
      <c r="N18" s="413">
        <f ca="1">IF((TODAY()-M18)&gt;335,1,((TODAY()-M18)^0.64)/(336^0.64))</f>
        <v>0.79980074422980452</v>
      </c>
      <c r="O18" s="414">
        <v>7.2</v>
      </c>
      <c r="P18" s="415">
        <f>O18*10+19</f>
        <v>91</v>
      </c>
      <c r="Q18" s="415">
        <v>5</v>
      </c>
      <c r="R18" s="416">
        <f>(Q18/7)^0.5</f>
        <v>0.84515425472851657</v>
      </c>
      <c r="S18" s="416">
        <f>IF(Q18=7,1,((Q18+0.99)/7)^0.5)</f>
        <v>0.92504826128926143</v>
      </c>
      <c r="T18" s="417">
        <v>65510</v>
      </c>
      <c r="U18" s="417">
        <f>T18-AR18</f>
        <v>-42470</v>
      </c>
      <c r="V18" s="417">
        <v>19020</v>
      </c>
      <c r="W18" s="418">
        <f>T18/V18</f>
        <v>3.4442691903259726</v>
      </c>
      <c r="X18" s="419">
        <v>0</v>
      </c>
      <c r="Y18" s="410">
        <v>4</v>
      </c>
      <c r="Z18" s="419">
        <v>5</v>
      </c>
      <c r="AA18" s="410">
        <v>9.9499999999999993</v>
      </c>
      <c r="AB18" s="419">
        <v>10</v>
      </c>
      <c r="AC18" s="410">
        <v>14.2</v>
      </c>
      <c r="AD18" s="419">
        <v>13</v>
      </c>
      <c r="AE18" s="420">
        <v>1549</v>
      </c>
      <c r="AF18" s="418">
        <f ca="1">(((Y18+LOG(I18)*4/3+N18)+(AB18+LOG(I18)*4/3+N18)*2)/8)*(Q18/7)^0.5</f>
        <v>3.2449832007660557</v>
      </c>
      <c r="AG18" s="474">
        <f ca="1">(Y18+J18+N18)*(Q18/7)^0.5</f>
        <v>5.2726715164620819</v>
      </c>
      <c r="AH18" s="474">
        <f ca="1">(Y18+J18+N18)*(IF(Q18=7,(Q18/7)^0.5,((Q18+1)/7)^0.5))</f>
        <v>5.7759222557625085</v>
      </c>
      <c r="AI18" s="474">
        <f ca="1">(Z18+N18+(LOG(I18)*4/3))*(Q18/7)^0.5</f>
        <v>6.1178257711905992</v>
      </c>
      <c r="AJ18" s="474">
        <f ca="1">(Z18+N18+(LOG(I18)*4/3))*(IF(Q18=7,(Q18/7)^0.5,((Q18+1)/7)^0.5))</f>
        <v>6.7017423555350595</v>
      </c>
      <c r="AK18" s="22">
        <f ca="1">(AD18+1+(LOG(I18)*4/3)+N18)*(Q18/7)^0.5</f>
        <v>13.724214063747247</v>
      </c>
      <c r="AL18" s="22">
        <f ca="1">(AD18+1+N18+(LOG(I18)*4/3))*(IF(Q18=7,(Q18/7)^0.5,((Q18+1)/7)^0.5))</f>
        <v>15.034123253488023</v>
      </c>
      <c r="AM18" s="11">
        <f ca="1">(AD18+LOG(I18)*4/3+N18)*0.7+(AC18+LOG(I18)*4/3+N18)*0.3</f>
        <v>15.598709072293303</v>
      </c>
      <c r="AN18" s="415">
        <v>2</v>
      </c>
      <c r="AO18" s="415">
        <v>4</v>
      </c>
      <c r="AP18" s="415">
        <v>2</v>
      </c>
      <c r="AQ18" s="416">
        <f>IF(AO18=4,IF(AP18=0,0.137+0.0697,0.137+0.02),IF(AO18=3,IF(AP18=0,0.0958+0.0697,0.0958+0.02),IF(AO18=2,IF(AP18=0,0.0415+0.0697,0.0415+0.02),IF(AO18=1,IF(AP18=0,0.0294+0.0697,0.0294+0.02),IF(AO18=0,IF(AP18=0,0.0063+0.0697,0.0063+0.02))))))</f>
        <v>0.157</v>
      </c>
      <c r="AR18" s="417">
        <v>107980</v>
      </c>
      <c r="AS18" s="286">
        <v>5634000</v>
      </c>
      <c r="AT18" s="285" t="s">
        <v>757</v>
      </c>
    </row>
    <row r="19" spans="1:46" x14ac:dyDescent="0.25">
      <c r="A19" s="243" t="s">
        <v>316</v>
      </c>
      <c r="B19" s="49" t="s">
        <v>171</v>
      </c>
      <c r="C19" s="195">
        <f t="shared" ca="1" si="0"/>
        <v>3.7946428571428572</v>
      </c>
      <c r="D19" s="307" t="s">
        <v>759</v>
      </c>
      <c r="E19" s="4">
        <v>32</v>
      </c>
      <c r="F19" s="5">
        <f ca="1">$D$2-$D$1-1972-112-112-224</f>
        <v>23</v>
      </c>
      <c r="G19" s="6"/>
      <c r="H19" s="7">
        <v>1</v>
      </c>
      <c r="I19" s="8">
        <v>9</v>
      </c>
      <c r="J19" s="21">
        <f t="shared" si="1"/>
        <v>1.2723233459190999</v>
      </c>
      <c r="K19" s="9">
        <f t="shared" si="2"/>
        <v>9</v>
      </c>
      <c r="L19" s="9">
        <f t="shared" si="3"/>
        <v>36</v>
      </c>
      <c r="M19" s="62">
        <v>44262</v>
      </c>
      <c r="N19" s="63">
        <f t="shared" ca="1" si="19"/>
        <v>1</v>
      </c>
      <c r="O19" s="19">
        <v>7.3</v>
      </c>
      <c r="P19" s="20">
        <f t="shared" si="5"/>
        <v>92</v>
      </c>
      <c r="Q19" s="20">
        <v>7</v>
      </c>
      <c r="R19" s="57">
        <f t="shared" si="6"/>
        <v>1</v>
      </c>
      <c r="S19" s="57">
        <f t="shared" si="7"/>
        <v>1</v>
      </c>
      <c r="T19" s="10">
        <v>117490</v>
      </c>
      <c r="U19" s="10">
        <f t="shared" si="8"/>
        <v>-56240</v>
      </c>
      <c r="V19" s="10">
        <v>15380</v>
      </c>
      <c r="W19" s="11">
        <f t="shared" si="9"/>
        <v>7.6391417425227566</v>
      </c>
      <c r="X19" s="262">
        <v>0</v>
      </c>
      <c r="Y19" s="21">
        <v>4</v>
      </c>
      <c r="Z19" s="262">
        <f>3+0/4</f>
        <v>3</v>
      </c>
      <c r="AA19" s="21">
        <f>9+1/8</f>
        <v>9.125</v>
      </c>
      <c r="AB19" s="262">
        <v>14</v>
      </c>
      <c r="AC19" s="21">
        <v>13.95</v>
      </c>
      <c r="AD19" s="262">
        <v>11</v>
      </c>
      <c r="AE19" s="12">
        <v>1674</v>
      </c>
      <c r="AF19" s="11">
        <f t="shared" ca="1" si="10"/>
        <v>4.8521212547196617</v>
      </c>
      <c r="AG19" s="22">
        <f t="shared" ca="1" si="11"/>
        <v>6.2723233459190997</v>
      </c>
      <c r="AH19" s="22">
        <f t="shared" ca="1" si="12"/>
        <v>6.2723233459190997</v>
      </c>
      <c r="AI19" s="22">
        <f t="shared" ca="1" si="13"/>
        <v>5.2723233459190997</v>
      </c>
      <c r="AJ19" s="22">
        <f t="shared" ca="1" si="14"/>
        <v>5.2723233459190997</v>
      </c>
      <c r="AK19" s="22">
        <f t="shared" ca="1" si="15"/>
        <v>14.2723233459191</v>
      </c>
      <c r="AL19" s="22">
        <f t="shared" ca="1" si="16"/>
        <v>14.2723233459191</v>
      </c>
      <c r="AM19" s="11">
        <f t="shared" ca="1" si="17"/>
        <v>14.157323345919099</v>
      </c>
      <c r="AN19" s="20">
        <v>1</v>
      </c>
      <c r="AO19" s="20">
        <v>2</v>
      </c>
      <c r="AP19" s="20">
        <v>2</v>
      </c>
      <c r="AQ19" s="57">
        <f t="shared" si="18"/>
        <v>6.1499999999999999E-2</v>
      </c>
      <c r="AR19" s="10">
        <v>173730</v>
      </c>
      <c r="AS19" s="286">
        <v>7500000</v>
      </c>
      <c r="AT19" s="285" t="s">
        <v>176</v>
      </c>
    </row>
    <row r="20" spans="1:46" x14ac:dyDescent="0.25">
      <c r="A20" s="243" t="s">
        <v>174</v>
      </c>
      <c r="B20" s="49" t="s">
        <v>171</v>
      </c>
      <c r="C20" s="195">
        <f t="shared" ca="1" si="0"/>
        <v>3.875</v>
      </c>
      <c r="D20" s="307" t="s">
        <v>675</v>
      </c>
      <c r="E20" s="4">
        <v>32</v>
      </c>
      <c r="F20" s="5">
        <f ca="1">$D$2-$D$1-1600-45-112-112-112-112-112-112-112</f>
        <v>14</v>
      </c>
      <c r="G20" s="6" t="s">
        <v>162</v>
      </c>
      <c r="H20" s="7">
        <v>1</v>
      </c>
      <c r="I20" s="8">
        <v>10</v>
      </c>
      <c r="J20" s="21">
        <f t="shared" si="1"/>
        <v>1.3333333333333333</v>
      </c>
      <c r="K20" s="9">
        <f t="shared" si="2"/>
        <v>10</v>
      </c>
      <c r="L20" s="9">
        <f t="shared" si="3"/>
        <v>40</v>
      </c>
      <c r="M20" s="62">
        <v>43590</v>
      </c>
      <c r="N20" s="63">
        <f t="shared" ca="1" si="19"/>
        <v>1</v>
      </c>
      <c r="O20" s="19">
        <v>7.3</v>
      </c>
      <c r="P20" s="20">
        <f t="shared" si="5"/>
        <v>92</v>
      </c>
      <c r="Q20" s="20">
        <v>6</v>
      </c>
      <c r="R20" s="57">
        <f t="shared" si="6"/>
        <v>0.92582009977255142</v>
      </c>
      <c r="S20" s="57">
        <f t="shared" si="7"/>
        <v>0.99928545900129484</v>
      </c>
      <c r="T20" s="10">
        <v>130140</v>
      </c>
      <c r="U20" s="10">
        <f t="shared" si="8"/>
        <v>-100510</v>
      </c>
      <c r="V20" s="10">
        <v>17928</v>
      </c>
      <c r="W20" s="11">
        <f t="shared" si="9"/>
        <v>7.2590361445783129</v>
      </c>
      <c r="X20" s="262">
        <v>0</v>
      </c>
      <c r="Y20" s="21">
        <v>4</v>
      </c>
      <c r="Z20" s="262">
        <f>8+1/6*(29/90)+0.5/6*(61/90)+1/6</f>
        <v>8.2768518518518519</v>
      </c>
      <c r="AA20" s="21">
        <v>12</v>
      </c>
      <c r="AB20" s="262">
        <v>13</v>
      </c>
      <c r="AC20" s="21">
        <v>13.95</v>
      </c>
      <c r="AD20" s="262">
        <v>16</v>
      </c>
      <c r="AE20" s="12">
        <v>2011</v>
      </c>
      <c r="AF20" s="11">
        <f t="shared" ca="1" si="10"/>
        <v>4.28191796144805</v>
      </c>
      <c r="AG20" s="22">
        <f t="shared" ca="1" si="11"/>
        <v>5.8635272985594922</v>
      </c>
      <c r="AH20" s="22">
        <f t="shared" ca="1" si="12"/>
        <v>6.333333333333333</v>
      </c>
      <c r="AI20" s="22">
        <f t="shared" ca="1" si="13"/>
        <v>9.8231227067533951</v>
      </c>
      <c r="AJ20" s="22">
        <f t="shared" ca="1" si="14"/>
        <v>10.610185185185186</v>
      </c>
      <c r="AK20" s="22">
        <f t="shared" ca="1" si="15"/>
        <v>17.899188595602659</v>
      </c>
      <c r="AL20" s="22">
        <f t="shared" ca="1" si="16"/>
        <v>19.333333333333332</v>
      </c>
      <c r="AM20" s="11">
        <f t="shared" ca="1" si="17"/>
        <v>17.71833333333333</v>
      </c>
      <c r="AN20" s="20">
        <v>1</v>
      </c>
      <c r="AO20" s="20">
        <v>0</v>
      </c>
      <c r="AP20" s="20">
        <v>1</v>
      </c>
      <c r="AQ20" s="57">
        <f t="shared" si="18"/>
        <v>2.63E-2</v>
      </c>
      <c r="AR20" s="10">
        <v>230650</v>
      </c>
      <c r="AS20" s="286">
        <v>12306000</v>
      </c>
      <c r="AT20" s="285" t="s">
        <v>757</v>
      </c>
    </row>
    <row r="21" spans="1:46" x14ac:dyDescent="0.25">
      <c r="V21" s="44"/>
    </row>
    <row r="23" spans="1:46" x14ac:dyDescent="0.25">
      <c r="D23" s="23"/>
      <c r="T23" s="44"/>
      <c r="V23" s="44"/>
    </row>
    <row r="24" spans="1:46" x14ac:dyDescent="0.25">
      <c r="D24" s="23"/>
    </row>
    <row r="25" spans="1:46" x14ac:dyDescent="0.25">
      <c r="D25" s="61"/>
      <c r="AS25" s="290"/>
    </row>
    <row r="26" spans="1:46" x14ac:dyDescent="0.25">
      <c r="D26" s="1"/>
    </row>
    <row r="27" spans="1:46" x14ac:dyDescent="0.25">
      <c r="M27" s="23"/>
      <c r="T27" s="44"/>
      <c r="V27" s="44"/>
    </row>
    <row r="28" spans="1:46" x14ac:dyDescent="0.25">
      <c r="M28" s="23"/>
    </row>
  </sheetData>
  <conditionalFormatting sqref="U2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17:W20 W4:W15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W16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C4:C20">
    <cfRule type="colorScale" priority="467">
      <colorScale>
        <cfvo type="min"/>
        <cfvo type="max"/>
        <color rgb="FFFFEF9C"/>
        <color rgb="FF63BE7B"/>
      </colorScale>
    </cfRule>
  </conditionalFormatting>
  <conditionalFormatting sqref="T4:T2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4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K4:AL17 AK19:AL20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2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17 AM19:AM20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479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0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0">
    <cfRule type="colorScale" priority="491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:AS20">
    <cfRule type="dataBar" priority="4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{4DAFD0AF-A744-43BB-A8A0-097B76CD3F56}</x14:id>
        </ext>
      </extLst>
    </cfRule>
  </conditionalFormatting>
  <conditionalFormatting sqref="AE4:AE20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K4:L20">
    <cfRule type="colorScale" priority="499">
      <colorScale>
        <cfvo type="min"/>
        <cfvo type="max"/>
        <color rgb="FFFCFCFF"/>
        <color rgb="FFF8696B"/>
      </colorScale>
    </cfRule>
  </conditionalFormatting>
  <conditionalFormatting sqref="X4:AD20">
    <cfRule type="cellIs" dxfId="58" priority="501" operator="greaterThan">
      <formula>11</formula>
    </cfRule>
    <cfRule type="colorScale" priority="502">
      <colorScale>
        <cfvo type="min"/>
        <cfvo type="max"/>
        <color rgb="FFFCFCFF"/>
        <color rgb="FFF8696B"/>
      </colorScale>
    </cfRule>
  </conditionalFormatting>
  <conditionalFormatting sqref="AK18:AL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R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{D3D7A2DB-E8AF-472D-9423-553FE47B94F9}</x14:id>
        </ext>
      </extLst>
    </cfRule>
  </conditionalFormatting>
  <pageMargins left="0.7" right="0.7" top="0.75" bottom="0.75" header="0.3" footer="0.3"/>
  <pageSetup paperSize="9" fitToWidth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W17:W20 W4:W15</xm:sqref>
        </x14:conditionalFormatting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DAFD0AF-A744-43BB-A8A0-097B76CD3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AS4:AS20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D3D7A2DB-E8AF-472D-9423-553FE47B94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AR4:AR20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K120"/>
  <sheetViews>
    <sheetView zoomScale="110" zoomScaleNormal="110" workbookViewId="0">
      <selection activeCell="B16" sqref="B16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8" bestFit="1" customWidth="1"/>
    <col min="6" max="6" width="11.85546875" customWidth="1"/>
    <col min="7" max="8" width="6.140625" customWidth="1"/>
    <col min="9" max="9" width="6.7109375" customWidth="1"/>
    <col min="10" max="10" width="5" customWidth="1"/>
    <col min="11" max="11" width="5.28515625" customWidth="1"/>
    <col min="12" max="12" width="5.5703125" customWidth="1"/>
    <col min="13" max="13" width="5.42578125" customWidth="1"/>
    <col min="14" max="14" width="5.5703125" customWidth="1"/>
    <col min="15" max="15" width="5" customWidth="1"/>
    <col min="16" max="16" width="5.5703125" customWidth="1"/>
    <col min="17" max="17" width="5.140625" customWidth="1"/>
    <col min="18" max="20" width="5.5703125" customWidth="1"/>
    <col min="21" max="21" width="5.140625" bestFit="1" customWidth="1"/>
    <col min="22" max="22" width="5" customWidth="1"/>
    <col min="23" max="23" width="5.42578125" customWidth="1"/>
    <col min="24" max="24" width="5.5703125" customWidth="1"/>
    <col min="25" max="25" width="5" customWidth="1"/>
    <col min="26" max="26" width="4" customWidth="1"/>
    <col min="27" max="32" width="5.140625" customWidth="1"/>
    <col min="33" max="33" width="18.42578125" customWidth="1"/>
  </cols>
  <sheetData>
    <row r="1" spans="1:35" x14ac:dyDescent="0.25">
      <c r="A1" s="114" t="s">
        <v>175</v>
      </c>
      <c r="B1" s="114"/>
      <c r="C1" s="114"/>
      <c r="D1" s="115"/>
      <c r="E1" s="114"/>
      <c r="F1" s="115"/>
      <c r="G1" s="116"/>
      <c r="H1" s="115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5"/>
      <c r="X1" s="115"/>
      <c r="Y1" s="115"/>
      <c r="Z1" s="115"/>
      <c r="AA1" s="117"/>
      <c r="AB1" s="117"/>
      <c r="AC1" s="117"/>
      <c r="AD1" s="117"/>
      <c r="AE1" s="117"/>
      <c r="AF1" s="117"/>
      <c r="AG1" s="116"/>
    </row>
    <row r="2" spans="1:35" x14ac:dyDescent="0.25">
      <c r="A2" s="118" t="s">
        <v>176</v>
      </c>
      <c r="B2" s="118" t="s">
        <v>177</v>
      </c>
      <c r="C2" s="118" t="s">
        <v>109</v>
      </c>
      <c r="D2" s="119" t="s">
        <v>178</v>
      </c>
      <c r="E2" s="118" t="s">
        <v>179</v>
      </c>
      <c r="F2" s="119" t="s">
        <v>180</v>
      </c>
      <c r="G2" s="120" t="s">
        <v>831</v>
      </c>
      <c r="H2" s="119" t="s">
        <v>111</v>
      </c>
      <c r="I2" s="352" t="s">
        <v>149</v>
      </c>
      <c r="J2" s="352" t="s">
        <v>181</v>
      </c>
      <c r="K2" s="353" t="s">
        <v>182</v>
      </c>
      <c r="L2" s="353" t="s">
        <v>181</v>
      </c>
      <c r="M2" s="352" t="s">
        <v>183</v>
      </c>
      <c r="N2" s="352" t="s">
        <v>181</v>
      </c>
      <c r="O2" s="353" t="s">
        <v>184</v>
      </c>
      <c r="P2" s="353" t="s">
        <v>181</v>
      </c>
      <c r="Q2" s="352" t="s">
        <v>185</v>
      </c>
      <c r="R2" s="352" t="s">
        <v>181</v>
      </c>
      <c r="S2" s="353" t="s">
        <v>186</v>
      </c>
      <c r="T2" s="353" t="s">
        <v>181</v>
      </c>
      <c r="U2" s="352" t="s">
        <v>187</v>
      </c>
      <c r="V2" s="352" t="s">
        <v>181</v>
      </c>
      <c r="W2" s="121" t="s">
        <v>188</v>
      </c>
      <c r="X2" s="121" t="s">
        <v>189</v>
      </c>
      <c r="Y2" s="119" t="s">
        <v>190</v>
      </c>
      <c r="Z2" s="119" t="s">
        <v>187</v>
      </c>
      <c r="AA2" s="122" t="s">
        <v>149</v>
      </c>
      <c r="AB2" s="122" t="s">
        <v>182</v>
      </c>
      <c r="AC2" s="122" t="s">
        <v>191</v>
      </c>
      <c r="AD2" s="122" t="s">
        <v>311</v>
      </c>
      <c r="AE2" s="122" t="s">
        <v>314</v>
      </c>
      <c r="AF2" s="122" t="s">
        <v>171</v>
      </c>
      <c r="AG2" s="120" t="s">
        <v>192</v>
      </c>
    </row>
    <row r="3" spans="1:35" x14ac:dyDescent="0.25">
      <c r="A3" s="148" t="s">
        <v>849</v>
      </c>
      <c r="B3" s="123">
        <v>16</v>
      </c>
      <c r="C3" s="124">
        <f ca="1">+A33-3277-112</f>
        <v>324</v>
      </c>
      <c r="D3" s="125"/>
      <c r="E3" s="126">
        <f ca="1">F3-TODAY()</f>
        <v>-212</v>
      </c>
      <c r="F3" s="360">
        <v>44499</v>
      </c>
      <c r="G3" s="377" t="s">
        <v>836</v>
      </c>
      <c r="H3" s="128" t="s">
        <v>832</v>
      </c>
      <c r="I3" s="366"/>
      <c r="J3" s="361">
        <v>1.99</v>
      </c>
      <c r="K3" s="366">
        <v>2</v>
      </c>
      <c r="L3" s="361">
        <v>2.99</v>
      </c>
      <c r="M3" s="425">
        <v>6</v>
      </c>
      <c r="N3" s="426">
        <v>6.99</v>
      </c>
      <c r="O3" s="423">
        <v>5</v>
      </c>
      <c r="P3" s="424">
        <v>5.99</v>
      </c>
      <c r="Q3" s="428">
        <v>3</v>
      </c>
      <c r="R3" s="424">
        <v>3.99</v>
      </c>
      <c r="S3" s="367">
        <v>2</v>
      </c>
      <c r="T3" s="362">
        <v>2.99</v>
      </c>
      <c r="U3" s="366"/>
      <c r="V3" s="363">
        <v>4.99</v>
      </c>
      <c r="W3" s="129">
        <f>7-(COUNTBLANK(I3)+COUNTBLANK(K3)+COUNTBLANK(M3)+COUNTBLANK(O3)+COUNTBLANK(Q3)+COUNTBLANK(S3)+COUNTBLANK(U3))</f>
        <v>5</v>
      </c>
      <c r="X3" s="128">
        <f>COUNT(V3,R3,T3,P3,N3,L3,J3)</f>
        <v>7</v>
      </c>
      <c r="Y3" s="128"/>
      <c r="Z3" s="128"/>
      <c r="AA3" s="130"/>
      <c r="AB3" s="130">
        <v>3</v>
      </c>
      <c r="AC3" s="130">
        <v>4</v>
      </c>
      <c r="AD3" s="130">
        <v>6.5</v>
      </c>
      <c r="AE3" s="130">
        <v>6</v>
      </c>
      <c r="AF3" s="130">
        <v>4.5</v>
      </c>
      <c r="AG3" s="130"/>
      <c r="AI3" s="3"/>
    </row>
    <row r="4" spans="1:35" x14ac:dyDescent="0.25">
      <c r="A4" s="131" t="s">
        <v>194</v>
      </c>
      <c r="B4" s="131"/>
      <c r="C4" s="131"/>
      <c r="D4" s="132"/>
      <c r="E4" s="131"/>
      <c r="F4" s="132"/>
      <c r="G4" s="133"/>
      <c r="H4" s="132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2"/>
      <c r="X4" s="132"/>
      <c r="Y4" s="132"/>
      <c r="Z4" s="132"/>
      <c r="AA4" s="134"/>
      <c r="AB4" s="134"/>
      <c r="AC4" s="134"/>
      <c r="AD4" s="134"/>
      <c r="AE4" s="134"/>
      <c r="AF4" s="134"/>
      <c r="AG4" s="133"/>
      <c r="AI4" s="3"/>
    </row>
    <row r="5" spans="1:35" x14ac:dyDescent="0.25">
      <c r="A5" s="135" t="s">
        <v>195</v>
      </c>
      <c r="B5" s="135"/>
      <c r="C5" s="135"/>
      <c r="D5" s="136"/>
      <c r="E5" s="135"/>
      <c r="F5" s="137"/>
      <c r="G5" s="138"/>
      <c r="H5" s="137"/>
      <c r="I5" s="139" t="s">
        <v>196</v>
      </c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7"/>
      <c r="X5" s="137"/>
      <c r="Y5" s="137"/>
      <c r="Z5" s="137"/>
      <c r="AA5" s="140" t="s">
        <v>197</v>
      </c>
      <c r="AB5" s="140"/>
      <c r="AC5" s="140"/>
      <c r="AD5" s="140"/>
      <c r="AE5" s="140"/>
      <c r="AF5" s="140"/>
      <c r="AG5" s="141"/>
      <c r="AI5" s="3"/>
    </row>
    <row r="6" spans="1:35" x14ac:dyDescent="0.25">
      <c r="A6" s="142" t="s">
        <v>176</v>
      </c>
      <c r="B6" s="142" t="s">
        <v>177</v>
      </c>
      <c r="C6" s="142" t="s">
        <v>109</v>
      </c>
      <c r="D6" s="143" t="s">
        <v>178</v>
      </c>
      <c r="E6" s="142" t="s">
        <v>179</v>
      </c>
      <c r="F6" s="143" t="str">
        <f>F2</f>
        <v>Promoción</v>
      </c>
      <c r="G6" s="144" t="str">
        <f>G2</f>
        <v>Nivel</v>
      </c>
      <c r="H6" s="143" t="str">
        <f>H2</f>
        <v>Lid</v>
      </c>
      <c r="I6" s="354" t="s">
        <v>149</v>
      </c>
      <c r="J6" s="354" t="str">
        <f t="shared" ref="J6:Y6" si="0">J2</f>
        <v>Pot</v>
      </c>
      <c r="K6" s="355" t="str">
        <f t="shared" si="0"/>
        <v>DEF</v>
      </c>
      <c r="L6" s="355" t="str">
        <f t="shared" si="0"/>
        <v>Pot</v>
      </c>
      <c r="M6" s="354" t="str">
        <f t="shared" si="0"/>
        <v>JUG</v>
      </c>
      <c r="N6" s="354" t="str">
        <f t="shared" si="0"/>
        <v>Pot</v>
      </c>
      <c r="O6" s="355" t="str">
        <f t="shared" si="0"/>
        <v>LAT</v>
      </c>
      <c r="P6" s="355" t="str">
        <f t="shared" si="0"/>
        <v>Pot</v>
      </c>
      <c r="Q6" s="354" t="str">
        <f t="shared" si="0"/>
        <v>PAS</v>
      </c>
      <c r="R6" s="354" t="str">
        <f t="shared" si="0"/>
        <v>Pot</v>
      </c>
      <c r="S6" s="355" t="str">
        <f t="shared" si="0"/>
        <v>ANO</v>
      </c>
      <c r="T6" s="355" t="str">
        <f t="shared" si="0"/>
        <v>Pot</v>
      </c>
      <c r="U6" s="354" t="str">
        <f t="shared" si="0"/>
        <v>BP</v>
      </c>
      <c r="V6" s="354" t="str">
        <f t="shared" si="0"/>
        <v>Pot</v>
      </c>
      <c r="W6" s="145" t="str">
        <f t="shared" si="0"/>
        <v>HAB</v>
      </c>
      <c r="X6" s="145" t="str">
        <f t="shared" si="0"/>
        <v>POT</v>
      </c>
      <c r="Y6" s="143" t="str">
        <f t="shared" si="0"/>
        <v>Cap</v>
      </c>
      <c r="Z6" s="143" t="s">
        <v>187</v>
      </c>
      <c r="AA6" s="146" t="str">
        <f t="shared" ref="AA6:AG6" si="1">AA2</f>
        <v>POR</v>
      </c>
      <c r="AB6" s="146" t="str">
        <f t="shared" si="1"/>
        <v>DEF</v>
      </c>
      <c r="AC6" s="146" t="str">
        <f t="shared" si="1"/>
        <v>DL</v>
      </c>
      <c r="AD6" s="146" t="str">
        <f t="shared" si="1"/>
        <v>INN</v>
      </c>
      <c r="AE6" s="146" t="str">
        <f t="shared" si="1"/>
        <v>EXT</v>
      </c>
      <c r="AF6" s="146" t="str">
        <f t="shared" si="1"/>
        <v>DAV</v>
      </c>
      <c r="AG6" s="144" t="str">
        <f t="shared" si="1"/>
        <v>Atributs</v>
      </c>
      <c r="AI6" s="3"/>
    </row>
    <row r="7" spans="1:35" x14ac:dyDescent="0.25">
      <c r="A7" s="421" t="s">
        <v>1519</v>
      </c>
      <c r="B7" s="123">
        <v>16</v>
      </c>
      <c r="C7" s="124">
        <f ca="1">+A33-3383</f>
        <v>330</v>
      </c>
      <c r="D7" s="125" t="s">
        <v>169</v>
      </c>
      <c r="E7" s="126">
        <f ca="1">F7-TODAY()</f>
        <v>-205</v>
      </c>
      <c r="F7" s="360">
        <v>44506</v>
      </c>
      <c r="G7" s="365" t="s">
        <v>834</v>
      </c>
      <c r="H7" s="128" t="s">
        <v>832</v>
      </c>
      <c r="I7" s="366"/>
      <c r="J7" s="361">
        <v>1.99</v>
      </c>
      <c r="K7" s="423">
        <v>4</v>
      </c>
      <c r="L7" s="424">
        <v>5.99</v>
      </c>
      <c r="M7" s="367">
        <v>2</v>
      </c>
      <c r="N7" s="362">
        <v>2.99</v>
      </c>
      <c r="O7" s="425">
        <v>4</v>
      </c>
      <c r="P7" s="426">
        <v>5.99</v>
      </c>
      <c r="Q7" s="367"/>
      <c r="R7" s="362">
        <v>0.19900000000000001</v>
      </c>
      <c r="S7" s="425">
        <v>2</v>
      </c>
      <c r="T7" s="426">
        <v>2.99</v>
      </c>
      <c r="U7" s="366"/>
      <c r="V7" s="368">
        <v>2.99</v>
      </c>
      <c r="W7" s="129">
        <f>7-(COUNTBLANK(I7)+COUNTBLANK(K7)+COUNTBLANK(M7)+COUNTBLANK(O7)+COUNTBLANK(Q7)+COUNTBLANK(S7)+COUNTBLANK(U7))</f>
        <v>4</v>
      </c>
      <c r="X7" s="128">
        <f>COUNT(V7,R7,T7,P7,N7,L7,J7)</f>
        <v>7</v>
      </c>
      <c r="Y7" s="128"/>
      <c r="Z7" s="128"/>
      <c r="AA7" s="130"/>
      <c r="AB7" s="130"/>
      <c r="AC7" s="130">
        <v>5</v>
      </c>
      <c r="AD7" s="130">
        <v>3.5</v>
      </c>
      <c r="AE7" s="130">
        <v>4.5</v>
      </c>
      <c r="AF7" s="130"/>
      <c r="AG7" s="130"/>
    </row>
    <row r="8" spans="1:35" x14ac:dyDescent="0.25">
      <c r="A8" s="422" t="s">
        <v>1520</v>
      </c>
      <c r="B8" s="123">
        <v>16</v>
      </c>
      <c r="C8" s="124">
        <f ca="1">+A33-3443</f>
        <v>270</v>
      </c>
      <c r="D8" s="125" t="s">
        <v>159</v>
      </c>
      <c r="E8" s="126">
        <f ca="1">F8-TODAY()</f>
        <v>-156</v>
      </c>
      <c r="F8" s="360">
        <v>44555</v>
      </c>
      <c r="G8" s="371" t="s">
        <v>834</v>
      </c>
      <c r="H8" s="128" t="s">
        <v>832</v>
      </c>
      <c r="I8" s="366"/>
      <c r="J8" s="361">
        <v>0.99</v>
      </c>
      <c r="K8" s="366">
        <v>1</v>
      </c>
      <c r="L8" s="361">
        <v>1.99</v>
      </c>
      <c r="M8" s="428">
        <v>4</v>
      </c>
      <c r="N8" s="427">
        <v>6.99</v>
      </c>
      <c r="O8" s="423">
        <v>3</v>
      </c>
      <c r="P8" s="424">
        <v>5.99</v>
      </c>
      <c r="Q8" s="370">
        <v>3</v>
      </c>
      <c r="R8" s="361">
        <v>4.9000000000000004</v>
      </c>
      <c r="S8" s="366">
        <v>3</v>
      </c>
      <c r="T8" s="361">
        <v>4.99</v>
      </c>
      <c r="U8" s="366"/>
      <c r="V8" s="361"/>
      <c r="W8" s="129">
        <f>7-(COUNTBLANK(I8)+COUNTBLANK(K8)+COUNTBLANK(M8)+COUNTBLANK(O8)+COUNTBLANK(Q8)+COUNTBLANK(S8)+COUNTBLANK(U8))</f>
        <v>5</v>
      </c>
      <c r="X8" s="128">
        <f>COUNT(V8,R8,T8,P8,N8,L8,J8)</f>
        <v>6</v>
      </c>
      <c r="Y8" s="128"/>
      <c r="Z8" s="128"/>
      <c r="AA8" s="130"/>
      <c r="AB8" s="130"/>
      <c r="AC8" s="130">
        <v>3</v>
      </c>
      <c r="AD8" s="130">
        <v>5</v>
      </c>
      <c r="AE8" s="130"/>
      <c r="AF8" s="130">
        <v>5.5</v>
      </c>
      <c r="AG8" s="130"/>
      <c r="AI8" s="3"/>
    </row>
    <row r="9" spans="1:35" x14ac:dyDescent="0.25">
      <c r="A9" s="422" t="s">
        <v>1521</v>
      </c>
      <c r="B9" s="123">
        <v>15</v>
      </c>
      <c r="C9" s="124">
        <f ca="1">+A33-3366</f>
        <v>347</v>
      </c>
      <c r="D9" s="125"/>
      <c r="E9" s="126">
        <f ca="1">F9-TODAY()</f>
        <v>-123</v>
      </c>
      <c r="F9" s="360">
        <v>44588</v>
      </c>
      <c r="G9" s="365" t="s">
        <v>834</v>
      </c>
      <c r="H9" s="128" t="s">
        <v>832</v>
      </c>
      <c r="I9" s="369"/>
      <c r="J9" s="361">
        <v>0.99</v>
      </c>
      <c r="K9" s="429">
        <v>4</v>
      </c>
      <c r="L9" s="424">
        <v>5.99</v>
      </c>
      <c r="M9" s="370">
        <v>3</v>
      </c>
      <c r="N9" s="363">
        <v>5.99</v>
      </c>
      <c r="O9" s="367">
        <v>1</v>
      </c>
      <c r="P9" s="362">
        <v>2.99</v>
      </c>
      <c r="Q9" s="425">
        <v>3</v>
      </c>
      <c r="R9" s="426">
        <v>3.99</v>
      </c>
      <c r="S9" s="367"/>
      <c r="T9" s="362">
        <v>1.99</v>
      </c>
      <c r="U9" s="369"/>
      <c r="V9" s="363"/>
      <c r="W9" s="129">
        <f>7-(COUNTBLANK(I9)+COUNTBLANK(K9)+COUNTBLANK(M9)+COUNTBLANK(O9)+COUNTBLANK(Q9)+COUNTBLANK(S9)+COUNTBLANK(U9))</f>
        <v>4</v>
      </c>
      <c r="X9" s="128">
        <f>COUNT(V9,R9,T9,P9,N9,L9,J9)</f>
        <v>6</v>
      </c>
      <c r="Y9" s="128"/>
      <c r="Z9" s="128"/>
      <c r="AA9" s="130"/>
      <c r="AB9" s="130">
        <v>4.5</v>
      </c>
      <c r="AC9" s="130">
        <v>4.5</v>
      </c>
      <c r="AD9" s="130">
        <v>5.5</v>
      </c>
      <c r="AE9" s="130">
        <v>4</v>
      </c>
      <c r="AF9" s="130"/>
      <c r="AG9" s="130"/>
      <c r="AI9" s="3"/>
    </row>
    <row r="10" spans="1:35" x14ac:dyDescent="0.25">
      <c r="A10" s="150" t="s">
        <v>198</v>
      </c>
      <c r="B10" s="150"/>
      <c r="C10" s="150"/>
      <c r="D10" s="151"/>
      <c r="E10" s="150"/>
      <c r="F10" s="151"/>
      <c r="G10" s="152"/>
      <c r="H10" s="151"/>
      <c r="I10" s="364"/>
      <c r="J10" s="364"/>
      <c r="K10" s="364"/>
      <c r="L10" s="364"/>
      <c r="M10" s="364"/>
      <c r="N10" s="364"/>
      <c r="O10" s="364"/>
      <c r="P10" s="364"/>
      <c r="Q10" s="364"/>
      <c r="R10" s="364"/>
      <c r="S10" s="364"/>
      <c r="T10" s="364"/>
      <c r="U10" s="364"/>
      <c r="V10" s="364"/>
      <c r="W10" s="151"/>
      <c r="X10" s="151"/>
      <c r="Y10" s="151"/>
      <c r="Z10" s="151"/>
      <c r="AA10" s="153"/>
      <c r="AB10" s="153"/>
      <c r="AC10" s="153"/>
      <c r="AD10" s="153"/>
      <c r="AE10" s="153"/>
      <c r="AF10" s="153"/>
      <c r="AG10" s="152"/>
      <c r="AI10" s="3"/>
    </row>
    <row r="11" spans="1:35" x14ac:dyDescent="0.25">
      <c r="A11" s="154" t="s">
        <v>195</v>
      </c>
      <c r="B11" s="154"/>
      <c r="C11" s="154"/>
      <c r="D11" s="155"/>
      <c r="E11" s="154"/>
      <c r="F11" s="156"/>
      <c r="G11" s="157"/>
      <c r="H11" s="156"/>
      <c r="I11" s="158" t="s">
        <v>196</v>
      </c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6"/>
      <c r="X11" s="156"/>
      <c r="Y11" s="156"/>
      <c r="Z11" s="156"/>
      <c r="AA11" s="159" t="s">
        <v>197</v>
      </c>
      <c r="AB11" s="159"/>
      <c r="AC11" s="159"/>
      <c r="AD11" s="159"/>
      <c r="AE11" s="159"/>
      <c r="AF11" s="159"/>
      <c r="AG11" s="160"/>
      <c r="AI11" s="3"/>
    </row>
    <row r="12" spans="1:35" x14ac:dyDescent="0.25">
      <c r="A12" s="161" t="s">
        <v>176</v>
      </c>
      <c r="B12" s="161" t="s">
        <v>177</v>
      </c>
      <c r="C12" s="161" t="s">
        <v>109</v>
      </c>
      <c r="D12" s="162" t="s">
        <v>178</v>
      </c>
      <c r="E12" s="161" t="s">
        <v>179</v>
      </c>
      <c r="F12" s="162" t="str">
        <f>F6</f>
        <v>Promoción</v>
      </c>
      <c r="G12" s="163" t="str">
        <f>G6</f>
        <v>Nivel</v>
      </c>
      <c r="H12" s="162" t="str">
        <f>H6</f>
        <v>Lid</v>
      </c>
      <c r="I12" s="356" t="s">
        <v>149</v>
      </c>
      <c r="J12" s="356" t="str">
        <f t="shared" ref="J12:Y12" si="2">J6</f>
        <v>Pot</v>
      </c>
      <c r="K12" s="357" t="str">
        <f t="shared" si="2"/>
        <v>DEF</v>
      </c>
      <c r="L12" s="357" t="str">
        <f t="shared" si="2"/>
        <v>Pot</v>
      </c>
      <c r="M12" s="356" t="str">
        <f t="shared" si="2"/>
        <v>JUG</v>
      </c>
      <c r="N12" s="356" t="str">
        <f t="shared" si="2"/>
        <v>Pot</v>
      </c>
      <c r="O12" s="357" t="str">
        <f t="shared" si="2"/>
        <v>LAT</v>
      </c>
      <c r="P12" s="357" t="str">
        <f t="shared" si="2"/>
        <v>Pot</v>
      </c>
      <c r="Q12" s="356" t="str">
        <f t="shared" si="2"/>
        <v>PAS</v>
      </c>
      <c r="R12" s="356" t="str">
        <f t="shared" si="2"/>
        <v>Pot</v>
      </c>
      <c r="S12" s="357" t="str">
        <f t="shared" si="2"/>
        <v>ANO</v>
      </c>
      <c r="T12" s="357" t="str">
        <f t="shared" si="2"/>
        <v>Pot</v>
      </c>
      <c r="U12" s="356" t="str">
        <f t="shared" si="2"/>
        <v>BP</v>
      </c>
      <c r="V12" s="356" t="str">
        <f t="shared" si="2"/>
        <v>Pot</v>
      </c>
      <c r="W12" s="164" t="str">
        <f t="shared" si="2"/>
        <v>HAB</v>
      </c>
      <c r="X12" s="164" t="str">
        <f t="shared" si="2"/>
        <v>POT</v>
      </c>
      <c r="Y12" s="162" t="str">
        <f t="shared" si="2"/>
        <v>Cap</v>
      </c>
      <c r="Z12" s="162" t="s">
        <v>187</v>
      </c>
      <c r="AA12" s="165" t="str">
        <f t="shared" ref="AA12:AG12" si="3">AA6</f>
        <v>POR</v>
      </c>
      <c r="AB12" s="165" t="str">
        <f t="shared" si="3"/>
        <v>DEF</v>
      </c>
      <c r="AC12" s="165" t="str">
        <f t="shared" si="3"/>
        <v>DL</v>
      </c>
      <c r="AD12" s="165" t="str">
        <f t="shared" si="3"/>
        <v>INN</v>
      </c>
      <c r="AE12" s="165" t="str">
        <f t="shared" si="3"/>
        <v>EXT</v>
      </c>
      <c r="AF12" s="165" t="str">
        <f t="shared" si="3"/>
        <v>DAV</v>
      </c>
      <c r="AG12" s="163" t="str">
        <f t="shared" si="3"/>
        <v>Atributs</v>
      </c>
      <c r="AI12" s="3"/>
    </row>
    <row r="13" spans="1:35" x14ac:dyDescent="0.25">
      <c r="A13" s="148" t="s">
        <v>835</v>
      </c>
      <c r="B13" s="123">
        <v>17</v>
      </c>
      <c r="C13" s="124">
        <f ca="1">+A33-3314-112</f>
        <v>287</v>
      </c>
      <c r="D13" s="125"/>
      <c r="E13" s="126" t="s">
        <v>1525</v>
      </c>
      <c r="F13" s="360"/>
      <c r="G13" s="365">
        <v>4</v>
      </c>
      <c r="H13" s="128" t="s">
        <v>832</v>
      </c>
      <c r="I13" s="366"/>
      <c r="J13" s="366">
        <v>1.99</v>
      </c>
      <c r="K13" s="425">
        <v>3</v>
      </c>
      <c r="L13" s="426">
        <v>3.99</v>
      </c>
      <c r="M13" s="367">
        <v>2</v>
      </c>
      <c r="N13" s="362">
        <v>2.99</v>
      </c>
      <c r="O13" s="423">
        <v>5</v>
      </c>
      <c r="P13" s="424">
        <v>6.99</v>
      </c>
      <c r="Q13" s="366">
        <v>2</v>
      </c>
      <c r="R13" s="361">
        <v>2.99</v>
      </c>
      <c r="S13" s="366">
        <v>1</v>
      </c>
      <c r="T13" s="361">
        <v>1.99</v>
      </c>
      <c r="U13" s="366"/>
      <c r="V13" s="366"/>
      <c r="W13" s="129">
        <f>7-(COUNTBLANK(I13)+COUNTBLANK(K13)+COUNTBLANK(M13)+COUNTBLANK(O13)+COUNTBLANK(Q13)+COUNTBLANK(S13)+COUNTBLANK(U13))</f>
        <v>5</v>
      </c>
      <c r="X13" s="128">
        <f>COUNT(V13,R13,T13,P13,N13,L13,J13)</f>
        <v>6</v>
      </c>
      <c r="Y13" s="128"/>
      <c r="Z13" s="128"/>
      <c r="AA13" s="130"/>
      <c r="AB13" s="130">
        <v>3.5</v>
      </c>
      <c r="AC13" s="130">
        <v>4.5</v>
      </c>
      <c r="AD13" s="130"/>
      <c r="AE13" s="130">
        <v>5.5</v>
      </c>
      <c r="AF13" s="130">
        <v>3.5</v>
      </c>
      <c r="AG13" s="130"/>
      <c r="AI13" s="3"/>
    </row>
    <row r="14" spans="1:35" x14ac:dyDescent="0.25">
      <c r="A14" s="148" t="s">
        <v>845</v>
      </c>
      <c r="B14" s="123">
        <v>16</v>
      </c>
      <c r="C14" s="124">
        <f ca="1">+A33-3246-112</f>
        <v>355</v>
      </c>
      <c r="D14" s="125"/>
      <c r="E14" s="126">
        <f ca="1">F14-TODAY()</f>
        <v>-243</v>
      </c>
      <c r="F14" s="360">
        <v>44468</v>
      </c>
      <c r="G14" s="365" t="s">
        <v>832</v>
      </c>
      <c r="H14" s="128" t="s">
        <v>832</v>
      </c>
      <c r="I14" s="366"/>
      <c r="J14" s="361">
        <v>0.99</v>
      </c>
      <c r="K14" s="367"/>
      <c r="L14" s="362">
        <v>2.99</v>
      </c>
      <c r="M14" s="367">
        <v>3</v>
      </c>
      <c r="N14" s="362">
        <v>3.99</v>
      </c>
      <c r="O14" s="425">
        <v>4</v>
      </c>
      <c r="P14" s="426">
        <v>6.99</v>
      </c>
      <c r="Q14" s="423"/>
      <c r="R14" s="427">
        <v>3.99</v>
      </c>
      <c r="S14" s="367"/>
      <c r="T14" s="362"/>
      <c r="U14" s="366"/>
      <c r="V14" s="366"/>
      <c r="W14" s="129">
        <f>7-(COUNTBLANK(I14)+COUNTBLANK(K14)+COUNTBLANK(M14)+COUNTBLANK(O14)+COUNTBLANK(Q14)+COUNTBLANK(S14)+COUNTBLANK(U14))</f>
        <v>2</v>
      </c>
      <c r="X14" s="128">
        <f>COUNT(V14,R14,T14,P14,N14,L14,J14)</f>
        <v>5</v>
      </c>
      <c r="Y14" s="128"/>
      <c r="Z14" s="128">
        <v>1</v>
      </c>
      <c r="AA14" s="130">
        <v>1.5</v>
      </c>
      <c r="AB14" s="130">
        <v>2.5</v>
      </c>
      <c r="AC14" s="130">
        <v>3.5</v>
      </c>
      <c r="AD14" s="130">
        <v>3.5</v>
      </c>
      <c r="AE14" s="130">
        <v>4.5</v>
      </c>
      <c r="AF14" s="130">
        <v>6</v>
      </c>
      <c r="AG14" s="130"/>
      <c r="AI14" s="3"/>
    </row>
    <row r="15" spans="1:35" x14ac:dyDescent="0.25">
      <c r="A15" s="422" t="s">
        <v>1522</v>
      </c>
      <c r="B15" s="123">
        <v>17</v>
      </c>
      <c r="C15" s="124">
        <f ca="1">+A33-3356-112</f>
        <v>245</v>
      </c>
      <c r="D15" s="125" t="s">
        <v>159</v>
      </c>
      <c r="E15" s="126">
        <f t="shared" ref="E15" ca="1" si="4">F15-TODAY()</f>
        <v>-184</v>
      </c>
      <c r="F15" s="360">
        <v>44527</v>
      </c>
      <c r="G15" s="365" t="s">
        <v>832</v>
      </c>
      <c r="H15" s="128" t="s">
        <v>832</v>
      </c>
      <c r="I15" s="366"/>
      <c r="J15" s="366">
        <v>0.99</v>
      </c>
      <c r="K15" s="367"/>
      <c r="L15" s="362">
        <v>1.99</v>
      </c>
      <c r="M15" s="425">
        <v>3</v>
      </c>
      <c r="N15" s="426">
        <v>4.99</v>
      </c>
      <c r="O15" s="366"/>
      <c r="P15" s="361">
        <v>3.99</v>
      </c>
      <c r="Q15" s="425">
        <v>4</v>
      </c>
      <c r="R15" s="426">
        <v>6.99</v>
      </c>
      <c r="S15" s="366"/>
      <c r="T15" s="361">
        <v>5.99</v>
      </c>
      <c r="U15" s="366"/>
      <c r="V15" s="361"/>
      <c r="W15" s="129">
        <f t="shared" ref="W15" si="5">7-(COUNTBLANK(I15)+COUNTBLANK(K15)+COUNTBLANK(M15)+COUNTBLANK(O15)+COUNTBLANK(Q15)+COUNTBLANK(S15)+COUNTBLANK(U15))</f>
        <v>2</v>
      </c>
      <c r="X15" s="128">
        <f t="shared" ref="X15" si="6">COUNT(V15,R15,T15,P15,N15,L15,J15)</f>
        <v>6</v>
      </c>
      <c r="Y15" s="128"/>
      <c r="Z15" s="128"/>
      <c r="AA15" s="130"/>
      <c r="AB15" s="130">
        <v>2</v>
      </c>
      <c r="AC15" s="130"/>
      <c r="AD15" s="130">
        <v>4.5</v>
      </c>
      <c r="AE15" s="130">
        <v>4.5</v>
      </c>
      <c r="AF15" s="130"/>
      <c r="AG15" s="130"/>
      <c r="AI15" s="3"/>
    </row>
    <row r="16" spans="1:35" x14ac:dyDescent="0.25">
      <c r="A16" s="148" t="s">
        <v>838</v>
      </c>
      <c r="B16" s="123">
        <v>16</v>
      </c>
      <c r="C16" s="124">
        <f ca="1">+A33-3313-112</f>
        <v>288</v>
      </c>
      <c r="D16" s="125"/>
      <c r="E16" s="126">
        <f ca="1">F16-TODAY()</f>
        <v>-176</v>
      </c>
      <c r="F16" s="360">
        <v>44535</v>
      </c>
      <c r="G16" s="365" t="s">
        <v>834</v>
      </c>
      <c r="H16" s="128" t="s">
        <v>832</v>
      </c>
      <c r="I16" s="370"/>
      <c r="J16" s="361">
        <v>1.99</v>
      </c>
      <c r="K16" s="370">
        <v>1</v>
      </c>
      <c r="L16" s="361">
        <v>1.99</v>
      </c>
      <c r="M16" s="366">
        <v>2</v>
      </c>
      <c r="N16" s="361">
        <v>2.99</v>
      </c>
      <c r="O16" s="423">
        <v>4</v>
      </c>
      <c r="P16" s="424">
        <v>4.99</v>
      </c>
      <c r="Q16" s="366"/>
      <c r="R16" s="361">
        <v>3.99</v>
      </c>
      <c r="S16" s="425"/>
      <c r="T16" s="426">
        <v>5.99</v>
      </c>
      <c r="U16" s="366"/>
      <c r="V16" s="361"/>
      <c r="W16" s="129">
        <f>7-(COUNTBLANK(I16)+COUNTBLANK(K16)+COUNTBLANK(M16)+COUNTBLANK(O16)+COUNTBLANK(Q16)+COUNTBLANK(S16)+COUNTBLANK(U16))</f>
        <v>3</v>
      </c>
      <c r="X16" s="128">
        <f>COUNT(V16,R16,T16,P16,N16,L16,J16)</f>
        <v>6</v>
      </c>
      <c r="Y16" s="128"/>
      <c r="Z16" s="128"/>
      <c r="AA16" s="130">
        <v>1</v>
      </c>
      <c r="AB16" s="130">
        <v>2</v>
      </c>
      <c r="AC16" s="130">
        <v>2.5</v>
      </c>
      <c r="AD16" s="130">
        <v>2.5</v>
      </c>
      <c r="AE16" s="130">
        <v>4</v>
      </c>
      <c r="AF16" s="130">
        <v>6</v>
      </c>
      <c r="AG16" s="130"/>
      <c r="AI16" s="3"/>
    </row>
    <row r="17" spans="1:35" x14ac:dyDescent="0.25">
      <c r="A17" s="166" t="s">
        <v>195</v>
      </c>
      <c r="B17" s="166"/>
      <c r="C17" s="166"/>
      <c r="D17" s="167"/>
      <c r="E17" s="166"/>
      <c r="F17" s="168"/>
      <c r="G17" s="169"/>
      <c r="H17" s="168"/>
      <c r="I17" s="170" t="s">
        <v>196</v>
      </c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68"/>
      <c r="X17" s="168"/>
      <c r="Y17" s="168"/>
      <c r="Z17" s="168"/>
      <c r="AA17" s="171" t="s">
        <v>197</v>
      </c>
      <c r="AB17" s="171"/>
      <c r="AC17" s="171"/>
      <c r="AD17" s="171"/>
      <c r="AE17" s="171"/>
      <c r="AF17" s="171"/>
      <c r="AG17" s="172"/>
      <c r="AI17" s="3"/>
    </row>
    <row r="18" spans="1:35" x14ac:dyDescent="0.25">
      <c r="A18" s="173" t="s">
        <v>176</v>
      </c>
      <c r="B18" s="173" t="s">
        <v>177</v>
      </c>
      <c r="C18" s="173" t="s">
        <v>109</v>
      </c>
      <c r="D18" s="174" t="s">
        <v>178</v>
      </c>
      <c r="E18" s="173" t="s">
        <v>179</v>
      </c>
      <c r="F18" s="174" t="str">
        <f>F12</f>
        <v>Promoción</v>
      </c>
      <c r="G18" s="175" t="str">
        <f>G12</f>
        <v>Nivel</v>
      </c>
      <c r="H18" s="174" t="str">
        <f>H12</f>
        <v>Lid</v>
      </c>
      <c r="I18" s="358" t="s">
        <v>149</v>
      </c>
      <c r="J18" s="358" t="str">
        <f t="shared" ref="J18:Y18" si="7">J12</f>
        <v>Pot</v>
      </c>
      <c r="K18" s="359" t="str">
        <f t="shared" si="7"/>
        <v>DEF</v>
      </c>
      <c r="L18" s="359" t="str">
        <f t="shared" si="7"/>
        <v>Pot</v>
      </c>
      <c r="M18" s="358" t="str">
        <f t="shared" si="7"/>
        <v>JUG</v>
      </c>
      <c r="N18" s="358" t="str">
        <f t="shared" si="7"/>
        <v>Pot</v>
      </c>
      <c r="O18" s="359" t="str">
        <f t="shared" si="7"/>
        <v>LAT</v>
      </c>
      <c r="P18" s="359" t="str">
        <f t="shared" si="7"/>
        <v>Pot</v>
      </c>
      <c r="Q18" s="358" t="str">
        <f t="shared" si="7"/>
        <v>PAS</v>
      </c>
      <c r="R18" s="358" t="str">
        <f t="shared" si="7"/>
        <v>Pot</v>
      </c>
      <c r="S18" s="359" t="str">
        <f t="shared" si="7"/>
        <v>ANO</v>
      </c>
      <c r="T18" s="359" t="str">
        <f t="shared" si="7"/>
        <v>Pot</v>
      </c>
      <c r="U18" s="358" t="str">
        <f t="shared" si="7"/>
        <v>BP</v>
      </c>
      <c r="V18" s="358" t="str">
        <f t="shared" si="7"/>
        <v>Pot</v>
      </c>
      <c r="W18" s="176" t="str">
        <f t="shared" si="7"/>
        <v>HAB</v>
      </c>
      <c r="X18" s="176" t="str">
        <f t="shared" si="7"/>
        <v>POT</v>
      </c>
      <c r="Y18" s="174" t="str">
        <f t="shared" si="7"/>
        <v>Cap</v>
      </c>
      <c r="Z18" s="174" t="s">
        <v>187</v>
      </c>
      <c r="AA18" s="177" t="str">
        <f t="shared" ref="AA18:AG18" si="8">AA12</f>
        <v>POR</v>
      </c>
      <c r="AB18" s="177" t="str">
        <f t="shared" si="8"/>
        <v>DEF</v>
      </c>
      <c r="AC18" s="177" t="str">
        <f t="shared" si="8"/>
        <v>DL</v>
      </c>
      <c r="AD18" s="177" t="str">
        <f t="shared" si="8"/>
        <v>INN</v>
      </c>
      <c r="AE18" s="177" t="str">
        <f t="shared" si="8"/>
        <v>EXT</v>
      </c>
      <c r="AF18" s="177" t="str">
        <f t="shared" si="8"/>
        <v>DAV</v>
      </c>
      <c r="AG18" s="175" t="str">
        <f t="shared" si="8"/>
        <v>Atributs</v>
      </c>
      <c r="AI18" s="3"/>
    </row>
    <row r="19" spans="1:35" x14ac:dyDescent="0.25">
      <c r="A19" s="422"/>
      <c r="B19" s="123">
        <v>17</v>
      </c>
      <c r="C19" s="124">
        <f ca="1">+A33-3433</f>
        <v>280</v>
      </c>
      <c r="D19" s="125"/>
      <c r="E19" s="126">
        <f ca="1">F19-TODAY()</f>
        <v>-254</v>
      </c>
      <c r="F19" s="360">
        <v>44457</v>
      </c>
      <c r="G19" s="365" t="s">
        <v>1523</v>
      </c>
      <c r="H19" s="128" t="s">
        <v>832</v>
      </c>
      <c r="I19" s="366"/>
      <c r="J19" s="366"/>
      <c r="K19" s="366"/>
      <c r="L19" s="361"/>
      <c r="M19" s="423"/>
      <c r="N19" s="424"/>
      <c r="O19" s="370"/>
      <c r="P19" s="363"/>
      <c r="Q19" s="367"/>
      <c r="R19" s="362"/>
      <c r="S19" s="428"/>
      <c r="T19" s="424"/>
      <c r="U19" s="366"/>
      <c r="V19" s="366"/>
      <c r="W19" s="129">
        <f>7-(COUNTBLANK(I19)+COUNTBLANK(K19)+COUNTBLANK(M19)+COUNTBLANK(O19)+COUNTBLANK(Q19)+COUNTBLANK(S19)+COUNTBLANK(U19))</f>
        <v>0</v>
      </c>
      <c r="X19" s="128">
        <f>COUNT(V19,R19,T19,P19,N19,L19,J19)</f>
        <v>0</v>
      </c>
      <c r="Y19" s="128"/>
      <c r="Z19" s="128"/>
      <c r="AA19" s="130"/>
      <c r="AB19" s="130"/>
      <c r="AC19" s="130"/>
      <c r="AD19" s="130"/>
      <c r="AE19" s="130"/>
      <c r="AF19" s="130"/>
      <c r="AG19" s="130"/>
      <c r="AI19" s="3"/>
    </row>
    <row r="20" spans="1:35" x14ac:dyDescent="0.25">
      <c r="A20" s="422" t="s">
        <v>1579</v>
      </c>
      <c r="B20" s="123">
        <v>16</v>
      </c>
      <c r="C20" s="147">
        <f ca="1">+A33-3397-65</f>
        <v>251</v>
      </c>
      <c r="D20" s="125"/>
      <c r="E20" s="126">
        <f t="shared" ref="E20" ca="1" si="9">F20-TODAY()</f>
        <v>-135</v>
      </c>
      <c r="F20" s="360">
        <v>44576</v>
      </c>
      <c r="G20" s="372" t="s">
        <v>832</v>
      </c>
      <c r="H20" s="128" t="s">
        <v>832</v>
      </c>
      <c r="I20" s="366"/>
      <c r="J20" s="366"/>
      <c r="K20" s="423">
        <v>3</v>
      </c>
      <c r="L20" s="423">
        <v>4.99</v>
      </c>
      <c r="M20" s="366"/>
      <c r="N20" s="366"/>
      <c r="O20" s="370"/>
      <c r="P20" s="366"/>
      <c r="Q20" s="366">
        <v>2</v>
      </c>
      <c r="R20" s="366">
        <v>2.99</v>
      </c>
      <c r="S20" s="366"/>
      <c r="T20" s="361"/>
      <c r="U20" s="366"/>
      <c r="V20" s="366"/>
      <c r="W20" s="129">
        <f t="shared" ref="W20" si="10">7-(COUNTBLANK(I20)+COUNTBLANK(K20)+COUNTBLANK(M20)+COUNTBLANK(O20)+COUNTBLANK(Q20)+COUNTBLANK(S20)+COUNTBLANK(U20))</f>
        <v>2</v>
      </c>
      <c r="X20" s="128">
        <f t="shared" ref="X20" si="11">COUNT(V20,R20,T20,P20,N20,L20,J20)</f>
        <v>2</v>
      </c>
      <c r="Y20" s="128"/>
      <c r="Z20" s="128"/>
      <c r="AA20" s="130"/>
      <c r="AB20" s="130"/>
      <c r="AC20" s="130"/>
      <c r="AD20" s="130"/>
      <c r="AE20" s="130"/>
      <c r="AF20" s="130">
        <v>5.5</v>
      </c>
      <c r="AG20" s="130"/>
      <c r="AI20" s="3"/>
    </row>
    <row r="21" spans="1:35" x14ac:dyDescent="0.25">
      <c r="A21" s="422" t="s">
        <v>1528</v>
      </c>
      <c r="B21" s="123">
        <v>16</v>
      </c>
      <c r="C21" s="147">
        <f ca="1">+A33-3445</f>
        <v>268</v>
      </c>
      <c r="D21" s="125"/>
      <c r="E21" s="126">
        <f t="shared" ref="E21:E28" ca="1" si="12">F21-TODAY()</f>
        <v>-156</v>
      </c>
      <c r="F21" s="360">
        <v>44555</v>
      </c>
      <c r="G21" s="372" t="s">
        <v>832</v>
      </c>
      <c r="H21" s="128" t="s">
        <v>832</v>
      </c>
      <c r="I21" s="366"/>
      <c r="J21" s="366">
        <v>1.99</v>
      </c>
      <c r="K21" s="366"/>
      <c r="L21" s="366"/>
      <c r="M21" s="366">
        <v>2</v>
      </c>
      <c r="N21" s="366"/>
      <c r="O21" s="423"/>
      <c r="P21" s="423">
        <v>3.99</v>
      </c>
      <c r="Q21" s="423">
        <v>2</v>
      </c>
      <c r="R21" s="423">
        <v>3.99</v>
      </c>
      <c r="S21" s="366"/>
      <c r="T21" s="366"/>
      <c r="U21" s="366"/>
      <c r="V21" s="366"/>
      <c r="W21" s="129">
        <f t="shared" ref="W21:W28" si="13">7-(COUNTBLANK(I21)+COUNTBLANK(K21)+COUNTBLANK(M21)+COUNTBLANK(O21)+COUNTBLANK(Q21)+COUNTBLANK(S21)+COUNTBLANK(U21))</f>
        <v>2</v>
      </c>
      <c r="X21" s="128">
        <f t="shared" ref="X21:X28" si="14">COUNT(V21,R21,T21,P21,N21,L21,J21)</f>
        <v>3</v>
      </c>
      <c r="Y21" s="128"/>
      <c r="Z21" s="128"/>
      <c r="AA21" s="130"/>
      <c r="AB21" s="130"/>
      <c r="AC21" s="130"/>
      <c r="AD21" s="130">
        <v>3</v>
      </c>
      <c r="AE21" s="130"/>
      <c r="AF21" s="130">
        <v>3</v>
      </c>
      <c r="AG21" s="130"/>
      <c r="AI21" s="3"/>
    </row>
    <row r="22" spans="1:35" x14ac:dyDescent="0.25">
      <c r="A22" s="422" t="s">
        <v>1526</v>
      </c>
      <c r="B22" s="123">
        <v>16</v>
      </c>
      <c r="C22" s="124">
        <f ca="1">+A33-3408</f>
        <v>305</v>
      </c>
      <c r="D22" s="125"/>
      <c r="E22" s="126">
        <f t="shared" ca="1" si="12"/>
        <v>-177</v>
      </c>
      <c r="F22" s="360">
        <v>44534</v>
      </c>
      <c r="G22" s="365" t="s">
        <v>1523</v>
      </c>
      <c r="H22" s="128" t="s">
        <v>832</v>
      </c>
      <c r="I22" s="366"/>
      <c r="J22" s="361"/>
      <c r="K22" s="423"/>
      <c r="L22" s="424">
        <v>3.99</v>
      </c>
      <c r="M22" s="367"/>
      <c r="N22" s="362"/>
      <c r="O22" s="428">
        <v>2</v>
      </c>
      <c r="P22" s="427"/>
      <c r="Q22" s="367"/>
      <c r="R22" s="362"/>
      <c r="S22" s="366"/>
      <c r="T22" s="361"/>
      <c r="U22" s="366"/>
      <c r="V22" s="361"/>
      <c r="W22" s="129">
        <f t="shared" si="13"/>
        <v>1</v>
      </c>
      <c r="X22" s="128">
        <f t="shared" si="14"/>
        <v>1</v>
      </c>
      <c r="Y22" s="128"/>
      <c r="Z22" s="128"/>
      <c r="AA22" s="130"/>
      <c r="AB22" s="130"/>
      <c r="AC22" s="130"/>
      <c r="AD22" s="130"/>
      <c r="AE22" s="130"/>
      <c r="AF22" s="130">
        <v>4.5</v>
      </c>
      <c r="AG22" s="130"/>
      <c r="AI22" s="3"/>
    </row>
    <row r="23" spans="1:35" x14ac:dyDescent="0.25">
      <c r="A23" s="373" t="s">
        <v>1529</v>
      </c>
      <c r="B23" s="123">
        <v>16</v>
      </c>
      <c r="C23" s="124">
        <f ca="1">+A33-3360</f>
        <v>353</v>
      </c>
      <c r="D23" s="125"/>
      <c r="E23" s="126">
        <f t="shared" ca="1" si="12"/>
        <v>-198</v>
      </c>
      <c r="F23" s="360">
        <v>44513</v>
      </c>
      <c r="G23" s="433" t="s">
        <v>832</v>
      </c>
      <c r="H23" s="128" t="s">
        <v>832</v>
      </c>
      <c r="I23" s="366"/>
      <c r="J23" s="375"/>
      <c r="K23" s="366"/>
      <c r="L23" s="375"/>
      <c r="M23" s="374"/>
      <c r="N23" s="375"/>
      <c r="O23" s="366"/>
      <c r="P23" s="375"/>
      <c r="Q23" s="431">
        <v>1</v>
      </c>
      <c r="R23" s="430">
        <v>2.99</v>
      </c>
      <c r="S23" s="374"/>
      <c r="T23" s="375"/>
      <c r="U23" s="366"/>
      <c r="V23" s="375"/>
      <c r="W23" s="129">
        <f t="shared" si="13"/>
        <v>1</v>
      </c>
      <c r="X23" s="128">
        <f t="shared" si="14"/>
        <v>1</v>
      </c>
      <c r="Y23" s="128"/>
      <c r="Z23" s="128"/>
      <c r="AA23" s="376"/>
      <c r="AB23" s="376"/>
      <c r="AC23" s="376"/>
      <c r="AD23" s="376"/>
      <c r="AE23" s="376"/>
      <c r="AF23" s="376"/>
      <c r="AG23" s="376"/>
      <c r="AI23" s="3"/>
    </row>
    <row r="24" spans="1:35" x14ac:dyDescent="0.25">
      <c r="A24" s="432" t="s">
        <v>1524</v>
      </c>
      <c r="B24" s="123">
        <v>16</v>
      </c>
      <c r="C24" s="124">
        <f ca="1">+A33-3359</f>
        <v>354</v>
      </c>
      <c r="D24" s="125"/>
      <c r="E24" s="126">
        <f t="shared" ca="1" si="12"/>
        <v>-242</v>
      </c>
      <c r="F24" s="360">
        <v>44469</v>
      </c>
      <c r="G24" s="365">
        <v>4</v>
      </c>
      <c r="H24" s="128" t="s">
        <v>832</v>
      </c>
      <c r="I24" s="366"/>
      <c r="J24" s="375">
        <v>1.99</v>
      </c>
      <c r="K24" s="423"/>
      <c r="L24" s="430">
        <v>4.99</v>
      </c>
      <c r="M24" s="374">
        <v>2</v>
      </c>
      <c r="N24" s="375">
        <v>2.99</v>
      </c>
      <c r="O24" s="366">
        <v>3</v>
      </c>
      <c r="P24" s="375">
        <v>3.99</v>
      </c>
      <c r="Q24" s="431">
        <v>5</v>
      </c>
      <c r="R24" s="430">
        <v>6.99</v>
      </c>
      <c r="S24" s="374">
        <v>3</v>
      </c>
      <c r="T24" s="375">
        <v>3.99</v>
      </c>
      <c r="U24" s="366"/>
      <c r="V24" s="375"/>
      <c r="W24" s="129">
        <f t="shared" si="13"/>
        <v>4</v>
      </c>
      <c r="X24" s="128">
        <f t="shared" si="14"/>
        <v>6</v>
      </c>
      <c r="Y24" s="128"/>
      <c r="Z24" s="128"/>
      <c r="AA24" s="376">
        <v>1.5</v>
      </c>
      <c r="AB24" s="376">
        <v>3.5</v>
      </c>
      <c r="AC24" s="376">
        <v>4</v>
      </c>
      <c r="AD24" s="376">
        <v>3.5</v>
      </c>
      <c r="AE24" s="376">
        <v>4.5</v>
      </c>
      <c r="AF24" s="376">
        <v>5.5</v>
      </c>
      <c r="AG24" s="376"/>
      <c r="AI24" s="3"/>
    </row>
    <row r="25" spans="1:35" x14ac:dyDescent="0.25">
      <c r="A25" s="422" t="s">
        <v>1567</v>
      </c>
      <c r="B25" s="123">
        <v>16</v>
      </c>
      <c r="C25" s="124">
        <f ca="1">+A33-3357</f>
        <v>356</v>
      </c>
      <c r="D25" s="125"/>
      <c r="E25" s="126">
        <f t="shared" ca="1" si="12"/>
        <v>-226</v>
      </c>
      <c r="F25" s="360">
        <v>44485</v>
      </c>
      <c r="G25" s="365">
        <v>4</v>
      </c>
      <c r="H25" s="128" t="s">
        <v>832</v>
      </c>
      <c r="I25" s="366"/>
      <c r="J25" s="366"/>
      <c r="K25" s="423"/>
      <c r="L25" s="423">
        <v>4.99</v>
      </c>
      <c r="M25" s="366"/>
      <c r="N25" s="366"/>
      <c r="O25" s="423">
        <v>2</v>
      </c>
      <c r="P25" s="423"/>
      <c r="Q25" s="366"/>
      <c r="R25" s="366"/>
      <c r="S25" s="367"/>
      <c r="T25" s="362"/>
      <c r="U25" s="366"/>
      <c r="V25" s="363"/>
      <c r="W25" s="129">
        <f t="shared" si="13"/>
        <v>1</v>
      </c>
      <c r="X25" s="128">
        <f t="shared" si="14"/>
        <v>1</v>
      </c>
      <c r="Y25" s="128"/>
      <c r="Z25" s="128"/>
      <c r="AA25" s="130"/>
      <c r="AB25" s="130"/>
      <c r="AC25" s="130"/>
      <c r="AD25" s="130"/>
      <c r="AE25" s="130"/>
      <c r="AF25" s="130"/>
      <c r="AG25" s="130"/>
      <c r="AI25" s="3"/>
    </row>
    <row r="26" spans="1:35" x14ac:dyDescent="0.25">
      <c r="A26" s="148" t="s">
        <v>1530</v>
      </c>
      <c r="B26" s="123">
        <v>17</v>
      </c>
      <c r="C26" s="124">
        <f ca="1">+A33-3443</f>
        <v>270</v>
      </c>
      <c r="D26" s="125"/>
      <c r="E26" s="126">
        <f t="shared" ca="1" si="12"/>
        <v>-191</v>
      </c>
      <c r="F26" s="360">
        <v>44520</v>
      </c>
      <c r="G26" s="372" t="s">
        <v>832</v>
      </c>
      <c r="H26" s="128" t="s">
        <v>832</v>
      </c>
      <c r="I26" s="366"/>
      <c r="J26" s="366"/>
      <c r="K26" s="370"/>
      <c r="L26" s="366"/>
      <c r="M26" s="423">
        <v>3</v>
      </c>
      <c r="N26" s="424"/>
      <c r="O26" s="366"/>
      <c r="P26" s="361"/>
      <c r="Q26" s="366"/>
      <c r="R26" s="361"/>
      <c r="S26" s="425"/>
      <c r="T26" s="426">
        <v>3.99</v>
      </c>
      <c r="U26" s="366"/>
      <c r="V26" s="366"/>
      <c r="W26" s="129">
        <f t="shared" si="13"/>
        <v>1</v>
      </c>
      <c r="X26" s="128">
        <f t="shared" si="14"/>
        <v>1</v>
      </c>
      <c r="Y26" s="128"/>
      <c r="Z26" s="128"/>
      <c r="AA26" s="130"/>
      <c r="AB26" s="130"/>
      <c r="AC26" s="130"/>
      <c r="AD26" s="130"/>
      <c r="AE26" s="130"/>
      <c r="AF26" s="130"/>
      <c r="AG26" s="130"/>
      <c r="AI26" s="3"/>
    </row>
    <row r="27" spans="1:35" x14ac:dyDescent="0.25">
      <c r="A27" s="422" t="s">
        <v>1527</v>
      </c>
      <c r="B27" s="123">
        <v>17</v>
      </c>
      <c r="C27" s="124">
        <f ca="1">+A33-3417</f>
        <v>296</v>
      </c>
      <c r="D27" s="125"/>
      <c r="E27" s="126">
        <f t="shared" ca="1" si="12"/>
        <v>-261</v>
      </c>
      <c r="F27" s="360">
        <v>44450</v>
      </c>
      <c r="G27" s="371" t="s">
        <v>832</v>
      </c>
      <c r="H27" s="128" t="s">
        <v>832</v>
      </c>
      <c r="I27" s="366"/>
      <c r="J27" s="366">
        <v>1.99</v>
      </c>
      <c r="K27" s="370">
        <v>2</v>
      </c>
      <c r="L27" s="366">
        <v>2.99</v>
      </c>
      <c r="M27" s="366">
        <v>3</v>
      </c>
      <c r="N27" s="366">
        <v>3.99</v>
      </c>
      <c r="O27" s="366"/>
      <c r="P27" s="366">
        <v>2.99</v>
      </c>
      <c r="Q27" s="423">
        <v>3</v>
      </c>
      <c r="R27" s="424">
        <v>6.99</v>
      </c>
      <c r="S27" s="366"/>
      <c r="T27" s="366">
        <v>3.99</v>
      </c>
      <c r="U27" s="366"/>
      <c r="V27" s="366"/>
      <c r="W27" s="129">
        <f t="shared" si="13"/>
        <v>3</v>
      </c>
      <c r="X27" s="128">
        <f t="shared" si="14"/>
        <v>6</v>
      </c>
      <c r="Y27" s="128"/>
      <c r="Z27" s="128">
        <v>1</v>
      </c>
      <c r="AA27" s="130">
        <v>1</v>
      </c>
      <c r="AB27" s="130"/>
      <c r="AC27" s="130">
        <v>2.5</v>
      </c>
      <c r="AD27" s="130">
        <v>4</v>
      </c>
      <c r="AE27" s="130">
        <v>3.5</v>
      </c>
      <c r="AF27" s="130">
        <v>4.5</v>
      </c>
      <c r="AG27" s="130"/>
      <c r="AI27" s="3"/>
    </row>
    <row r="28" spans="1:35" x14ac:dyDescent="0.25">
      <c r="A28" s="148" t="s">
        <v>833</v>
      </c>
      <c r="B28" s="123">
        <v>17</v>
      </c>
      <c r="C28" s="124">
        <f ca="1">+A33-3282-112</f>
        <v>319</v>
      </c>
      <c r="D28" s="125" t="s">
        <v>189</v>
      </c>
      <c r="E28" s="126">
        <f t="shared" ca="1" si="12"/>
        <v>-207</v>
      </c>
      <c r="F28" s="360">
        <v>44504</v>
      </c>
      <c r="G28" s="365" t="s">
        <v>832</v>
      </c>
      <c r="H28" s="128" t="s">
        <v>832</v>
      </c>
      <c r="I28" s="366"/>
      <c r="J28" s="361">
        <v>0.99</v>
      </c>
      <c r="K28" s="366"/>
      <c r="L28" s="361">
        <v>2.99</v>
      </c>
      <c r="M28" s="425">
        <v>3</v>
      </c>
      <c r="N28" s="426">
        <v>3.99</v>
      </c>
      <c r="O28" s="428">
        <v>4</v>
      </c>
      <c r="P28" s="424">
        <v>4.99</v>
      </c>
      <c r="Q28" s="367"/>
      <c r="R28" s="362">
        <v>2.99</v>
      </c>
      <c r="S28" s="423">
        <v>4</v>
      </c>
      <c r="T28" s="424">
        <v>4.99</v>
      </c>
      <c r="U28" s="366"/>
      <c r="V28" s="366">
        <v>2.99</v>
      </c>
      <c r="W28" s="129">
        <f t="shared" si="13"/>
        <v>3</v>
      </c>
      <c r="X28" s="128">
        <f t="shared" si="14"/>
        <v>7</v>
      </c>
      <c r="Y28" s="128"/>
      <c r="Z28" s="128"/>
      <c r="AA28" s="130">
        <v>1.5</v>
      </c>
      <c r="AB28" s="130">
        <v>3</v>
      </c>
      <c r="AC28" s="130">
        <v>3.5</v>
      </c>
      <c r="AD28" s="130">
        <v>3.5</v>
      </c>
      <c r="AE28" s="130">
        <v>4.5</v>
      </c>
      <c r="AF28" s="130">
        <v>6</v>
      </c>
      <c r="AG28" s="130"/>
      <c r="AI28" s="3"/>
    </row>
    <row r="29" spans="1:35" x14ac:dyDescent="0.25">
      <c r="A29" s="123"/>
      <c r="B29" s="123"/>
      <c r="C29" s="123"/>
      <c r="D29" s="128"/>
      <c r="E29" s="123"/>
      <c r="F29" s="128"/>
      <c r="G29" s="149"/>
      <c r="H29" s="128"/>
      <c r="I29" s="35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128"/>
      <c r="X29" s="128"/>
      <c r="Y29" s="128"/>
      <c r="Z29" s="128"/>
      <c r="AA29" s="178"/>
      <c r="AB29" s="178"/>
      <c r="AC29" s="178"/>
      <c r="AD29" s="178"/>
      <c r="AE29" s="178"/>
      <c r="AF29" s="178"/>
      <c r="AG29" s="149"/>
      <c r="AI29" s="3"/>
    </row>
    <row r="30" spans="1:35" x14ac:dyDescent="0.25">
      <c r="A30" s="123"/>
      <c r="B30" s="123"/>
      <c r="C30" s="147"/>
      <c r="D30" s="128"/>
      <c r="E30" s="123"/>
      <c r="F30" s="128"/>
      <c r="G30" s="149"/>
      <c r="H30" s="128"/>
      <c r="I30" s="3"/>
      <c r="J30" s="3"/>
      <c r="K30" s="3"/>
      <c r="L30" s="3"/>
      <c r="M30" s="3"/>
      <c r="N30" s="3"/>
      <c r="O30" s="123"/>
      <c r="P30" s="123"/>
      <c r="Q30" s="123"/>
      <c r="R30" s="123"/>
      <c r="S30" s="123"/>
      <c r="T30" s="123"/>
      <c r="U30" s="123"/>
      <c r="V30" s="123"/>
      <c r="W30" s="128"/>
      <c r="X30" s="128"/>
      <c r="Y30" s="128"/>
      <c r="Z30" s="128"/>
      <c r="AA30" s="178"/>
      <c r="AB30" s="178"/>
      <c r="AC30" s="178"/>
      <c r="AD30" s="178"/>
      <c r="AE30" s="179"/>
      <c r="AF30" s="179"/>
      <c r="AG30" s="180"/>
      <c r="AI30" s="3"/>
    </row>
    <row r="31" spans="1:35" x14ac:dyDescent="0.25">
      <c r="A31" s="181" t="s">
        <v>200</v>
      </c>
      <c r="B31" s="123"/>
      <c r="C31" s="123"/>
      <c r="D31" s="128"/>
      <c r="E31" s="123"/>
      <c r="F31" s="128"/>
      <c r="G31" s="513"/>
      <c r="H31" s="513"/>
      <c r="I31" s="513"/>
      <c r="J31" s="513"/>
      <c r="K31" s="513"/>
      <c r="L31" s="513"/>
      <c r="M31" s="513"/>
      <c r="N31" s="3"/>
      <c r="O31" s="123"/>
      <c r="P31" s="123"/>
      <c r="Q31" s="123"/>
      <c r="R31" s="123"/>
      <c r="S31" s="123"/>
      <c r="T31" s="123"/>
      <c r="U31" s="123"/>
      <c r="V31" s="123"/>
      <c r="W31" s="128"/>
      <c r="X31" s="128"/>
      <c r="Y31" s="128"/>
      <c r="Z31" s="128"/>
      <c r="AA31" s="178"/>
      <c r="AB31" s="178"/>
      <c r="AC31" s="178"/>
      <c r="AD31" s="178"/>
      <c r="AE31" s="178"/>
      <c r="AF31" s="178"/>
      <c r="AG31" s="149"/>
    </row>
    <row r="32" spans="1:35" x14ac:dyDescent="0.25">
      <c r="A32" s="182">
        <f ca="1">TODAY()</f>
        <v>44711</v>
      </c>
      <c r="B32" s="123"/>
      <c r="C32" s="123"/>
      <c r="D32" s="129"/>
      <c r="E32" s="123"/>
      <c r="F32" s="183"/>
      <c r="G32" s="184"/>
      <c r="H32" s="18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83"/>
      <c r="V32" s="183"/>
      <c r="W32" s="183"/>
      <c r="X32" s="183"/>
      <c r="Y32" s="183"/>
      <c r="Z32" s="183"/>
      <c r="AA32" s="178"/>
      <c r="AB32" s="178"/>
      <c r="AC32" s="178"/>
      <c r="AD32" s="178"/>
      <c r="AE32" s="178"/>
      <c r="AF32" s="178"/>
      <c r="AG32" s="149"/>
    </row>
    <row r="33" spans="1:33" x14ac:dyDescent="0.25">
      <c r="A33" s="147">
        <f ca="1">411+A36</f>
        <v>3713</v>
      </c>
      <c r="B33" s="123"/>
      <c r="C33" s="123"/>
      <c r="D33" s="128"/>
      <c r="E33" s="123"/>
      <c r="F33" s="183"/>
      <c r="G33" s="184"/>
      <c r="H33" s="18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83"/>
      <c r="W33" s="183"/>
      <c r="X33" s="183"/>
      <c r="Y33" s="183"/>
      <c r="Z33" s="183"/>
      <c r="AA33" s="185"/>
      <c r="AB33" s="185"/>
      <c r="AC33" s="178"/>
      <c r="AD33" s="178"/>
      <c r="AE33" s="178"/>
      <c r="AF33" s="178"/>
      <c r="AG33" s="149"/>
    </row>
    <row r="34" spans="1:33" x14ac:dyDescent="0.25">
      <c r="A34" s="123"/>
      <c r="B34" s="123"/>
      <c r="C34" s="123"/>
      <c r="D34" s="128"/>
      <c r="E34" s="123"/>
      <c r="F34" s="128"/>
      <c r="G34" s="149"/>
      <c r="H34" s="128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8"/>
      <c r="X34" s="128"/>
      <c r="Y34" s="128"/>
      <c r="Z34" s="128"/>
      <c r="AA34" s="178"/>
      <c r="AB34" s="178"/>
      <c r="AC34" s="178"/>
      <c r="AD34" s="178"/>
      <c r="AE34" s="178"/>
      <c r="AF34" s="178"/>
      <c r="AG34" s="149"/>
    </row>
    <row r="35" spans="1:33" x14ac:dyDescent="0.25">
      <c r="A35" s="186">
        <v>41409</v>
      </c>
      <c r="B35" s="123"/>
      <c r="C35" s="123"/>
      <c r="D35" s="128"/>
      <c r="E35" s="123"/>
      <c r="F35" s="128"/>
      <c r="G35" s="149"/>
      <c r="H35" s="128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8"/>
      <c r="X35" s="128"/>
      <c r="Y35" s="128"/>
      <c r="Z35" s="128"/>
      <c r="AA35" s="178"/>
      <c r="AB35" s="178"/>
      <c r="AC35" s="178"/>
      <c r="AD35" s="178"/>
      <c r="AE35" s="178"/>
      <c r="AF35" s="178"/>
      <c r="AG35" s="149"/>
    </row>
    <row r="36" spans="1:33" x14ac:dyDescent="0.25">
      <c r="A36" s="186">
        <f ca="1">A32-A35</f>
        <v>3302</v>
      </c>
      <c r="B36" s="123"/>
      <c r="C36" s="147"/>
      <c r="D36" s="128"/>
      <c r="E36" s="123"/>
      <c r="F36" s="127"/>
      <c r="G36" s="149"/>
      <c r="H36" s="128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8"/>
      <c r="X36" s="128"/>
      <c r="Y36" s="128"/>
      <c r="Z36" s="128"/>
      <c r="AA36" s="178"/>
      <c r="AB36" s="178"/>
      <c r="AC36" s="178"/>
      <c r="AD36" s="178"/>
      <c r="AE36" s="178"/>
      <c r="AF36" s="178"/>
      <c r="AG36" s="149"/>
    </row>
    <row r="37" spans="1:33" x14ac:dyDescent="0.25">
      <c r="A37" s="123"/>
      <c r="B37" s="123"/>
      <c r="C37" s="123"/>
      <c r="D37" s="128"/>
      <c r="E37" s="123"/>
      <c r="F37" s="128"/>
      <c r="G37" s="149"/>
      <c r="H37" s="128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8"/>
      <c r="X37" s="128"/>
      <c r="Y37" s="128"/>
      <c r="Z37" s="128"/>
      <c r="AA37" s="178"/>
      <c r="AB37" s="178"/>
      <c r="AC37" s="178"/>
      <c r="AD37" s="178"/>
      <c r="AE37" s="178"/>
      <c r="AF37" s="178"/>
      <c r="AG37" s="149"/>
    </row>
    <row r="38" spans="1:33" x14ac:dyDescent="0.25">
      <c r="A38" s="123"/>
      <c r="B38" s="123"/>
      <c r="C38" s="123"/>
      <c r="D38" s="128"/>
      <c r="E38" s="123"/>
      <c r="F38" s="128"/>
      <c r="G38" s="149"/>
      <c r="H38" s="128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8"/>
      <c r="X38" s="128"/>
      <c r="Y38" s="128"/>
      <c r="Z38" s="128"/>
      <c r="AA38" s="178"/>
      <c r="AB38" s="178"/>
      <c r="AC38" s="178"/>
      <c r="AD38" s="178"/>
      <c r="AE38" s="178"/>
      <c r="AF38" s="178"/>
      <c r="AG38" s="149"/>
    </row>
    <row r="39" spans="1:33" x14ac:dyDescent="0.25">
      <c r="A39" s="123"/>
      <c r="B39" s="123"/>
      <c r="C39" s="123"/>
      <c r="D39" s="128"/>
      <c r="E39" s="123"/>
      <c r="F39" s="128"/>
      <c r="G39" s="149"/>
      <c r="H39" s="128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8"/>
      <c r="X39" s="128"/>
      <c r="Y39" s="128"/>
      <c r="Z39" s="128"/>
      <c r="AA39" s="178"/>
      <c r="AB39" s="178"/>
      <c r="AC39" s="178"/>
      <c r="AD39" s="178"/>
      <c r="AE39" s="178"/>
      <c r="AF39" s="178"/>
      <c r="AG39" s="149"/>
    </row>
    <row r="79" spans="35:37" x14ac:dyDescent="0.25">
      <c r="AI79" s="3"/>
      <c r="AJ79" s="3"/>
      <c r="AK79" s="3"/>
    </row>
    <row r="80" spans="35:37" x14ac:dyDescent="0.25">
      <c r="AI80" s="3"/>
      <c r="AJ80" s="3"/>
      <c r="AK80" s="3"/>
    </row>
    <row r="81" spans="35:37" x14ac:dyDescent="0.25">
      <c r="AI81" s="3"/>
      <c r="AJ81" s="3"/>
      <c r="AK81" s="3"/>
    </row>
    <row r="82" spans="35:37" x14ac:dyDescent="0.25">
      <c r="AI82" s="3"/>
      <c r="AJ82" s="3"/>
      <c r="AK82" s="3"/>
    </row>
    <row r="83" spans="35:37" x14ac:dyDescent="0.25">
      <c r="AI83" s="3"/>
      <c r="AJ83" s="3"/>
      <c r="AK83" s="3"/>
    </row>
    <row r="84" spans="35:37" x14ac:dyDescent="0.25">
      <c r="AI84" s="3"/>
      <c r="AJ84" s="3"/>
      <c r="AK84" s="3"/>
    </row>
    <row r="85" spans="35:37" x14ac:dyDescent="0.25">
      <c r="AI85" s="3"/>
      <c r="AJ85" s="3"/>
      <c r="AK85" s="3"/>
    </row>
    <row r="86" spans="35:37" x14ac:dyDescent="0.25">
      <c r="AI86" s="3"/>
      <c r="AJ86" s="3"/>
      <c r="AK86" s="3"/>
    </row>
    <row r="87" spans="35:37" x14ac:dyDescent="0.25">
      <c r="AI87" s="3"/>
      <c r="AJ87" s="3"/>
      <c r="AK87" s="3"/>
    </row>
    <row r="88" spans="35:37" x14ac:dyDescent="0.25">
      <c r="AI88" s="3"/>
      <c r="AJ88" s="3"/>
      <c r="AK88" s="3"/>
    </row>
    <row r="89" spans="35:37" x14ac:dyDescent="0.25">
      <c r="AI89" s="3"/>
      <c r="AJ89" s="3"/>
      <c r="AK89" s="3"/>
    </row>
    <row r="90" spans="35:37" x14ac:dyDescent="0.25">
      <c r="AI90" s="3"/>
      <c r="AJ90" s="3"/>
      <c r="AK90" s="3"/>
    </row>
    <row r="91" spans="35:37" x14ac:dyDescent="0.25">
      <c r="AI91" s="3"/>
      <c r="AJ91" s="3"/>
      <c r="AK91" s="3"/>
    </row>
    <row r="92" spans="35:37" x14ac:dyDescent="0.25">
      <c r="AI92" s="3"/>
      <c r="AJ92" s="3"/>
      <c r="AK92" s="3"/>
    </row>
    <row r="93" spans="35:37" x14ac:dyDescent="0.25">
      <c r="AI93" s="3"/>
      <c r="AJ93" s="3"/>
      <c r="AK93" s="3"/>
    </row>
    <row r="94" spans="35:37" x14ac:dyDescent="0.25">
      <c r="AI94" s="3"/>
      <c r="AJ94" s="3"/>
      <c r="AK94" s="3"/>
    </row>
    <row r="95" spans="35:37" x14ac:dyDescent="0.25">
      <c r="AI95" s="3"/>
      <c r="AJ95" s="3"/>
      <c r="AK95" s="3"/>
    </row>
    <row r="96" spans="35:37" x14ac:dyDescent="0.25">
      <c r="AI96" s="3"/>
      <c r="AJ96" s="3"/>
      <c r="AK96" s="3"/>
    </row>
    <row r="97" spans="35:37" x14ac:dyDescent="0.25">
      <c r="AI97" s="3"/>
      <c r="AJ97" s="3"/>
      <c r="AK97" s="3"/>
    </row>
    <row r="98" spans="35:37" x14ac:dyDescent="0.25">
      <c r="AI98" s="3"/>
      <c r="AJ98" s="3"/>
      <c r="AK98" s="3"/>
    </row>
    <row r="99" spans="35:37" x14ac:dyDescent="0.25">
      <c r="AI99" s="3"/>
      <c r="AJ99" s="3"/>
      <c r="AK99" s="3"/>
    </row>
    <row r="100" spans="35:37" x14ac:dyDescent="0.25">
      <c r="AI100" s="3"/>
      <c r="AJ100" s="3"/>
      <c r="AK100" s="3"/>
    </row>
    <row r="101" spans="35:37" x14ac:dyDescent="0.25">
      <c r="AI101" s="3"/>
      <c r="AJ101" s="3"/>
      <c r="AK101" s="3"/>
    </row>
    <row r="102" spans="35:37" x14ac:dyDescent="0.25">
      <c r="AI102" s="3"/>
      <c r="AJ102" s="3"/>
      <c r="AK102" s="3"/>
    </row>
    <row r="103" spans="35:37" x14ac:dyDescent="0.25">
      <c r="AI103" s="3"/>
      <c r="AJ103" s="3"/>
      <c r="AK103" s="3"/>
    </row>
    <row r="104" spans="35:37" x14ac:dyDescent="0.25">
      <c r="AI104" s="3"/>
      <c r="AJ104" s="3"/>
      <c r="AK104" s="3"/>
    </row>
    <row r="105" spans="35:37" x14ac:dyDescent="0.25">
      <c r="AI105" s="3"/>
      <c r="AJ105" s="3"/>
      <c r="AK105" s="3"/>
    </row>
    <row r="106" spans="35:37" x14ac:dyDescent="0.25">
      <c r="AI106" s="3"/>
      <c r="AJ106" s="3"/>
      <c r="AK106" s="3"/>
    </row>
    <row r="107" spans="35:37" x14ac:dyDescent="0.25">
      <c r="AI107" s="3"/>
      <c r="AJ107" s="3"/>
      <c r="AK107" s="3"/>
    </row>
    <row r="108" spans="35:37" x14ac:dyDescent="0.25">
      <c r="AI108" s="3"/>
      <c r="AJ108" s="3"/>
      <c r="AK108" s="3"/>
    </row>
    <row r="109" spans="35:37" x14ac:dyDescent="0.25">
      <c r="AI109" s="3"/>
      <c r="AJ109" s="3"/>
      <c r="AK109" s="3"/>
    </row>
    <row r="110" spans="35:37" x14ac:dyDescent="0.25">
      <c r="AI110" s="3"/>
      <c r="AJ110" s="3"/>
      <c r="AK110" s="3"/>
    </row>
    <row r="111" spans="35:37" x14ac:dyDescent="0.25">
      <c r="AI111" s="3"/>
      <c r="AJ111" s="3"/>
      <c r="AK111" s="3"/>
    </row>
    <row r="112" spans="35:37" x14ac:dyDescent="0.25">
      <c r="AI112" s="3"/>
      <c r="AJ112" s="3"/>
      <c r="AK112" s="3"/>
    </row>
    <row r="113" spans="35:37" x14ac:dyDescent="0.25">
      <c r="AI113" s="3"/>
      <c r="AJ113" s="3"/>
      <c r="AK113" s="3"/>
    </row>
    <row r="114" spans="35:37" x14ac:dyDescent="0.25">
      <c r="AI114" s="3"/>
      <c r="AJ114" s="3"/>
      <c r="AK114" s="3"/>
    </row>
    <row r="115" spans="35:37" x14ac:dyDescent="0.25">
      <c r="AI115" s="3"/>
      <c r="AJ115" s="3"/>
      <c r="AK115" s="3"/>
    </row>
    <row r="116" spans="35:37" x14ac:dyDescent="0.25">
      <c r="AI116" s="3"/>
      <c r="AJ116" s="3"/>
      <c r="AK116" s="3"/>
    </row>
    <row r="117" spans="35:37" x14ac:dyDescent="0.25">
      <c r="AI117" s="3"/>
      <c r="AJ117" s="3"/>
      <c r="AK117" s="3"/>
    </row>
    <row r="118" spans="35:37" x14ac:dyDescent="0.25">
      <c r="AI118" s="3"/>
      <c r="AJ118" s="3"/>
      <c r="AK118" s="3"/>
    </row>
    <row r="119" spans="35:37" x14ac:dyDescent="0.25">
      <c r="AI119" s="3"/>
      <c r="AJ119" s="3"/>
      <c r="AK119" s="3"/>
    </row>
    <row r="120" spans="35:37" x14ac:dyDescent="0.25">
      <c r="AI120" s="3"/>
      <c r="AJ120" s="3"/>
      <c r="AK120" s="3"/>
    </row>
  </sheetData>
  <mergeCells count="1">
    <mergeCell ref="G31:M31"/>
  </mergeCells>
  <conditionalFormatting sqref="E3 E8:E9 E13:E16 E19:E28">
    <cfRule type="cellIs" dxfId="57" priority="2" stopIfTrue="1" operator="lessThan">
      <formula>1</formula>
    </cfRule>
  </conditionalFormatting>
  <conditionalFormatting sqref="E3 E8:E9 E13:E16 E19:E28">
    <cfRule type="cellIs" dxfId="56" priority="3" stopIfTrue="1" operator="between">
      <formula>1</formula>
      <formula>50</formula>
    </cfRule>
  </conditionalFormatting>
  <conditionalFormatting sqref="E3 E8:E9 E13:E16 E19:E28">
    <cfRule type="cellIs" dxfId="55" priority="4" stopIfTrue="1" operator="greaterThan">
      <formula>50</formula>
    </cfRule>
  </conditionalFormatting>
  <conditionalFormatting sqref="AA3:AF3 AA8:AF9 AA13:AF16 AA19:AF28">
    <cfRule type="cellIs" dxfId="54" priority="5" stopIfTrue="1" operator="between">
      <formula>4</formula>
      <formula>5</formula>
    </cfRule>
  </conditionalFormatting>
  <conditionalFormatting sqref="AA3:AF3 AA8:AF9 AA13:AF16 AA19:AF28">
    <cfRule type="cellIs" dxfId="53" priority="6" stopIfTrue="1" operator="lessThan">
      <formula>4</formula>
    </cfRule>
  </conditionalFormatting>
  <conditionalFormatting sqref="AA3:AF3 AA8:AF9 AA13:AF16 AA19:AF28">
    <cfRule type="cellIs" dxfId="52" priority="7" stopIfTrue="1" operator="greaterThan">
      <formula>5</formula>
    </cfRule>
  </conditionalFormatting>
  <conditionalFormatting sqref="AA15:AF16">
    <cfRule type="cellIs" dxfId="51" priority="22" stopIfTrue="1" operator="between">
      <formula>4</formula>
      <formula>5</formula>
    </cfRule>
  </conditionalFormatting>
  <conditionalFormatting sqref="AA15:AF16">
    <cfRule type="cellIs" dxfId="50" priority="23" stopIfTrue="1" operator="lessThan">
      <formula>4</formula>
    </cfRule>
  </conditionalFormatting>
  <conditionalFormatting sqref="AA15:AF16">
    <cfRule type="cellIs" dxfId="49" priority="24" stopIfTrue="1" operator="greaterThan">
      <formula>5</formula>
    </cfRule>
  </conditionalFormatting>
  <conditionalFormatting sqref="AA9:AF9">
    <cfRule type="cellIs" dxfId="48" priority="25" stopIfTrue="1" operator="between">
      <formula>4</formula>
      <formula>5</formula>
    </cfRule>
  </conditionalFormatting>
  <conditionalFormatting sqref="AA9:AF9">
    <cfRule type="cellIs" dxfId="47" priority="26" stopIfTrue="1" operator="lessThan">
      <formula>4</formula>
    </cfRule>
  </conditionalFormatting>
  <conditionalFormatting sqref="AA9:AF9">
    <cfRule type="cellIs" dxfId="46" priority="27" stopIfTrue="1" operator="greaterThan">
      <formula>5</formula>
    </cfRule>
  </conditionalFormatting>
  <conditionalFormatting sqref="E7:E8">
    <cfRule type="cellIs" dxfId="45" priority="28" stopIfTrue="1" operator="lessThan">
      <formula>1</formula>
    </cfRule>
  </conditionalFormatting>
  <conditionalFormatting sqref="E7:E8">
    <cfRule type="cellIs" dxfId="44" priority="29" stopIfTrue="1" operator="between">
      <formula>1</formula>
      <formula>50</formula>
    </cfRule>
  </conditionalFormatting>
  <conditionalFormatting sqref="E7:E8">
    <cfRule type="cellIs" dxfId="43" priority="30" stopIfTrue="1" operator="greaterThan">
      <formula>50</formula>
    </cfRule>
  </conditionalFormatting>
  <conditionalFormatting sqref="AA7:AF8">
    <cfRule type="cellIs" dxfId="42" priority="31" stopIfTrue="1" operator="between">
      <formula>4</formula>
      <formula>5</formula>
    </cfRule>
  </conditionalFormatting>
  <conditionalFormatting sqref="AA7:AF8">
    <cfRule type="cellIs" dxfId="41" priority="32" stopIfTrue="1" operator="lessThan">
      <formula>4</formula>
    </cfRule>
  </conditionalFormatting>
  <conditionalFormatting sqref="AA7:AF8">
    <cfRule type="cellIs" dxfId="40" priority="33" stopIfTrue="1" operator="greaterThan">
      <formula>5</formula>
    </cfRule>
  </conditionalFormatting>
  <conditionalFormatting sqref="W13:X16 W19:X28 W7:X9 W3:X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V16 I19:V28 I7:V9 I3:V3">
    <cfRule type="colorScale" priority="36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0B5-5C01-40EE-B490-7F75B04C6567}">
  <sheetPr>
    <tabColor rgb="FFFABF8F"/>
  </sheetPr>
  <dimension ref="A1:AH53"/>
  <sheetViews>
    <sheetView zoomScale="80" zoomScaleNormal="80" workbookViewId="0">
      <pane xSplit="12" topLeftCell="M1" activePane="topRight" state="frozen"/>
      <selection pane="topRight" activeCell="M9" sqref="M9"/>
    </sheetView>
  </sheetViews>
  <sheetFormatPr baseColWidth="10" defaultRowHeight="15" x14ac:dyDescent="0.25"/>
  <cols>
    <col min="1" max="1" width="0.85546875" style="278" customWidth="1"/>
    <col min="2" max="2" width="24.42578125" bestFit="1" customWidth="1"/>
    <col min="3" max="3" width="20.5703125" bestFit="1" customWidth="1"/>
    <col min="4" max="4" width="10.85546875" bestFit="1" customWidth="1"/>
    <col min="5" max="5" width="2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3.140625" customWidth="1"/>
    <col min="10" max="10" width="23" style="278" bestFit="1" customWidth="1"/>
    <col min="11" max="11" width="15.5703125" style="278" bestFit="1" customWidth="1"/>
    <col min="12" max="12" width="18" style="313" bestFit="1" customWidth="1"/>
    <col min="13" max="14" width="15.5703125" style="278" bestFit="1" customWidth="1"/>
    <col min="15" max="15" width="14.28515625" style="278" bestFit="1" customWidth="1"/>
    <col min="16" max="16" width="19" style="278" bestFit="1" customWidth="1"/>
    <col min="17" max="28" width="14.28515625" style="278" bestFit="1" customWidth="1"/>
    <col min="29" max="29" width="18.7109375" customWidth="1"/>
    <col min="31" max="31" width="14.28515625" bestFit="1" customWidth="1"/>
    <col min="32" max="32" width="99.7109375" customWidth="1"/>
    <col min="33" max="33" width="13.85546875" customWidth="1"/>
    <col min="34" max="34" width="11.28515625" bestFit="1" customWidth="1"/>
  </cols>
  <sheetData>
    <row r="1" spans="1:34" x14ac:dyDescent="0.25">
      <c r="J1" s="308"/>
      <c r="K1" s="308"/>
      <c r="L1" s="311"/>
      <c r="M1" s="309">
        <v>44543</v>
      </c>
      <c r="N1" s="309">
        <f t="shared" ref="N1:AB1" si="0">M1+7</f>
        <v>44550</v>
      </c>
      <c r="O1" s="309">
        <f t="shared" si="0"/>
        <v>44557</v>
      </c>
      <c r="P1" s="309">
        <f t="shared" si="0"/>
        <v>44564</v>
      </c>
      <c r="Q1" s="309">
        <f t="shared" si="0"/>
        <v>44571</v>
      </c>
      <c r="R1" s="309">
        <f t="shared" si="0"/>
        <v>44578</v>
      </c>
      <c r="S1" s="309">
        <f t="shared" si="0"/>
        <v>44585</v>
      </c>
      <c r="T1" s="309">
        <f t="shared" si="0"/>
        <v>44592</v>
      </c>
      <c r="U1" s="309">
        <f t="shared" si="0"/>
        <v>44599</v>
      </c>
      <c r="V1" s="309">
        <f t="shared" si="0"/>
        <v>44606</v>
      </c>
      <c r="W1" s="309">
        <f t="shared" si="0"/>
        <v>44613</v>
      </c>
      <c r="X1" s="309">
        <f t="shared" si="0"/>
        <v>44620</v>
      </c>
      <c r="Y1" s="309">
        <f t="shared" si="0"/>
        <v>44627</v>
      </c>
      <c r="Z1" s="309">
        <f t="shared" si="0"/>
        <v>44634</v>
      </c>
      <c r="AA1" s="309">
        <f t="shared" si="0"/>
        <v>44641</v>
      </c>
      <c r="AB1" s="309">
        <f t="shared" si="0"/>
        <v>44648</v>
      </c>
    </row>
    <row r="2" spans="1:34" ht="31.5" x14ac:dyDescent="0.35">
      <c r="B2" s="340" t="s">
        <v>338</v>
      </c>
      <c r="C2" s="341">
        <f>C3+C7+C10+C14+C24</f>
        <v>47967004.10113921</v>
      </c>
      <c r="D2" s="342">
        <f t="shared" ref="D2:D6" si="1">C2/$C$2</f>
        <v>1</v>
      </c>
      <c r="E2" s="343"/>
      <c r="F2" s="344" t="s">
        <v>339</v>
      </c>
      <c r="G2" s="345">
        <f>G3+G7+G14</f>
        <v>48044753</v>
      </c>
      <c r="H2" s="346">
        <f>G2/$G$2</f>
        <v>1</v>
      </c>
      <c r="J2" s="385">
        <f>G2-C2</f>
        <v>77748.898860789835</v>
      </c>
      <c r="K2" s="287"/>
      <c r="L2" s="287" t="s">
        <v>795</v>
      </c>
      <c r="M2" s="478" t="s">
        <v>322</v>
      </c>
      <c r="N2" s="478" t="s">
        <v>323</v>
      </c>
      <c r="O2" s="478" t="s">
        <v>324</v>
      </c>
      <c r="P2" s="478" t="s">
        <v>325</v>
      </c>
      <c r="Q2" s="478" t="s">
        <v>326</v>
      </c>
      <c r="R2" s="478" t="s">
        <v>327</v>
      </c>
      <c r="S2" s="478" t="s">
        <v>328</v>
      </c>
      <c r="T2" s="478" t="s">
        <v>329</v>
      </c>
      <c r="U2" s="478" t="s">
        <v>330</v>
      </c>
      <c r="V2" s="478" t="s">
        <v>331</v>
      </c>
      <c r="W2" s="478" t="s">
        <v>332</v>
      </c>
      <c r="X2" s="478" t="s">
        <v>333</v>
      </c>
      <c r="Y2" s="478" t="s">
        <v>334</v>
      </c>
      <c r="Z2" s="478" t="s">
        <v>335</v>
      </c>
      <c r="AA2" s="478" t="s">
        <v>336</v>
      </c>
      <c r="AB2" s="478" t="s">
        <v>337</v>
      </c>
      <c r="AC2" s="290"/>
      <c r="AE2" s="507" t="s">
        <v>347</v>
      </c>
    </row>
    <row r="3" spans="1:34" ht="21" x14ac:dyDescent="0.35">
      <c r="B3" s="323" t="s">
        <v>341</v>
      </c>
      <c r="C3" s="324">
        <f>C4+C5+C6</f>
        <v>7344870</v>
      </c>
      <c r="D3" s="325">
        <f t="shared" si="1"/>
        <v>0.15312338424374433</v>
      </c>
      <c r="E3" s="281"/>
      <c r="F3" s="337" t="s">
        <v>342</v>
      </c>
      <c r="G3" s="324">
        <f>G4+G5</f>
        <v>55653253</v>
      </c>
      <c r="H3" s="325">
        <f>G3/$G$2</f>
        <v>1.1583627664814928</v>
      </c>
      <c r="J3" s="279"/>
      <c r="K3" s="288"/>
      <c r="L3" s="287" t="s">
        <v>340</v>
      </c>
      <c r="M3" s="479">
        <v>3092</v>
      </c>
      <c r="N3" s="479">
        <f t="shared" ref="N3:AB3" si="2">M3+M11/30</f>
        <v>3092</v>
      </c>
      <c r="O3" s="479">
        <f t="shared" si="2"/>
        <v>3092</v>
      </c>
      <c r="P3" s="479">
        <f t="shared" si="2"/>
        <v>3092</v>
      </c>
      <c r="Q3" s="479">
        <f t="shared" si="2"/>
        <v>3092</v>
      </c>
      <c r="R3" s="479">
        <f t="shared" si="2"/>
        <v>3092</v>
      </c>
      <c r="S3" s="479">
        <f t="shared" si="2"/>
        <v>3092</v>
      </c>
      <c r="T3" s="479">
        <f t="shared" si="2"/>
        <v>3092</v>
      </c>
      <c r="U3" s="479">
        <f t="shared" si="2"/>
        <v>3092</v>
      </c>
      <c r="V3" s="479">
        <f t="shared" si="2"/>
        <v>3092</v>
      </c>
      <c r="W3" s="479">
        <f t="shared" si="2"/>
        <v>3092</v>
      </c>
      <c r="X3" s="479">
        <f t="shared" si="2"/>
        <v>3092</v>
      </c>
      <c r="Y3" s="479">
        <f t="shared" si="2"/>
        <v>3092</v>
      </c>
      <c r="Z3" s="479">
        <f t="shared" si="2"/>
        <v>3092</v>
      </c>
      <c r="AA3" s="479">
        <f t="shared" si="2"/>
        <v>3092</v>
      </c>
      <c r="AB3" s="479">
        <f t="shared" si="2"/>
        <v>3092</v>
      </c>
      <c r="AE3" t="s">
        <v>1604</v>
      </c>
      <c r="AF3" t="s">
        <v>1605</v>
      </c>
      <c r="AG3" s="508">
        <f>14*63500</f>
        <v>889000</v>
      </c>
      <c r="AH3" s="508"/>
    </row>
    <row r="4" spans="1:34" s="315" customFormat="1" ht="18.75" customHeight="1" x14ac:dyDescent="0.3">
      <c r="A4" s="314"/>
      <c r="B4" s="501" t="s">
        <v>344</v>
      </c>
      <c r="C4" s="327">
        <f>(45*40775)+(75*15839)+(90*13663)+(300*1723)+L17</f>
        <v>4769370</v>
      </c>
      <c r="D4" s="328">
        <f t="shared" si="1"/>
        <v>9.9430224784180926E-2</v>
      </c>
      <c r="E4" s="333"/>
      <c r="F4" s="504" t="s">
        <v>345</v>
      </c>
      <c r="G4" s="327">
        <v>300000</v>
      </c>
      <c r="H4" s="328">
        <f>G4/$G$2</f>
        <v>6.2441782144243719E-3</v>
      </c>
      <c r="J4" s="480" t="s">
        <v>763</v>
      </c>
      <c r="K4" s="480"/>
      <c r="L4" s="481">
        <v>0</v>
      </c>
      <c r="M4" s="482">
        <f>L4</f>
        <v>0</v>
      </c>
      <c r="N4" s="482">
        <f>M26</f>
        <v>0</v>
      </c>
      <c r="O4" s="482">
        <f t="shared" ref="O4:AB4" si="3">N26</f>
        <v>0</v>
      </c>
      <c r="P4" s="482">
        <f t="shared" si="3"/>
        <v>0</v>
      </c>
      <c r="Q4" s="482">
        <f t="shared" si="3"/>
        <v>0</v>
      </c>
      <c r="R4" s="482">
        <f t="shared" si="3"/>
        <v>0</v>
      </c>
      <c r="S4" s="482">
        <f t="shared" si="3"/>
        <v>0</v>
      </c>
      <c r="T4" s="482">
        <f t="shared" si="3"/>
        <v>0</v>
      </c>
      <c r="U4" s="482">
        <f t="shared" si="3"/>
        <v>0</v>
      </c>
      <c r="V4" s="482">
        <f t="shared" si="3"/>
        <v>0</v>
      </c>
      <c r="W4" s="482">
        <f t="shared" si="3"/>
        <v>0</v>
      </c>
      <c r="X4" s="482">
        <f t="shared" si="3"/>
        <v>0</v>
      </c>
      <c r="Y4" s="482">
        <f t="shared" si="3"/>
        <v>0</v>
      </c>
      <c r="Z4" s="482">
        <f t="shared" si="3"/>
        <v>0</v>
      </c>
      <c r="AA4" s="482">
        <f t="shared" si="3"/>
        <v>0</v>
      </c>
      <c r="AB4" s="482">
        <f t="shared" si="3"/>
        <v>0</v>
      </c>
      <c r="AE4" s="315" t="s">
        <v>1606</v>
      </c>
      <c r="AF4" s="315" t="s">
        <v>1607</v>
      </c>
      <c r="AG4" s="508">
        <v>0</v>
      </c>
      <c r="AH4" s="508"/>
    </row>
    <row r="5" spans="1:34" s="315" customFormat="1" ht="18.75" customHeight="1" x14ac:dyDescent="0.3">
      <c r="A5" s="314"/>
      <c r="B5" s="501" t="s">
        <v>216</v>
      </c>
      <c r="C5" s="327">
        <f>1475000+500+1100000+L21</f>
        <v>2575500</v>
      </c>
      <c r="D5" s="328">
        <f t="shared" si="1"/>
        <v>5.3693159459563419E-2</v>
      </c>
      <c r="E5" s="333"/>
      <c r="F5" s="504" t="s">
        <v>792</v>
      </c>
      <c r="G5" s="327">
        <v>55353253</v>
      </c>
      <c r="H5" s="328">
        <f>G5/$G$2</f>
        <v>1.1521185882670684</v>
      </c>
      <c r="J5" s="483" t="s">
        <v>343</v>
      </c>
      <c r="K5" s="483"/>
      <c r="L5" s="484">
        <v>2645476</v>
      </c>
      <c r="M5" s="485">
        <f>L5</f>
        <v>2645476</v>
      </c>
      <c r="N5" s="485">
        <f t="shared" ref="N5:AB5" si="4">M27</f>
        <v>2387950</v>
      </c>
      <c r="O5" s="485">
        <f t="shared" si="4"/>
        <v>2167813.8908000002</v>
      </c>
      <c r="P5" s="485">
        <f t="shared" si="4"/>
        <v>2672600.3700982803</v>
      </c>
      <c r="Q5" s="485">
        <f t="shared" si="4"/>
        <v>2434170.1358651919</v>
      </c>
      <c r="R5" s="485">
        <f t="shared" si="4"/>
        <v>2769074.8863429134</v>
      </c>
      <c r="S5" s="485">
        <f t="shared" si="4"/>
        <v>3104314.3200452048</v>
      </c>
      <c r="T5" s="485">
        <f t="shared" si="4"/>
        <v>2814888.1357571641</v>
      </c>
      <c r="U5" s="485">
        <f t="shared" si="4"/>
        <v>3150796.0325349825</v>
      </c>
      <c r="V5" s="485">
        <f t="shared" si="4"/>
        <v>2862037.7097057011</v>
      </c>
      <c r="W5" s="485">
        <f t="shared" si="4"/>
        <v>3198612.8668669658</v>
      </c>
      <c r="X5" s="485">
        <f t="shared" si="4"/>
        <v>2910521.2038867855</v>
      </c>
      <c r="Y5" s="485">
        <f t="shared" si="4"/>
        <v>3247762.4209032874</v>
      </c>
      <c r="Z5" s="485">
        <f t="shared" si="4"/>
        <v>2960336.2183244745</v>
      </c>
      <c r="AA5" s="485">
        <f t="shared" si="4"/>
        <v>3298242.2968279826</v>
      </c>
      <c r="AB5" s="485">
        <f t="shared" si="4"/>
        <v>3026480.3573608375</v>
      </c>
      <c r="AE5" s="315" t="s">
        <v>1608</v>
      </c>
      <c r="AF5" s="509" t="s">
        <v>1609</v>
      </c>
      <c r="AG5" s="45">
        <f>9*37000</f>
        <v>333000</v>
      </c>
      <c r="AH5" s="45">
        <f>37000*10</f>
        <v>370000</v>
      </c>
    </row>
    <row r="6" spans="1:34" ht="18.75" customHeight="1" x14ac:dyDescent="0.35">
      <c r="B6" s="501" t="s">
        <v>783</v>
      </c>
      <c r="C6" s="327">
        <v>0</v>
      </c>
      <c r="D6" s="328">
        <f t="shared" si="1"/>
        <v>0</v>
      </c>
      <c r="E6" s="281"/>
      <c r="F6" s="337"/>
      <c r="G6" s="324"/>
      <c r="H6" s="325"/>
      <c r="J6" s="347" t="s">
        <v>346</v>
      </c>
      <c r="K6" s="510" t="s">
        <v>346</v>
      </c>
      <c r="L6" s="486">
        <f t="shared" ref="L6:L25" si="5">SUM(M6:AB6)</f>
        <v>4970428</v>
      </c>
      <c r="M6" s="381">
        <f>22254+26657</f>
        <v>48911</v>
      </c>
      <c r="N6" s="381">
        <v>85965</v>
      </c>
      <c r="O6" s="381">
        <f>636696+173856</f>
        <v>810552</v>
      </c>
      <c r="P6" s="378">
        <v>65000</v>
      </c>
      <c r="Q6" s="378">
        <v>640000</v>
      </c>
      <c r="R6" s="378">
        <f>65000+575000</f>
        <v>640000</v>
      </c>
      <c r="S6" s="378">
        <v>15000</v>
      </c>
      <c r="T6" s="378">
        <f>65000+575000</f>
        <v>640000</v>
      </c>
      <c r="U6" s="378">
        <v>15000</v>
      </c>
      <c r="V6" s="378">
        <f>65000+575000</f>
        <v>640000</v>
      </c>
      <c r="W6" s="378">
        <v>15000</v>
      </c>
      <c r="X6" s="378">
        <f>65000+575000</f>
        <v>640000</v>
      </c>
      <c r="Y6" s="378">
        <v>15000</v>
      </c>
      <c r="Z6" s="378">
        <f>65000+575000</f>
        <v>640000</v>
      </c>
      <c r="AA6" s="378">
        <v>30000</v>
      </c>
      <c r="AB6" s="378">
        <v>30000</v>
      </c>
      <c r="AF6" t="s">
        <v>1610</v>
      </c>
      <c r="AG6" s="45">
        <v>95500</v>
      </c>
      <c r="AH6" s="45">
        <f>95500*2</f>
        <v>191000</v>
      </c>
    </row>
    <row r="7" spans="1:34" ht="18.75" customHeight="1" x14ac:dyDescent="0.35">
      <c r="B7" s="323" t="s">
        <v>784</v>
      </c>
      <c r="C7" s="324">
        <f>C9</f>
        <v>0</v>
      </c>
      <c r="D7" s="325">
        <f>C7/C2</f>
        <v>0</v>
      </c>
      <c r="E7" s="281"/>
      <c r="F7" s="337" t="s">
        <v>846</v>
      </c>
      <c r="G7" s="324">
        <f>G8+G9+G10</f>
        <v>-15757353.898860788</v>
      </c>
      <c r="H7" s="325">
        <f>G7/$G$2</f>
        <v>-0.32797241977413827</v>
      </c>
      <c r="J7" s="347" t="s">
        <v>347</v>
      </c>
      <c r="K7" s="510" t="s">
        <v>347</v>
      </c>
      <c r="L7" s="486">
        <f t="shared" si="5"/>
        <v>3096000</v>
      </c>
      <c r="M7" s="382">
        <f>130000+63500</f>
        <v>193500</v>
      </c>
      <c r="N7" s="382">
        <f t="shared" ref="N7:AB7" si="6">130000+63500</f>
        <v>193500</v>
      </c>
      <c r="O7" s="382">
        <f t="shared" si="6"/>
        <v>193500</v>
      </c>
      <c r="P7" s="382">
        <f t="shared" si="6"/>
        <v>193500</v>
      </c>
      <c r="Q7" s="382">
        <f t="shared" si="6"/>
        <v>193500</v>
      </c>
      <c r="R7" s="382">
        <f t="shared" si="6"/>
        <v>193500</v>
      </c>
      <c r="S7" s="382">
        <f t="shared" si="6"/>
        <v>193500</v>
      </c>
      <c r="T7" s="382">
        <f t="shared" si="6"/>
        <v>193500</v>
      </c>
      <c r="U7" s="382">
        <f t="shared" si="6"/>
        <v>193500</v>
      </c>
      <c r="V7" s="382">
        <f t="shared" si="6"/>
        <v>193500</v>
      </c>
      <c r="W7" s="382">
        <f t="shared" si="6"/>
        <v>193500</v>
      </c>
      <c r="X7" s="382">
        <f t="shared" si="6"/>
        <v>193500</v>
      </c>
      <c r="Y7" s="382">
        <f t="shared" si="6"/>
        <v>193500</v>
      </c>
      <c r="Z7" s="382">
        <f t="shared" si="6"/>
        <v>193500</v>
      </c>
      <c r="AA7" s="382">
        <f t="shared" si="6"/>
        <v>193500</v>
      </c>
      <c r="AB7" s="382">
        <f t="shared" si="6"/>
        <v>193500</v>
      </c>
      <c r="AE7" t="s">
        <v>1611</v>
      </c>
      <c r="AF7" t="s">
        <v>1612</v>
      </c>
      <c r="AG7" s="45">
        <f>4*83000</f>
        <v>332000</v>
      </c>
      <c r="AH7" s="45">
        <f>5*83000</f>
        <v>415000</v>
      </c>
    </row>
    <row r="8" spans="1:34" ht="18.75" customHeight="1" x14ac:dyDescent="0.3">
      <c r="B8" s="501" t="s">
        <v>785</v>
      </c>
      <c r="C8" s="327">
        <f>L4</f>
        <v>0</v>
      </c>
      <c r="D8" s="281"/>
      <c r="E8" s="281"/>
      <c r="F8" s="504" t="s">
        <v>837</v>
      </c>
      <c r="G8" s="327">
        <f>C6+C13+C15+C16+C17+C18+C19-G15-G16-G17-G18-G19</f>
        <v>-15757353.898860788</v>
      </c>
      <c r="H8" s="328">
        <f>G8/$G$2</f>
        <v>-0.32797241977413827</v>
      </c>
      <c r="J8" s="347" t="s">
        <v>348</v>
      </c>
      <c r="K8" s="510" t="s">
        <v>349</v>
      </c>
      <c r="L8" s="486">
        <f t="shared" si="5"/>
        <v>0</v>
      </c>
      <c r="M8" s="381">
        <v>0</v>
      </c>
      <c r="N8" s="381">
        <v>0</v>
      </c>
      <c r="O8" s="381">
        <v>0</v>
      </c>
      <c r="P8" s="378">
        <v>0</v>
      </c>
      <c r="Q8" s="378">
        <v>0</v>
      </c>
      <c r="R8" s="378">
        <v>0</v>
      </c>
      <c r="S8" s="378">
        <v>0</v>
      </c>
      <c r="T8" s="378">
        <v>0</v>
      </c>
      <c r="U8" s="378">
        <v>0</v>
      </c>
      <c r="V8" s="378">
        <v>0</v>
      </c>
      <c r="W8" s="378">
        <v>0</v>
      </c>
      <c r="X8" s="378">
        <v>0</v>
      </c>
      <c r="Y8" s="378">
        <v>0</v>
      </c>
      <c r="Z8" s="378">
        <v>0</v>
      </c>
      <c r="AA8" s="378">
        <v>0</v>
      </c>
      <c r="AB8" s="378">
        <v>0</v>
      </c>
      <c r="AF8" t="s">
        <v>1613</v>
      </c>
      <c r="AG8" s="45">
        <f>4*63500</f>
        <v>254000</v>
      </c>
      <c r="AH8" s="45">
        <f>5*63500</f>
        <v>317500</v>
      </c>
    </row>
    <row r="9" spans="1:34" ht="18.75" customHeight="1" x14ac:dyDescent="0.3">
      <c r="B9" s="501" t="s">
        <v>786</v>
      </c>
      <c r="C9" s="329">
        <f>L26</f>
        <v>0</v>
      </c>
      <c r="D9" s="328">
        <f>C9/C2</f>
        <v>0</v>
      </c>
      <c r="E9" s="281"/>
      <c r="F9" s="504" t="s">
        <v>843</v>
      </c>
      <c r="G9" s="329">
        <f>C23</f>
        <v>0</v>
      </c>
      <c r="H9" s="328">
        <f>G9/$G$2</f>
        <v>0</v>
      </c>
      <c r="J9" s="347"/>
      <c r="K9" s="510" t="s">
        <v>350</v>
      </c>
      <c r="L9" s="486">
        <f t="shared" si="5"/>
        <v>0</v>
      </c>
      <c r="M9" s="381">
        <v>0</v>
      </c>
      <c r="N9" s="381">
        <v>0</v>
      </c>
      <c r="O9" s="381">
        <v>0</v>
      </c>
      <c r="P9" s="378">
        <v>0</v>
      </c>
      <c r="Q9" s="378">
        <v>0</v>
      </c>
      <c r="R9" s="378">
        <v>0</v>
      </c>
      <c r="S9" s="378">
        <v>0</v>
      </c>
      <c r="T9" s="378">
        <v>0</v>
      </c>
      <c r="U9" s="378">
        <v>0</v>
      </c>
      <c r="V9" s="378">
        <v>0</v>
      </c>
      <c r="W9" s="378">
        <v>0</v>
      </c>
      <c r="X9" s="378">
        <v>0</v>
      </c>
      <c r="Y9" s="378">
        <v>0</v>
      </c>
      <c r="Z9" s="378">
        <v>0</v>
      </c>
      <c r="AA9" s="378">
        <v>0</v>
      </c>
      <c r="AB9" s="378">
        <v>0</v>
      </c>
      <c r="AE9" t="s">
        <v>1614</v>
      </c>
      <c r="AF9" t="s">
        <v>1615</v>
      </c>
      <c r="AG9" s="45">
        <f>20*16500</f>
        <v>330000</v>
      </c>
      <c r="AH9" s="45">
        <f>25*16500</f>
        <v>412500</v>
      </c>
    </row>
    <row r="10" spans="1:34" ht="18.75" customHeight="1" x14ac:dyDescent="0.35">
      <c r="B10" s="330" t="s">
        <v>356</v>
      </c>
      <c r="C10" s="324">
        <f>C12+C13</f>
        <v>29423136</v>
      </c>
      <c r="D10" s="325">
        <f>C10/$C$2</f>
        <v>0.61340366260858903</v>
      </c>
      <c r="E10" s="281"/>
      <c r="F10" s="504" t="s">
        <v>844</v>
      </c>
      <c r="G10" s="324">
        <v>0</v>
      </c>
      <c r="H10" s="328">
        <f>G10/$G$2</f>
        <v>0</v>
      </c>
      <c r="J10" s="347" t="s">
        <v>351</v>
      </c>
      <c r="K10" s="510" t="s">
        <v>351</v>
      </c>
      <c r="L10" s="486">
        <f t="shared" si="5"/>
        <v>192000</v>
      </c>
      <c r="M10" s="382">
        <v>12000</v>
      </c>
      <c r="N10" s="382">
        <f>M10</f>
        <v>12000</v>
      </c>
      <c r="O10" s="382">
        <f t="shared" ref="O10:AB10" si="7">N10</f>
        <v>12000</v>
      </c>
      <c r="P10" s="382">
        <f t="shared" si="7"/>
        <v>12000</v>
      </c>
      <c r="Q10" s="382">
        <f t="shared" si="7"/>
        <v>12000</v>
      </c>
      <c r="R10" s="382">
        <f t="shared" si="7"/>
        <v>12000</v>
      </c>
      <c r="S10" s="382">
        <f t="shared" si="7"/>
        <v>12000</v>
      </c>
      <c r="T10" s="382">
        <f t="shared" si="7"/>
        <v>12000</v>
      </c>
      <c r="U10" s="382">
        <f t="shared" si="7"/>
        <v>12000</v>
      </c>
      <c r="V10" s="382">
        <f t="shared" si="7"/>
        <v>12000</v>
      </c>
      <c r="W10" s="382">
        <f t="shared" si="7"/>
        <v>12000</v>
      </c>
      <c r="X10" s="382">
        <f t="shared" si="7"/>
        <v>12000</v>
      </c>
      <c r="Y10" s="382">
        <f t="shared" si="7"/>
        <v>12000</v>
      </c>
      <c r="Z10" s="382">
        <f t="shared" si="7"/>
        <v>12000</v>
      </c>
      <c r="AA10" s="382">
        <f t="shared" si="7"/>
        <v>12000</v>
      </c>
      <c r="AB10" s="382">
        <f t="shared" si="7"/>
        <v>12000</v>
      </c>
      <c r="AF10" t="s">
        <v>1616</v>
      </c>
      <c r="AG10" s="45">
        <f>35*8500</f>
        <v>297500</v>
      </c>
      <c r="AH10" s="45">
        <f>45*8500</f>
        <v>382500</v>
      </c>
    </row>
    <row r="11" spans="1:34" ht="18.75" customHeight="1" x14ac:dyDescent="0.3">
      <c r="B11" s="501" t="s">
        <v>787</v>
      </c>
      <c r="C11" s="331">
        <f>K31</f>
        <v>61342512</v>
      </c>
      <c r="D11" s="328"/>
      <c r="E11" s="281"/>
      <c r="F11" s="338"/>
      <c r="G11" s="331"/>
      <c r="H11" s="281"/>
      <c r="J11" s="514" t="s">
        <v>352</v>
      </c>
      <c r="K11" s="510" t="s">
        <v>353</v>
      </c>
      <c r="L11" s="486">
        <f t="shared" si="5"/>
        <v>92760</v>
      </c>
      <c r="M11" s="382">
        <v>0</v>
      </c>
      <c r="N11" s="382">
        <v>0</v>
      </c>
      <c r="O11" s="382">
        <v>0</v>
      </c>
      <c r="P11" s="379">
        <v>0</v>
      </c>
      <c r="Q11" s="379">
        <v>0</v>
      </c>
      <c r="R11" s="379">
        <v>0</v>
      </c>
      <c r="S11" s="379">
        <v>0</v>
      </c>
      <c r="T11" s="379">
        <v>0</v>
      </c>
      <c r="U11" s="379">
        <v>0</v>
      </c>
      <c r="V11" s="379">
        <v>0</v>
      </c>
      <c r="W11" s="379">
        <v>0</v>
      </c>
      <c r="X11" s="379">
        <v>0</v>
      </c>
      <c r="Y11" s="379">
        <v>0</v>
      </c>
      <c r="Z11" s="379">
        <v>0</v>
      </c>
      <c r="AA11" s="379">
        <v>0</v>
      </c>
      <c r="AB11" s="379">
        <f>30*AB3</f>
        <v>92760</v>
      </c>
      <c r="AG11" s="508"/>
      <c r="AH11" s="508"/>
    </row>
    <row r="12" spans="1:34" ht="18.75" customHeight="1" x14ac:dyDescent="0.3">
      <c r="B12" s="501" t="s">
        <v>1603</v>
      </c>
      <c r="C12" s="327">
        <f>N31</f>
        <v>45382824</v>
      </c>
      <c r="D12" s="328">
        <f>C12/C2</f>
        <v>0.94612588070561121</v>
      </c>
      <c r="E12" s="281"/>
      <c r="F12" s="338"/>
      <c r="G12" s="331"/>
      <c r="H12" s="281"/>
      <c r="J12" s="514"/>
      <c r="K12" s="510" t="s">
        <v>354</v>
      </c>
      <c r="L12" s="486">
        <f t="shared" si="5"/>
        <v>0</v>
      </c>
      <c r="M12" s="382">
        <v>0</v>
      </c>
      <c r="N12" s="382">
        <v>0</v>
      </c>
      <c r="O12" s="382">
        <v>0</v>
      </c>
      <c r="P12" s="379">
        <v>0</v>
      </c>
      <c r="Q12" s="379">
        <v>0</v>
      </c>
      <c r="R12" s="379">
        <v>0</v>
      </c>
      <c r="S12" s="379">
        <v>0</v>
      </c>
      <c r="T12" s="379">
        <v>0</v>
      </c>
      <c r="U12" s="379">
        <v>0</v>
      </c>
      <c r="V12" s="379">
        <v>0</v>
      </c>
      <c r="W12" s="379">
        <v>0</v>
      </c>
      <c r="X12" s="379">
        <v>0</v>
      </c>
      <c r="Y12" s="379">
        <v>0</v>
      </c>
      <c r="Z12" s="379">
        <v>0</v>
      </c>
      <c r="AA12" s="379">
        <v>0</v>
      </c>
      <c r="AB12" s="379">
        <v>0</v>
      </c>
      <c r="AG12" s="508"/>
      <c r="AH12" s="508"/>
    </row>
    <row r="13" spans="1:34" ht="18.75" customHeight="1" x14ac:dyDescent="0.35">
      <c r="B13" s="501" t="s">
        <v>766</v>
      </c>
      <c r="C13" s="331">
        <f>M31*-1</f>
        <v>-15959688</v>
      </c>
      <c r="D13" s="328">
        <f t="shared" ref="D13:D26" si="8">C13/$C$2</f>
        <v>-0.33272221809702224</v>
      </c>
      <c r="E13" s="281"/>
      <c r="F13" s="339"/>
      <c r="G13" s="324"/>
      <c r="H13" s="325"/>
      <c r="J13" s="514"/>
      <c r="K13" s="510" t="s">
        <v>755</v>
      </c>
      <c r="L13" s="486">
        <v>0</v>
      </c>
      <c r="M13" s="382">
        <v>0</v>
      </c>
      <c r="N13" s="382">
        <v>0</v>
      </c>
      <c r="O13" s="382">
        <f t="shared" ref="O13:AB13" si="9">N13</f>
        <v>0</v>
      </c>
      <c r="P13" s="379">
        <f t="shared" si="9"/>
        <v>0</v>
      </c>
      <c r="Q13" s="379">
        <f t="shared" si="9"/>
        <v>0</v>
      </c>
      <c r="R13" s="379">
        <f t="shared" si="9"/>
        <v>0</v>
      </c>
      <c r="S13" s="379">
        <f t="shared" si="9"/>
        <v>0</v>
      </c>
      <c r="T13" s="379">
        <f t="shared" si="9"/>
        <v>0</v>
      </c>
      <c r="U13" s="379">
        <f t="shared" si="9"/>
        <v>0</v>
      </c>
      <c r="V13" s="379">
        <f t="shared" si="9"/>
        <v>0</v>
      </c>
      <c r="W13" s="379">
        <f t="shared" si="9"/>
        <v>0</v>
      </c>
      <c r="X13" s="379">
        <f t="shared" si="9"/>
        <v>0</v>
      </c>
      <c r="Y13" s="379">
        <f t="shared" si="9"/>
        <v>0</v>
      </c>
      <c r="Z13" s="379">
        <f t="shared" si="9"/>
        <v>0</v>
      </c>
      <c r="AA13" s="379">
        <f t="shared" si="9"/>
        <v>0</v>
      </c>
      <c r="AB13" s="379">
        <f t="shared" si="9"/>
        <v>0</v>
      </c>
      <c r="AG13" s="508"/>
      <c r="AH13" s="508"/>
    </row>
    <row r="14" spans="1:34" s="315" customFormat="1" ht="18.75" customHeight="1" x14ac:dyDescent="0.35">
      <c r="A14" s="314"/>
      <c r="B14" s="330" t="s">
        <v>847</v>
      </c>
      <c r="C14" s="324">
        <f>C15+C16+C17+C18+C19+C20+C21+C22+C23</f>
        <v>8351188</v>
      </c>
      <c r="D14" s="325">
        <f t="shared" si="8"/>
        <v>0.1741027641082479</v>
      </c>
      <c r="E14" s="281"/>
      <c r="F14" s="330" t="s">
        <v>848</v>
      </c>
      <c r="G14" s="324">
        <f>G15+G16+G17+G18+G19+G20+G21+G22</f>
        <v>8148853.898860788</v>
      </c>
      <c r="H14" s="325">
        <f t="shared" ref="H14:H21" si="10">G14/$G$2</f>
        <v>0.16960965329264546</v>
      </c>
      <c r="J14" s="487" t="s">
        <v>355</v>
      </c>
      <c r="K14" s="488"/>
      <c r="L14" s="489">
        <f t="shared" si="5"/>
        <v>8351188</v>
      </c>
      <c r="M14" s="490">
        <f t="shared" ref="M14:AB14" si="11">SUM(M6:M13)</f>
        <v>254411</v>
      </c>
      <c r="N14" s="490">
        <f t="shared" si="11"/>
        <v>291465</v>
      </c>
      <c r="O14" s="490">
        <f t="shared" si="11"/>
        <v>1016052</v>
      </c>
      <c r="P14" s="491">
        <f t="shared" si="11"/>
        <v>270500</v>
      </c>
      <c r="Q14" s="491">
        <f t="shared" si="11"/>
        <v>845500</v>
      </c>
      <c r="R14" s="491">
        <f t="shared" si="11"/>
        <v>845500</v>
      </c>
      <c r="S14" s="491">
        <f t="shared" si="11"/>
        <v>220500</v>
      </c>
      <c r="T14" s="491">
        <f t="shared" si="11"/>
        <v>845500</v>
      </c>
      <c r="U14" s="491">
        <f t="shared" si="11"/>
        <v>220500</v>
      </c>
      <c r="V14" s="491">
        <f t="shared" si="11"/>
        <v>845500</v>
      </c>
      <c r="W14" s="491">
        <f t="shared" si="11"/>
        <v>220500</v>
      </c>
      <c r="X14" s="491">
        <f t="shared" si="11"/>
        <v>845500</v>
      </c>
      <c r="Y14" s="491">
        <f t="shared" si="11"/>
        <v>220500</v>
      </c>
      <c r="Z14" s="491">
        <f t="shared" si="11"/>
        <v>845500</v>
      </c>
      <c r="AA14" s="491">
        <f t="shared" si="11"/>
        <v>235500</v>
      </c>
      <c r="AB14" s="491">
        <f t="shared" si="11"/>
        <v>328260</v>
      </c>
      <c r="AG14" s="508"/>
      <c r="AH14" s="508"/>
    </row>
    <row r="15" spans="1:34" ht="18.75" customHeight="1" x14ac:dyDescent="0.3">
      <c r="B15" s="501" t="s">
        <v>340</v>
      </c>
      <c r="C15" s="327">
        <f>L11</f>
        <v>92760</v>
      </c>
      <c r="D15" s="328">
        <f t="shared" si="8"/>
        <v>1.9338293424457785E-3</v>
      </c>
      <c r="E15" s="281"/>
      <c r="F15" s="504" t="s">
        <v>793</v>
      </c>
      <c r="G15" s="329">
        <f>L16</f>
        <v>791120</v>
      </c>
      <c r="H15" s="328">
        <f t="shared" si="10"/>
        <v>1.6466314229984697E-2</v>
      </c>
      <c r="J15" s="492" t="s">
        <v>208</v>
      </c>
      <c r="K15" s="511" t="str">
        <f>J15</f>
        <v>Sueldos</v>
      </c>
      <c r="L15" s="493">
        <f t="shared" si="5"/>
        <v>5931253.898860788</v>
      </c>
      <c r="M15" s="383">
        <v>373212</v>
      </c>
      <c r="N15" s="383">
        <f>M15*0.9991</f>
        <v>372876.10920000001</v>
      </c>
      <c r="O15" s="383">
        <f t="shared" ref="O15:AB15" si="12">N15*0.9991</f>
        <v>372540.52070172003</v>
      </c>
      <c r="P15" s="383">
        <f t="shared" si="12"/>
        <v>372205.2342330885</v>
      </c>
      <c r="Q15" s="383">
        <f t="shared" si="12"/>
        <v>371870.24952227873</v>
      </c>
      <c r="R15" s="383">
        <f t="shared" si="12"/>
        <v>371535.56629770866</v>
      </c>
      <c r="S15" s="383">
        <f t="shared" si="12"/>
        <v>371201.18428804073</v>
      </c>
      <c r="T15" s="383">
        <f t="shared" si="12"/>
        <v>370867.1032221815</v>
      </c>
      <c r="U15" s="383">
        <f t="shared" si="12"/>
        <v>370533.3228292815</v>
      </c>
      <c r="V15" s="383">
        <f t="shared" si="12"/>
        <v>370199.84283873515</v>
      </c>
      <c r="W15" s="383">
        <f t="shared" si="12"/>
        <v>369866.66298018029</v>
      </c>
      <c r="X15" s="383">
        <f t="shared" si="12"/>
        <v>369533.78298349812</v>
      </c>
      <c r="Y15" s="383">
        <f t="shared" si="12"/>
        <v>369201.20257881295</v>
      </c>
      <c r="Z15" s="383">
        <f t="shared" si="12"/>
        <v>368868.921496492</v>
      </c>
      <c r="AA15" s="383">
        <f t="shared" si="12"/>
        <v>368536.93946714513</v>
      </c>
      <c r="AB15" s="383">
        <f t="shared" si="12"/>
        <v>368205.25622162467</v>
      </c>
      <c r="AG15" s="508"/>
      <c r="AH15" s="508"/>
    </row>
    <row r="16" spans="1:34" ht="18.75" customHeight="1" x14ac:dyDescent="0.3">
      <c r="B16" s="501" t="s">
        <v>354</v>
      </c>
      <c r="C16" s="327">
        <f>L12</f>
        <v>0</v>
      </c>
      <c r="D16" s="328">
        <f t="shared" si="8"/>
        <v>0</v>
      </c>
      <c r="E16" s="281"/>
      <c r="F16" s="504" t="s">
        <v>367</v>
      </c>
      <c r="G16" s="329">
        <f>L15</f>
        <v>5931253.898860788</v>
      </c>
      <c r="H16" s="328">
        <f t="shared" si="10"/>
        <v>0.12345268793162051</v>
      </c>
      <c r="J16" s="492" t="s">
        <v>357</v>
      </c>
      <c r="K16" s="511" t="str">
        <f>J16</f>
        <v xml:space="preserve">Mantenimiento </v>
      </c>
      <c r="L16" s="493">
        <f t="shared" si="5"/>
        <v>791120</v>
      </c>
      <c r="M16" s="383">
        <v>49445</v>
      </c>
      <c r="N16" s="383">
        <f>M16</f>
        <v>49445</v>
      </c>
      <c r="O16" s="383">
        <f t="shared" ref="O16" si="13">N16</f>
        <v>49445</v>
      </c>
      <c r="P16" s="383">
        <f t="shared" ref="P16" si="14">O16</f>
        <v>49445</v>
      </c>
      <c r="Q16" s="383">
        <f t="shared" ref="Q16" si="15">P16</f>
        <v>49445</v>
      </c>
      <c r="R16" s="383">
        <f t="shared" ref="R16" si="16">Q16</f>
        <v>49445</v>
      </c>
      <c r="S16" s="383">
        <f t="shared" ref="S16" si="17">R16</f>
        <v>49445</v>
      </c>
      <c r="T16" s="383">
        <f t="shared" ref="T16" si="18">S16</f>
        <v>49445</v>
      </c>
      <c r="U16" s="383">
        <f t="shared" ref="U16" si="19">T16</f>
        <v>49445</v>
      </c>
      <c r="V16" s="383">
        <f t="shared" ref="V16" si="20">U16</f>
        <v>49445</v>
      </c>
      <c r="W16" s="383">
        <f t="shared" ref="W16" si="21">V16</f>
        <v>49445</v>
      </c>
      <c r="X16" s="383">
        <f t="shared" ref="X16" si="22">W16</f>
        <v>49445</v>
      </c>
      <c r="Y16" s="383">
        <f t="shared" ref="Y16" si="23">X16</f>
        <v>49445</v>
      </c>
      <c r="Z16" s="383">
        <f t="shared" ref="Z16" si="24">Y16</f>
        <v>49445</v>
      </c>
      <c r="AA16" s="383">
        <f t="shared" ref="AA16" si="25">Z16</f>
        <v>49445</v>
      </c>
      <c r="AB16" s="383">
        <f t="shared" ref="AB16" si="26">AA16</f>
        <v>49445</v>
      </c>
      <c r="AG16" s="508"/>
      <c r="AH16" s="508"/>
    </row>
    <row r="17" spans="1:34" ht="18.75" customHeight="1" x14ac:dyDescent="0.3">
      <c r="B17" s="501" t="s">
        <v>346</v>
      </c>
      <c r="C17" s="327">
        <f>L6</f>
        <v>4970428</v>
      </c>
      <c r="D17" s="328">
        <f t="shared" si="8"/>
        <v>0.10362181447729718</v>
      </c>
      <c r="E17" s="281"/>
      <c r="F17" s="504" t="s">
        <v>359</v>
      </c>
      <c r="G17" s="329">
        <f>L18</f>
        <v>1044480</v>
      </c>
      <c r="H17" s="328">
        <f t="shared" si="10"/>
        <v>2.1739730871339895E-2</v>
      </c>
      <c r="J17" s="492" t="s">
        <v>358</v>
      </c>
      <c r="K17" s="511" t="s">
        <v>344</v>
      </c>
      <c r="L17" s="493">
        <f t="shared" si="5"/>
        <v>0</v>
      </c>
      <c r="M17" s="383">
        <v>0</v>
      </c>
      <c r="N17" s="383">
        <v>0</v>
      </c>
      <c r="O17" s="383">
        <v>0</v>
      </c>
      <c r="P17" s="380">
        <v>0</v>
      </c>
      <c r="Q17" s="380">
        <v>0</v>
      </c>
      <c r="R17" s="380">
        <v>0</v>
      </c>
      <c r="S17" s="380">
        <v>0</v>
      </c>
      <c r="T17" s="380">
        <v>0</v>
      </c>
      <c r="U17" s="380">
        <v>0</v>
      </c>
      <c r="V17" s="380">
        <v>0</v>
      </c>
      <c r="W17" s="380">
        <v>0</v>
      </c>
      <c r="X17" s="380">
        <v>0</v>
      </c>
      <c r="Y17" s="380">
        <v>0</v>
      </c>
      <c r="Z17" s="380">
        <v>0</v>
      </c>
      <c r="AA17" s="380">
        <v>0</v>
      </c>
      <c r="AB17" s="380">
        <v>0</v>
      </c>
      <c r="AG17" s="508"/>
      <c r="AH17" s="508"/>
    </row>
    <row r="18" spans="1:34" ht="18.75" customHeight="1" x14ac:dyDescent="0.3">
      <c r="B18" s="501" t="s">
        <v>347</v>
      </c>
      <c r="C18" s="327">
        <f>L7</f>
        <v>3096000</v>
      </c>
      <c r="D18" s="328">
        <f t="shared" si="8"/>
        <v>6.4544368738811239E-2</v>
      </c>
      <c r="E18" s="333"/>
      <c r="F18" s="504" t="s">
        <v>361</v>
      </c>
      <c r="G18" s="332">
        <f>L19</f>
        <v>320000</v>
      </c>
      <c r="H18" s="328">
        <f t="shared" si="10"/>
        <v>6.6604567620526635E-3</v>
      </c>
      <c r="J18" s="492" t="s">
        <v>359</v>
      </c>
      <c r="K18" s="511" t="str">
        <f>J18</f>
        <v>Empleados</v>
      </c>
      <c r="L18" s="493">
        <f t="shared" si="5"/>
        <v>1044480</v>
      </c>
      <c r="M18" s="383">
        <v>65280</v>
      </c>
      <c r="N18" s="383">
        <f t="shared" ref="N18:AB24" si="27">M18</f>
        <v>65280</v>
      </c>
      <c r="O18" s="383">
        <f t="shared" si="27"/>
        <v>65280</v>
      </c>
      <c r="P18" s="380">
        <f t="shared" si="27"/>
        <v>65280</v>
      </c>
      <c r="Q18" s="380">
        <f t="shared" si="27"/>
        <v>65280</v>
      </c>
      <c r="R18" s="380">
        <f t="shared" si="27"/>
        <v>65280</v>
      </c>
      <c r="S18" s="380">
        <f t="shared" si="27"/>
        <v>65280</v>
      </c>
      <c r="T18" s="380">
        <f t="shared" si="27"/>
        <v>65280</v>
      </c>
      <c r="U18" s="380">
        <f t="shared" si="27"/>
        <v>65280</v>
      </c>
      <c r="V18" s="380">
        <f t="shared" si="27"/>
        <v>65280</v>
      </c>
      <c r="W18" s="380">
        <f t="shared" si="27"/>
        <v>65280</v>
      </c>
      <c r="X18" s="380">
        <f t="shared" si="27"/>
        <v>65280</v>
      </c>
      <c r="Y18" s="380">
        <f t="shared" si="27"/>
        <v>65280</v>
      </c>
      <c r="Z18" s="380">
        <f t="shared" si="27"/>
        <v>65280</v>
      </c>
      <c r="AA18" s="380">
        <f t="shared" si="27"/>
        <v>65280</v>
      </c>
      <c r="AB18" s="380">
        <f t="shared" si="27"/>
        <v>65280</v>
      </c>
      <c r="AG18" s="508"/>
      <c r="AH18" s="508"/>
    </row>
    <row r="19" spans="1:34" ht="18.75" customHeight="1" x14ac:dyDescent="0.3">
      <c r="B19" s="501" t="s">
        <v>351</v>
      </c>
      <c r="C19" s="327">
        <f>L10</f>
        <v>192000</v>
      </c>
      <c r="D19" s="328">
        <f t="shared" si="8"/>
        <v>4.0027515496937199E-3</v>
      </c>
      <c r="E19" s="333"/>
      <c r="F19" s="505" t="s">
        <v>363</v>
      </c>
      <c r="G19" s="332">
        <f>L22</f>
        <v>62000</v>
      </c>
      <c r="H19" s="328">
        <f t="shared" si="10"/>
        <v>1.2904634976477036E-3</v>
      </c>
      <c r="J19" s="492" t="s">
        <v>361</v>
      </c>
      <c r="K19" s="511" t="str">
        <f>J19</f>
        <v>Juveniles</v>
      </c>
      <c r="L19" s="493">
        <f t="shared" si="5"/>
        <v>320000</v>
      </c>
      <c r="M19" s="383">
        <v>20000</v>
      </c>
      <c r="N19" s="383">
        <f t="shared" si="27"/>
        <v>20000</v>
      </c>
      <c r="O19" s="383">
        <f t="shared" si="27"/>
        <v>20000</v>
      </c>
      <c r="P19" s="380">
        <f t="shared" si="27"/>
        <v>20000</v>
      </c>
      <c r="Q19" s="380">
        <f t="shared" si="27"/>
        <v>20000</v>
      </c>
      <c r="R19" s="380">
        <f t="shared" si="27"/>
        <v>20000</v>
      </c>
      <c r="S19" s="380">
        <f t="shared" si="27"/>
        <v>20000</v>
      </c>
      <c r="T19" s="380">
        <f t="shared" si="27"/>
        <v>20000</v>
      </c>
      <c r="U19" s="380">
        <f t="shared" si="27"/>
        <v>20000</v>
      </c>
      <c r="V19" s="380">
        <f t="shared" si="27"/>
        <v>20000</v>
      </c>
      <c r="W19" s="380">
        <f t="shared" si="27"/>
        <v>20000</v>
      </c>
      <c r="X19" s="380">
        <f t="shared" si="27"/>
        <v>20000</v>
      </c>
      <c r="Y19" s="380">
        <f t="shared" si="27"/>
        <v>20000</v>
      </c>
      <c r="Z19" s="380">
        <f t="shared" si="27"/>
        <v>20000</v>
      </c>
      <c r="AA19" s="380">
        <f t="shared" si="27"/>
        <v>20000</v>
      </c>
      <c r="AB19" s="380">
        <f t="shared" si="27"/>
        <v>20000</v>
      </c>
      <c r="AG19" s="508"/>
      <c r="AH19" s="508"/>
    </row>
    <row r="20" spans="1:34" ht="18.75" customHeight="1" x14ac:dyDescent="0.3">
      <c r="B20" s="501" t="s">
        <v>790</v>
      </c>
      <c r="C20" s="327">
        <f>L13</f>
        <v>0</v>
      </c>
      <c r="D20" s="328">
        <f t="shared" si="8"/>
        <v>0</v>
      </c>
      <c r="E20" s="333"/>
      <c r="F20" s="504" t="s">
        <v>364</v>
      </c>
      <c r="G20" s="324">
        <f>L24</f>
        <v>0</v>
      </c>
      <c r="H20" s="328">
        <f t="shared" si="10"/>
        <v>0</v>
      </c>
      <c r="J20" s="492" t="s">
        <v>362</v>
      </c>
      <c r="K20" s="511" t="s">
        <v>360</v>
      </c>
      <c r="L20" s="493">
        <f t="shared" si="5"/>
        <v>0</v>
      </c>
      <c r="M20" s="383">
        <v>0</v>
      </c>
      <c r="N20" s="383">
        <v>0</v>
      </c>
      <c r="O20" s="383">
        <f t="shared" si="27"/>
        <v>0</v>
      </c>
      <c r="P20" s="380">
        <f t="shared" si="27"/>
        <v>0</v>
      </c>
      <c r="Q20" s="380">
        <f t="shared" si="27"/>
        <v>0</v>
      </c>
      <c r="R20" s="380">
        <f t="shared" si="27"/>
        <v>0</v>
      </c>
      <c r="S20" s="380">
        <f t="shared" si="27"/>
        <v>0</v>
      </c>
      <c r="T20" s="380">
        <v>0</v>
      </c>
      <c r="U20" s="380">
        <v>0</v>
      </c>
      <c r="V20" s="380">
        <v>0</v>
      </c>
      <c r="W20" s="380">
        <v>0</v>
      </c>
      <c r="X20" s="380">
        <f t="shared" si="27"/>
        <v>0</v>
      </c>
      <c r="Y20" s="380">
        <f t="shared" si="27"/>
        <v>0</v>
      </c>
      <c r="Z20" s="380">
        <v>0</v>
      </c>
      <c r="AA20" s="380">
        <v>0</v>
      </c>
      <c r="AB20" s="380">
        <v>0</v>
      </c>
    </row>
    <row r="21" spans="1:34" ht="18.75" customHeight="1" x14ac:dyDescent="0.3">
      <c r="B21" s="501" t="s">
        <v>791</v>
      </c>
      <c r="C21" s="327">
        <f>L23*-1</f>
        <v>0</v>
      </c>
      <c r="D21" s="328">
        <f t="shared" si="8"/>
        <v>0</v>
      </c>
      <c r="E21" s="281"/>
      <c r="F21" s="501" t="s">
        <v>789</v>
      </c>
      <c r="G21" s="331">
        <f>L20</f>
        <v>0</v>
      </c>
      <c r="H21" s="328">
        <f t="shared" si="10"/>
        <v>0</v>
      </c>
      <c r="J21" s="515" t="s">
        <v>352</v>
      </c>
      <c r="K21" s="511" t="s">
        <v>216</v>
      </c>
      <c r="L21" s="493">
        <f t="shared" si="5"/>
        <v>0</v>
      </c>
      <c r="M21" s="383">
        <v>0</v>
      </c>
      <c r="N21" s="383">
        <f>M21</f>
        <v>0</v>
      </c>
      <c r="O21" s="383">
        <v>0</v>
      </c>
      <c r="P21" s="380">
        <v>0</v>
      </c>
      <c r="Q21" s="380">
        <f t="shared" si="27"/>
        <v>0</v>
      </c>
      <c r="R21" s="380">
        <f t="shared" si="27"/>
        <v>0</v>
      </c>
      <c r="S21" s="380">
        <f t="shared" si="27"/>
        <v>0</v>
      </c>
      <c r="T21" s="380">
        <f t="shared" si="27"/>
        <v>0</v>
      </c>
      <c r="U21" s="380">
        <f t="shared" si="27"/>
        <v>0</v>
      </c>
      <c r="V21" s="380">
        <f t="shared" si="27"/>
        <v>0</v>
      </c>
      <c r="W21" s="380">
        <f t="shared" si="27"/>
        <v>0</v>
      </c>
      <c r="X21" s="380">
        <f t="shared" si="27"/>
        <v>0</v>
      </c>
      <c r="Y21" s="380">
        <f t="shared" si="27"/>
        <v>0</v>
      </c>
      <c r="Z21" s="380">
        <v>0</v>
      </c>
      <c r="AA21" s="380">
        <f t="shared" ref="AA21:AB24" si="28">Z21</f>
        <v>0</v>
      </c>
      <c r="AB21" s="380">
        <f t="shared" si="28"/>
        <v>0</v>
      </c>
    </row>
    <row r="22" spans="1:34" ht="18.75" customHeight="1" x14ac:dyDescent="0.3">
      <c r="B22" s="501" t="s">
        <v>788</v>
      </c>
      <c r="C22" s="327">
        <f>L8</f>
        <v>0</v>
      </c>
      <c r="D22" s="328">
        <f t="shared" si="8"/>
        <v>0</v>
      </c>
      <c r="E22" s="281"/>
      <c r="F22" s="338"/>
      <c r="G22" s="329"/>
      <c r="H22" s="328"/>
      <c r="J22" s="515"/>
      <c r="K22" s="511" t="s">
        <v>363</v>
      </c>
      <c r="L22" s="493">
        <f t="shared" si="5"/>
        <v>62000</v>
      </c>
      <c r="M22" s="383">
        <v>4000</v>
      </c>
      <c r="N22" s="383">
        <v>4000</v>
      </c>
      <c r="O22" s="383">
        <v>4000</v>
      </c>
      <c r="P22" s="380">
        <v>2000</v>
      </c>
      <c r="Q22" s="380">
        <v>4000</v>
      </c>
      <c r="R22" s="380">
        <f t="shared" si="27"/>
        <v>4000</v>
      </c>
      <c r="S22" s="380">
        <f t="shared" si="27"/>
        <v>4000</v>
      </c>
      <c r="T22" s="380">
        <f t="shared" si="27"/>
        <v>4000</v>
      </c>
      <c r="U22" s="380">
        <f t="shared" si="27"/>
        <v>4000</v>
      </c>
      <c r="V22" s="380">
        <f t="shared" si="27"/>
        <v>4000</v>
      </c>
      <c r="W22" s="380">
        <f t="shared" si="27"/>
        <v>4000</v>
      </c>
      <c r="X22" s="380">
        <f t="shared" si="27"/>
        <v>4000</v>
      </c>
      <c r="Y22" s="380">
        <f t="shared" si="27"/>
        <v>4000</v>
      </c>
      <c r="Z22" s="380">
        <f>Y22</f>
        <v>4000</v>
      </c>
      <c r="AA22" s="380">
        <f t="shared" si="28"/>
        <v>4000</v>
      </c>
      <c r="AB22" s="380">
        <f t="shared" si="28"/>
        <v>4000</v>
      </c>
    </row>
    <row r="23" spans="1:34" ht="18.75" customHeight="1" x14ac:dyDescent="0.3">
      <c r="B23" s="501" t="s">
        <v>842</v>
      </c>
      <c r="C23" s="327">
        <f>L9</f>
        <v>0</v>
      </c>
      <c r="D23" s="328">
        <f t="shared" si="8"/>
        <v>0</v>
      </c>
      <c r="E23" s="281"/>
      <c r="F23" s="326"/>
      <c r="G23" s="329"/>
      <c r="H23" s="328"/>
      <c r="J23" s="515"/>
      <c r="K23" s="511" t="s">
        <v>755</v>
      </c>
      <c r="L23" s="493">
        <f t="shared" si="5"/>
        <v>0</v>
      </c>
      <c r="M23" s="383">
        <v>0</v>
      </c>
      <c r="N23" s="383">
        <f>M23</f>
        <v>0</v>
      </c>
      <c r="O23" s="383">
        <f t="shared" si="27"/>
        <v>0</v>
      </c>
      <c r="P23" s="380">
        <f t="shared" si="27"/>
        <v>0</v>
      </c>
      <c r="Q23" s="380">
        <f t="shared" si="27"/>
        <v>0</v>
      </c>
      <c r="R23" s="380">
        <f t="shared" si="27"/>
        <v>0</v>
      </c>
      <c r="S23" s="380">
        <f t="shared" si="27"/>
        <v>0</v>
      </c>
      <c r="T23" s="380">
        <f t="shared" si="27"/>
        <v>0</v>
      </c>
      <c r="U23" s="380">
        <f t="shared" si="27"/>
        <v>0</v>
      </c>
      <c r="V23" s="380">
        <f t="shared" si="27"/>
        <v>0</v>
      </c>
      <c r="W23" s="380">
        <f t="shared" si="27"/>
        <v>0</v>
      </c>
      <c r="X23" s="380">
        <f t="shared" si="27"/>
        <v>0</v>
      </c>
      <c r="Y23" s="380">
        <f t="shared" si="27"/>
        <v>0</v>
      </c>
      <c r="Z23" s="380">
        <v>0</v>
      </c>
      <c r="AA23" s="380">
        <f t="shared" si="28"/>
        <v>0</v>
      </c>
      <c r="AB23" s="380">
        <f t="shared" si="28"/>
        <v>0</v>
      </c>
    </row>
    <row r="24" spans="1:34" ht="18.75" customHeight="1" x14ac:dyDescent="0.35">
      <c r="B24" s="330" t="s">
        <v>840</v>
      </c>
      <c r="C24" s="324">
        <f>C26</f>
        <v>2847810.101139213</v>
      </c>
      <c r="D24" s="325">
        <f t="shared" si="8"/>
        <v>5.9370189039418826E-2</v>
      </c>
      <c r="E24" s="281"/>
      <c r="F24" s="338"/>
      <c r="G24" s="329"/>
      <c r="H24" s="281"/>
      <c r="J24" s="492" t="s">
        <v>364</v>
      </c>
      <c r="K24" s="511" t="str">
        <f>J24</f>
        <v>Intereses</v>
      </c>
      <c r="L24" s="493">
        <f t="shared" si="5"/>
        <v>0</v>
      </c>
      <c r="M24" s="383">
        <v>0</v>
      </c>
      <c r="N24" s="383">
        <f>M24</f>
        <v>0</v>
      </c>
      <c r="O24" s="383">
        <f t="shared" si="27"/>
        <v>0</v>
      </c>
      <c r="P24" s="380">
        <f t="shared" si="27"/>
        <v>0</v>
      </c>
      <c r="Q24" s="380">
        <f t="shared" si="27"/>
        <v>0</v>
      </c>
      <c r="R24" s="380">
        <f t="shared" si="27"/>
        <v>0</v>
      </c>
      <c r="S24" s="380">
        <f t="shared" si="27"/>
        <v>0</v>
      </c>
      <c r="T24" s="380">
        <f t="shared" si="27"/>
        <v>0</v>
      </c>
      <c r="U24" s="380">
        <f t="shared" si="27"/>
        <v>0</v>
      </c>
      <c r="V24" s="380">
        <f t="shared" si="27"/>
        <v>0</v>
      </c>
      <c r="W24" s="380">
        <f t="shared" si="27"/>
        <v>0</v>
      </c>
      <c r="X24" s="380">
        <f t="shared" si="27"/>
        <v>0</v>
      </c>
      <c r="Y24" s="380">
        <f t="shared" si="27"/>
        <v>0</v>
      </c>
      <c r="Z24" s="380">
        <v>0</v>
      </c>
      <c r="AA24" s="380">
        <f t="shared" si="28"/>
        <v>0</v>
      </c>
      <c r="AB24" s="380">
        <f t="shared" si="28"/>
        <v>0</v>
      </c>
    </row>
    <row r="25" spans="1:34" s="315" customFormat="1" ht="18.75" customHeight="1" x14ac:dyDescent="0.3">
      <c r="A25" s="314"/>
      <c r="B25" s="501" t="s">
        <v>839</v>
      </c>
      <c r="C25" s="331">
        <f>L5</f>
        <v>2645476</v>
      </c>
      <c r="D25" s="328"/>
      <c r="E25" s="281"/>
      <c r="F25" s="338"/>
      <c r="G25" s="329"/>
      <c r="H25" s="281"/>
      <c r="J25" s="494" t="s">
        <v>365</v>
      </c>
      <c r="K25" s="495"/>
      <c r="L25" s="496">
        <f t="shared" si="5"/>
        <v>8148853.898860788</v>
      </c>
      <c r="M25" s="497">
        <f t="shared" ref="M25:AB25" si="29">SUM(M15:M24)</f>
        <v>511937</v>
      </c>
      <c r="N25" s="497">
        <f t="shared" si="29"/>
        <v>511601.10920000001</v>
      </c>
      <c r="O25" s="497">
        <f t="shared" si="29"/>
        <v>511265.52070172003</v>
      </c>
      <c r="P25" s="498">
        <f t="shared" si="29"/>
        <v>508930.2342330885</v>
      </c>
      <c r="Q25" s="498">
        <f t="shared" si="29"/>
        <v>510595.24952227873</v>
      </c>
      <c r="R25" s="498">
        <f t="shared" si="29"/>
        <v>510260.56629770866</v>
      </c>
      <c r="S25" s="498">
        <f t="shared" si="29"/>
        <v>509926.18428804073</v>
      </c>
      <c r="T25" s="498">
        <f t="shared" si="29"/>
        <v>509592.1032221815</v>
      </c>
      <c r="U25" s="498">
        <f t="shared" si="29"/>
        <v>509258.3228292815</v>
      </c>
      <c r="V25" s="498">
        <f t="shared" si="29"/>
        <v>508924.84283873515</v>
      </c>
      <c r="W25" s="498">
        <f t="shared" si="29"/>
        <v>508591.66298018029</v>
      </c>
      <c r="X25" s="498">
        <f t="shared" si="29"/>
        <v>508258.78298349812</v>
      </c>
      <c r="Y25" s="498">
        <f t="shared" si="29"/>
        <v>507926.20257881295</v>
      </c>
      <c r="Z25" s="498">
        <f t="shared" si="29"/>
        <v>507593.921496492</v>
      </c>
      <c r="AA25" s="498">
        <f t="shared" si="29"/>
        <v>507261.93946714513</v>
      </c>
      <c r="AB25" s="498">
        <f t="shared" si="29"/>
        <v>506930.25622162467</v>
      </c>
    </row>
    <row r="26" spans="1:34" s="315" customFormat="1" ht="18.75" customHeight="1" x14ac:dyDescent="0.3">
      <c r="A26" s="314"/>
      <c r="B26" s="501" t="s">
        <v>841</v>
      </c>
      <c r="C26" s="327">
        <f>L27</f>
        <v>2847810.101139213</v>
      </c>
      <c r="D26" s="328">
        <f t="shared" si="8"/>
        <v>5.9370189039418826E-2</v>
      </c>
      <c r="E26" s="306"/>
      <c r="F26" s="384"/>
      <c r="G26" s="335"/>
      <c r="H26" s="306"/>
      <c r="J26" s="480" t="s">
        <v>764</v>
      </c>
      <c r="K26" s="480"/>
      <c r="L26" s="481">
        <f>L4-L13+L23</f>
        <v>0</v>
      </c>
      <c r="M26" s="482">
        <f>M4-M13+M23</f>
        <v>0</v>
      </c>
      <c r="N26" s="482">
        <f t="shared" ref="N26:AB26" si="30">N4-N13+N23</f>
        <v>0</v>
      </c>
      <c r="O26" s="482">
        <f t="shared" si="30"/>
        <v>0</v>
      </c>
      <c r="P26" s="482">
        <f t="shared" si="30"/>
        <v>0</v>
      </c>
      <c r="Q26" s="482">
        <f t="shared" si="30"/>
        <v>0</v>
      </c>
      <c r="R26" s="482">
        <f t="shared" si="30"/>
        <v>0</v>
      </c>
      <c r="S26" s="482">
        <f t="shared" si="30"/>
        <v>0</v>
      </c>
      <c r="T26" s="482">
        <f t="shared" si="30"/>
        <v>0</v>
      </c>
      <c r="U26" s="482">
        <f t="shared" si="30"/>
        <v>0</v>
      </c>
      <c r="V26" s="482">
        <f t="shared" si="30"/>
        <v>0</v>
      </c>
      <c r="W26" s="482">
        <f t="shared" si="30"/>
        <v>0</v>
      </c>
      <c r="X26" s="482">
        <f t="shared" si="30"/>
        <v>0</v>
      </c>
      <c r="Y26" s="482">
        <f t="shared" si="30"/>
        <v>0</v>
      </c>
      <c r="Z26" s="482">
        <f t="shared" si="30"/>
        <v>0</v>
      </c>
      <c r="AA26" s="482">
        <f t="shared" si="30"/>
        <v>0</v>
      </c>
      <c r="AB26" s="482">
        <f t="shared" si="30"/>
        <v>0</v>
      </c>
    </row>
    <row r="27" spans="1:34" s="315" customFormat="1" ht="18.75" customHeight="1" x14ac:dyDescent="0.3">
      <c r="A27" s="314"/>
      <c r="B27" s="326"/>
      <c r="C27" s="329"/>
      <c r="D27" s="328"/>
      <c r="J27" s="499" t="s">
        <v>366</v>
      </c>
      <c r="K27" s="499"/>
      <c r="L27" s="500">
        <f>AB27</f>
        <v>2847810.101139213</v>
      </c>
      <c r="M27" s="485">
        <f t="shared" ref="M27:AB27" si="31">M5+M14-M25</f>
        <v>2387950</v>
      </c>
      <c r="N27" s="485">
        <f t="shared" si="31"/>
        <v>2167813.8908000002</v>
      </c>
      <c r="O27" s="485">
        <f t="shared" si="31"/>
        <v>2672600.3700982803</v>
      </c>
      <c r="P27" s="485">
        <f t="shared" si="31"/>
        <v>2434170.1358651919</v>
      </c>
      <c r="Q27" s="485">
        <f t="shared" si="31"/>
        <v>2769074.8863429134</v>
      </c>
      <c r="R27" s="485">
        <f t="shared" si="31"/>
        <v>3104314.3200452048</v>
      </c>
      <c r="S27" s="485">
        <f t="shared" si="31"/>
        <v>2814888.1357571641</v>
      </c>
      <c r="T27" s="485">
        <f t="shared" si="31"/>
        <v>3150796.0325349825</v>
      </c>
      <c r="U27" s="485">
        <f t="shared" si="31"/>
        <v>2862037.7097057011</v>
      </c>
      <c r="V27" s="485">
        <f t="shared" si="31"/>
        <v>3198612.8668669658</v>
      </c>
      <c r="W27" s="485">
        <f t="shared" si="31"/>
        <v>2910521.2038867855</v>
      </c>
      <c r="X27" s="485">
        <f t="shared" si="31"/>
        <v>3247762.4209032874</v>
      </c>
      <c r="Y27" s="485">
        <f t="shared" si="31"/>
        <v>2960336.2183244745</v>
      </c>
      <c r="Z27" s="485">
        <f t="shared" si="31"/>
        <v>3298242.2968279826</v>
      </c>
      <c r="AA27" s="485">
        <f t="shared" si="31"/>
        <v>3026480.3573608375</v>
      </c>
      <c r="AB27" s="485">
        <f t="shared" si="31"/>
        <v>2847810.101139213</v>
      </c>
    </row>
    <row r="28" spans="1:34" ht="18.75" customHeight="1" x14ac:dyDescent="0.25">
      <c r="B28" s="326"/>
      <c r="C28" s="329"/>
      <c r="D28" s="328"/>
      <c r="J28" s="289"/>
      <c r="K28" s="289"/>
      <c r="L28" s="312"/>
      <c r="M28" s="310">
        <f>M1+7</f>
        <v>44550</v>
      </c>
      <c r="N28" s="310">
        <f t="shared" ref="N28:AB28" si="32">M28+7</f>
        <v>44557</v>
      </c>
      <c r="O28" s="310">
        <f t="shared" si="32"/>
        <v>44564</v>
      </c>
      <c r="P28" s="310">
        <f t="shared" si="32"/>
        <v>44571</v>
      </c>
      <c r="Q28" s="310">
        <f t="shared" si="32"/>
        <v>44578</v>
      </c>
      <c r="R28" s="310">
        <f t="shared" si="32"/>
        <v>44585</v>
      </c>
      <c r="S28" s="310">
        <f t="shared" si="32"/>
        <v>44592</v>
      </c>
      <c r="T28" s="310">
        <f t="shared" si="32"/>
        <v>44599</v>
      </c>
      <c r="U28" s="310">
        <f t="shared" si="32"/>
        <v>44606</v>
      </c>
      <c r="V28" s="310">
        <f t="shared" si="32"/>
        <v>44613</v>
      </c>
      <c r="W28" s="310">
        <f t="shared" si="32"/>
        <v>44620</v>
      </c>
      <c r="X28" s="310">
        <f t="shared" si="32"/>
        <v>44627</v>
      </c>
      <c r="Y28" s="310">
        <f t="shared" si="32"/>
        <v>44634</v>
      </c>
      <c r="Z28" s="310">
        <f t="shared" si="32"/>
        <v>44641</v>
      </c>
      <c r="AA28" s="310">
        <f t="shared" si="32"/>
        <v>44648</v>
      </c>
      <c r="AB28" s="310">
        <f t="shared" si="32"/>
        <v>44655</v>
      </c>
    </row>
    <row r="29" spans="1:34" ht="15.75" x14ac:dyDescent="0.25">
      <c r="B29" s="326"/>
      <c r="C29" s="329"/>
      <c r="D29" s="328"/>
      <c r="G29" s="290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</row>
    <row r="30" spans="1:34" ht="15.75" x14ac:dyDescent="0.25">
      <c r="B30" s="334"/>
      <c r="C30" s="335"/>
      <c r="D30" s="336"/>
      <c r="G30" s="290"/>
      <c r="L30" s="503">
        <v>44537</v>
      </c>
      <c r="M30" s="313" t="s">
        <v>794</v>
      </c>
    </row>
    <row r="31" spans="1:34" s="320" customFormat="1" ht="15.75" x14ac:dyDescent="0.25">
      <c r="A31" s="318"/>
      <c r="B31" s="315"/>
      <c r="C31" s="315"/>
      <c r="D31" s="315"/>
      <c r="E31" s="315"/>
      <c r="F31" s="315"/>
      <c r="G31" s="506"/>
      <c r="H31" s="315"/>
      <c r="J31" s="318"/>
      <c r="K31" s="319">
        <f>SUM(K33:K55)</f>
        <v>61342512</v>
      </c>
      <c r="L31" s="319">
        <f t="shared" ref="L31:N31" si="33">SUM(L33:L55)</f>
        <v>75037263</v>
      </c>
      <c r="M31" s="319">
        <f t="shared" si="33"/>
        <v>15959688</v>
      </c>
      <c r="N31" s="319">
        <f t="shared" si="33"/>
        <v>45382824</v>
      </c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318"/>
      <c r="Z31" s="318"/>
    </row>
    <row r="32" spans="1:34" s="43" customFormat="1" ht="15.75" x14ac:dyDescent="0.25">
      <c r="A32" s="287"/>
      <c r="B32" s="321"/>
      <c r="C32"/>
      <c r="D32"/>
      <c r="E32"/>
      <c r="F32"/>
      <c r="G32" s="386"/>
      <c r="H32"/>
      <c r="J32" s="322" t="s">
        <v>176</v>
      </c>
      <c r="K32" s="322" t="s">
        <v>765</v>
      </c>
      <c r="L32" s="322" t="s">
        <v>782</v>
      </c>
      <c r="M32" s="322" t="s">
        <v>766</v>
      </c>
      <c r="N32" s="322" t="s">
        <v>768</v>
      </c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</row>
    <row r="33" spans="2:28" x14ac:dyDescent="0.25">
      <c r="C33" s="290"/>
      <c r="D33" s="290"/>
      <c r="J33" s="502" t="s">
        <v>767</v>
      </c>
      <c r="K33" s="317">
        <v>7000000</v>
      </c>
      <c r="L33" s="317">
        <v>8000000</v>
      </c>
      <c r="M33" s="317">
        <f t="shared" ref="M33:M50" si="34">IF((K33-L33)&lt;0,0,K33-L33)</f>
        <v>0</v>
      </c>
      <c r="N33" s="316">
        <f t="shared" ref="N33:N50" si="35">K33-M33</f>
        <v>7000000</v>
      </c>
      <c r="AA33"/>
      <c r="AB33"/>
    </row>
    <row r="34" spans="2:28" x14ac:dyDescent="0.25">
      <c r="C34" s="290"/>
      <c r="D34" s="290"/>
      <c r="J34" s="502" t="s">
        <v>769</v>
      </c>
      <c r="K34" s="317">
        <v>3869000</v>
      </c>
      <c r="L34" s="317">
        <v>3750000</v>
      </c>
      <c r="M34" s="317">
        <f t="shared" si="34"/>
        <v>119000</v>
      </c>
      <c r="N34" s="316">
        <f t="shared" si="35"/>
        <v>3750000</v>
      </c>
      <c r="AA34"/>
      <c r="AB34"/>
    </row>
    <row r="35" spans="2:28" ht="15.75" x14ac:dyDescent="0.25">
      <c r="B35" s="320"/>
      <c r="C35" s="320"/>
      <c r="D35" s="320"/>
      <c r="E35" s="320"/>
      <c r="F35" s="320"/>
      <c r="G35" s="320"/>
      <c r="H35" s="320"/>
      <c r="J35" s="502" t="s">
        <v>770</v>
      </c>
      <c r="K35" s="317">
        <v>600000</v>
      </c>
      <c r="L35" s="317">
        <v>6500000</v>
      </c>
      <c r="M35" s="317">
        <f t="shared" si="34"/>
        <v>0</v>
      </c>
      <c r="N35" s="316">
        <f t="shared" si="35"/>
        <v>600000</v>
      </c>
      <c r="AA35"/>
      <c r="AB35"/>
    </row>
    <row r="36" spans="2:28" x14ac:dyDescent="0.25">
      <c r="B36" s="43"/>
      <c r="C36" s="43"/>
      <c r="D36" s="43"/>
      <c r="E36" s="43"/>
      <c r="F36" s="43"/>
      <c r="G36" s="43"/>
      <c r="H36" s="43"/>
      <c r="J36" s="502" t="s">
        <v>771</v>
      </c>
      <c r="K36" s="317">
        <v>2500000</v>
      </c>
      <c r="L36" s="317">
        <v>4000000</v>
      </c>
      <c r="M36" s="317">
        <f t="shared" si="34"/>
        <v>0</v>
      </c>
      <c r="N36" s="316">
        <f t="shared" si="35"/>
        <v>2500000</v>
      </c>
      <c r="AA36"/>
      <c r="AB36"/>
    </row>
    <row r="37" spans="2:28" x14ac:dyDescent="0.25">
      <c r="J37" s="502" t="s">
        <v>772</v>
      </c>
      <c r="K37" s="317">
        <v>496109</v>
      </c>
      <c r="L37" s="317">
        <v>5000000</v>
      </c>
      <c r="M37" s="317">
        <f t="shared" si="34"/>
        <v>0</v>
      </c>
      <c r="N37" s="316">
        <f t="shared" si="35"/>
        <v>496109</v>
      </c>
      <c r="AA37"/>
      <c r="AB37"/>
    </row>
    <row r="38" spans="2:28" x14ac:dyDescent="0.25">
      <c r="J38" s="502" t="s">
        <v>1602</v>
      </c>
      <c r="K38" s="317">
        <v>218000</v>
      </c>
      <c r="L38" s="317">
        <v>218000</v>
      </c>
      <c r="M38" s="317">
        <f t="shared" si="34"/>
        <v>0</v>
      </c>
      <c r="N38" s="316">
        <f t="shared" si="35"/>
        <v>218000</v>
      </c>
      <c r="AA38"/>
      <c r="AB38"/>
    </row>
    <row r="39" spans="2:28" x14ac:dyDescent="0.25">
      <c r="J39" s="502" t="s">
        <v>773</v>
      </c>
      <c r="K39" s="317">
        <v>4162000</v>
      </c>
      <c r="L39" s="317">
        <v>2750000</v>
      </c>
      <c r="M39" s="317">
        <f t="shared" si="34"/>
        <v>1412000</v>
      </c>
      <c r="N39" s="316">
        <f t="shared" si="35"/>
        <v>2750000</v>
      </c>
      <c r="AA39"/>
      <c r="AB39"/>
    </row>
    <row r="40" spans="2:28" x14ac:dyDescent="0.25">
      <c r="J40" s="502" t="s">
        <v>774</v>
      </c>
      <c r="K40" s="317">
        <v>0</v>
      </c>
      <c r="L40" s="317">
        <v>6341000</v>
      </c>
      <c r="M40" s="317">
        <f t="shared" si="34"/>
        <v>0</v>
      </c>
      <c r="N40" s="316">
        <f t="shared" si="35"/>
        <v>0</v>
      </c>
      <c r="AA40"/>
      <c r="AB40"/>
    </row>
    <row r="41" spans="2:28" x14ac:dyDescent="0.25">
      <c r="J41" s="502" t="s">
        <v>775</v>
      </c>
      <c r="K41" s="317">
        <v>1530000</v>
      </c>
      <c r="L41" s="317">
        <v>5183263</v>
      </c>
      <c r="M41" s="317">
        <f t="shared" si="34"/>
        <v>0</v>
      </c>
      <c r="N41" s="316">
        <f t="shared" si="35"/>
        <v>1530000</v>
      </c>
      <c r="AA41"/>
      <c r="AB41"/>
    </row>
    <row r="42" spans="2:28" x14ac:dyDescent="0.25">
      <c r="J42" s="502" t="s">
        <v>776</v>
      </c>
      <c r="K42" s="317">
        <v>12306000</v>
      </c>
      <c r="L42" s="317">
        <v>6000000</v>
      </c>
      <c r="M42" s="317">
        <f t="shared" si="34"/>
        <v>6306000</v>
      </c>
      <c r="N42" s="316">
        <f t="shared" si="35"/>
        <v>6000000</v>
      </c>
      <c r="AA42"/>
      <c r="AB42"/>
    </row>
    <row r="43" spans="2:28" x14ac:dyDescent="0.25">
      <c r="J43" s="502" t="s">
        <v>777</v>
      </c>
      <c r="K43" s="317">
        <v>245000</v>
      </c>
      <c r="L43" s="317">
        <v>5300000</v>
      </c>
      <c r="M43" s="317">
        <f t="shared" si="34"/>
        <v>0</v>
      </c>
      <c r="N43" s="316">
        <f t="shared" si="35"/>
        <v>245000</v>
      </c>
      <c r="AA43"/>
      <c r="AB43"/>
    </row>
    <row r="44" spans="2:28" x14ac:dyDescent="0.25">
      <c r="J44" s="502" t="s">
        <v>778</v>
      </c>
      <c r="K44" s="317">
        <v>7500000</v>
      </c>
      <c r="L44" s="317">
        <v>3650000</v>
      </c>
      <c r="M44" s="317">
        <f t="shared" si="34"/>
        <v>3850000</v>
      </c>
      <c r="N44" s="316">
        <f t="shared" si="35"/>
        <v>3650000</v>
      </c>
      <c r="AA44"/>
      <c r="AB44"/>
    </row>
    <row r="45" spans="2:28" x14ac:dyDescent="0.25">
      <c r="J45" s="502" t="s">
        <v>779</v>
      </c>
      <c r="K45" s="317">
        <v>3600000</v>
      </c>
      <c r="L45" s="317">
        <v>5100000</v>
      </c>
      <c r="M45" s="317">
        <f t="shared" si="34"/>
        <v>0</v>
      </c>
      <c r="N45" s="316">
        <f t="shared" si="35"/>
        <v>3600000</v>
      </c>
      <c r="AA45"/>
      <c r="AB45"/>
    </row>
    <row r="46" spans="2:28" x14ac:dyDescent="0.25">
      <c r="J46" s="502" t="s">
        <v>1600</v>
      </c>
      <c r="K46" s="317">
        <f>3529712</f>
        <v>3529712</v>
      </c>
      <c r="L46" s="317">
        <v>3650000</v>
      </c>
      <c r="M46" s="317">
        <f t="shared" si="34"/>
        <v>0</v>
      </c>
      <c r="N46" s="316">
        <f t="shared" si="35"/>
        <v>3529712</v>
      </c>
      <c r="AA46"/>
      <c r="AB46"/>
    </row>
    <row r="47" spans="2:28" x14ac:dyDescent="0.25">
      <c r="J47" s="502" t="s">
        <v>1601</v>
      </c>
      <c r="K47" s="317">
        <f>23688+5634000</f>
        <v>5657688</v>
      </c>
      <c r="L47" s="317">
        <v>5300000</v>
      </c>
      <c r="M47" s="317">
        <f t="shared" si="34"/>
        <v>357688</v>
      </c>
      <c r="N47" s="316">
        <f t="shared" si="35"/>
        <v>5300000</v>
      </c>
      <c r="AA47"/>
      <c r="AB47"/>
    </row>
    <row r="48" spans="2:28" x14ac:dyDescent="0.25">
      <c r="J48" s="502" t="s">
        <v>780</v>
      </c>
      <c r="K48" s="317">
        <v>5280000</v>
      </c>
      <c r="L48" s="317">
        <v>1500000</v>
      </c>
      <c r="M48" s="317">
        <f t="shared" si="34"/>
        <v>3780000</v>
      </c>
      <c r="N48" s="316">
        <f t="shared" si="35"/>
        <v>1500000</v>
      </c>
      <c r="AA48"/>
      <c r="AB48"/>
    </row>
    <row r="49" spans="10:28" x14ac:dyDescent="0.25">
      <c r="J49" s="502" t="s">
        <v>781</v>
      </c>
      <c r="K49" s="317">
        <v>14003</v>
      </c>
      <c r="L49" s="317">
        <v>95000</v>
      </c>
      <c r="M49" s="317">
        <f t="shared" si="34"/>
        <v>0</v>
      </c>
      <c r="N49" s="316">
        <f t="shared" si="35"/>
        <v>14003</v>
      </c>
      <c r="AA49"/>
      <c r="AB49"/>
    </row>
    <row r="50" spans="10:28" x14ac:dyDescent="0.25">
      <c r="J50" s="502" t="s">
        <v>1599</v>
      </c>
      <c r="K50" s="317">
        <f>2805000+30000</f>
        <v>2835000</v>
      </c>
      <c r="L50" s="317">
        <v>2700000</v>
      </c>
      <c r="M50" s="317">
        <f t="shared" si="34"/>
        <v>135000</v>
      </c>
      <c r="N50" s="316">
        <f t="shared" si="35"/>
        <v>2700000</v>
      </c>
      <c r="AA50"/>
      <c r="AB50"/>
    </row>
    <row r="51" spans="10:28" x14ac:dyDescent="0.25">
      <c r="J51" s="313"/>
      <c r="K51" s="317"/>
      <c r="L51" s="317"/>
      <c r="M51" s="317"/>
      <c r="N51" s="316"/>
    </row>
    <row r="52" spans="10:28" x14ac:dyDescent="0.25">
      <c r="J52" s="313"/>
      <c r="K52" s="317"/>
      <c r="L52" s="317"/>
      <c r="M52" s="317"/>
      <c r="N52" s="316"/>
    </row>
    <row r="53" spans="10:28" x14ac:dyDescent="0.25">
      <c r="J53" s="313"/>
    </row>
  </sheetData>
  <mergeCells count="2">
    <mergeCell ref="J11:J13"/>
    <mergeCell ref="J21:J23"/>
  </mergeCells>
  <conditionalFormatting sqref="C4:C6 G4:G5">
    <cfRule type="cellIs" dxfId="39" priority="27" operator="greaterThan">
      <formula>0</formula>
    </cfRule>
    <cfRule type="cellIs" dxfId="38" priority="28" operator="lessThan">
      <formula>0</formula>
    </cfRule>
  </conditionalFormatting>
  <conditionalFormatting sqref="G15:G26 C27:C30">
    <cfRule type="cellIs" dxfId="37" priority="17" operator="greaterThan">
      <formula>0</formula>
    </cfRule>
    <cfRule type="cellIs" dxfId="36" priority="18" operator="lessThan">
      <formula>0</formula>
    </cfRule>
  </conditionalFormatting>
  <conditionalFormatting sqref="C9">
    <cfRule type="cellIs" dxfId="35" priority="15" operator="greaterThan">
      <formula>0</formula>
    </cfRule>
    <cfRule type="cellIs" dxfId="34" priority="16" operator="lessThan">
      <formula>0</formula>
    </cfRule>
  </conditionalFormatting>
  <conditionalFormatting sqref="C13">
    <cfRule type="cellIs" dxfId="33" priority="13" operator="greaterThan">
      <formula>0</formula>
    </cfRule>
    <cfRule type="cellIs" dxfId="32" priority="14" operator="lessThan">
      <formula>0</formula>
    </cfRule>
  </conditionalFormatting>
  <conditionalFormatting sqref="C12">
    <cfRule type="cellIs" dxfId="31" priority="11" operator="greaterThan">
      <formula>0</formula>
    </cfRule>
    <cfRule type="cellIs" dxfId="30" priority="12" operator="lessThan">
      <formula>0</formula>
    </cfRule>
  </conditionalFormatting>
  <conditionalFormatting sqref="C15:C23">
    <cfRule type="cellIs" dxfId="29" priority="9" operator="greaterThan">
      <formula>0</formula>
    </cfRule>
    <cfRule type="cellIs" dxfId="28" priority="10" operator="lessThan">
      <formula>0</formula>
    </cfRule>
  </conditionalFormatting>
  <conditionalFormatting sqref="G8">
    <cfRule type="cellIs" dxfId="27" priority="7" operator="greaterThan">
      <formula>0</formula>
    </cfRule>
    <cfRule type="cellIs" dxfId="26" priority="8" operator="lessThan">
      <formula>0</formula>
    </cfRule>
  </conditionalFormatting>
  <conditionalFormatting sqref="G9">
    <cfRule type="cellIs" dxfId="25" priority="5" operator="greaterThan">
      <formula>0</formula>
    </cfRule>
    <cfRule type="cellIs" dxfId="24" priority="6" operator="lessThan">
      <formula>0</formula>
    </cfRule>
  </conditionalFormatting>
  <conditionalFormatting sqref="C26">
    <cfRule type="cellIs" dxfId="23" priority="1" operator="greaterThan">
      <formula>0</formula>
    </cfRule>
    <cfRule type="cellIs" dxfId="22" priority="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Banderas</vt:lpstr>
      <vt:lpstr>Planning_Entrenamiento</vt:lpstr>
      <vt:lpstr>Liga</vt:lpstr>
      <vt:lpstr>Goles</vt:lpstr>
      <vt:lpstr>Hall_of_Fame</vt:lpstr>
      <vt:lpstr>Fites</vt:lpstr>
      <vt:lpstr>PLANTILLA</vt:lpstr>
      <vt:lpstr>JUVENILES</vt:lpstr>
      <vt:lpstr>ECONOMIA</vt:lpstr>
      <vt:lpstr>Capitán</vt:lpstr>
      <vt:lpstr>CA_Calcutator</vt:lpstr>
      <vt:lpstr>EstudioConversion</vt:lpstr>
      <vt:lpstr>ESTADIO</vt:lpstr>
      <vt:lpstr>Evaluacion Jugadores</vt:lpstr>
      <vt:lpstr>LAT</vt:lpstr>
      <vt:lpstr>Entrenador</vt:lpstr>
      <vt:lpstr>Inner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2022-05-30T13:29:50Z</dcterms:modified>
</cp:coreProperties>
</file>