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1DF4ED16-940D-4043-B91D-76EC72085D21}" xr6:coauthVersionLast="33" xr6:coauthVersionMax="33" xr10:uidLastSave="{00000000-0000-0000-0000-000000000000}"/>
  <bookViews>
    <workbookView xWindow="1680" yWindow="300" windowWidth="14880" windowHeight="7815" activeTab="1"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AM13" i="86" l="1"/>
  <c r="AM28" i="86" s="1"/>
  <c r="AM12" i="86"/>
  <c r="AM27" i="86" s="1"/>
  <c r="AM25" i="86"/>
  <c r="AM26" i="86"/>
  <c r="AM24" i="86"/>
  <c r="AM11" i="86"/>
  <c r="AM9" i="86"/>
  <c r="AL13" i="86"/>
  <c r="AL12" i="86"/>
  <c r="AK13" i="86"/>
  <c r="AJ12" i="86"/>
  <c r="AL11" i="86"/>
  <c r="AK11" i="86"/>
  <c r="AL10" i="86"/>
  <c r="AJ10" i="86"/>
  <c r="AL9" i="86"/>
  <c r="AJ9" i="86"/>
  <c r="AM10" i="86" l="1"/>
  <c r="AJ25" i="86"/>
  <c r="AL25" i="86"/>
  <c r="AJ26" i="86"/>
  <c r="AK26" i="86"/>
  <c r="AL26" i="86"/>
  <c r="AJ27" i="86"/>
  <c r="AK27" i="86"/>
  <c r="AL27" i="86"/>
  <c r="AJ28" i="86"/>
  <c r="AK28" i="86"/>
  <c r="AL28" i="86"/>
  <c r="AK24" i="86"/>
  <c r="AL24" i="86"/>
  <c r="AJ24" i="86"/>
  <c r="AI25" i="86"/>
  <c r="AI26" i="86"/>
  <c r="AI27" i="86"/>
  <c r="AI28" i="86"/>
  <c r="AI24" i="86"/>
  <c r="AI13" i="86"/>
  <c r="AI12" i="86"/>
  <c r="AI11" i="86"/>
  <c r="AI10" i="86"/>
  <c r="AI9"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R7" i="117" l="1"/>
  <c r="S7" i="117" s="1"/>
  <c r="T7" i="117" s="1"/>
  <c r="U7" i="117" s="1"/>
  <c r="V7" i="117" s="1"/>
  <c r="W7" i="117" s="1"/>
  <c r="X7" i="117" s="1"/>
  <c r="Y7" i="117" s="1"/>
  <c r="Z7" i="117" s="1"/>
  <c r="AA7" i="117" s="1"/>
  <c r="AB7" i="117" s="1"/>
  <c r="AC7" i="117" s="1"/>
  <c r="AD7" i="117" s="1"/>
  <c r="Q7" i="117"/>
  <c r="W19" i="116" l="1"/>
  <c r="W20" i="116"/>
  <c r="W21" i="116"/>
  <c r="W22" i="116"/>
  <c r="W23" i="116"/>
  <c r="W24" i="116"/>
  <c r="W25" i="116"/>
  <c r="W26" i="116"/>
  <c r="W27" i="116"/>
  <c r="W18" i="116"/>
  <c r="W28" i="116"/>
  <c r="W11" i="116"/>
  <c r="W12" i="116"/>
  <c r="W13" i="116"/>
  <c r="W10" i="116"/>
  <c r="W6" i="116"/>
  <c r="E19" i="117" l="1"/>
  <c r="E18" i="117"/>
  <c r="O20" i="117"/>
  <c r="U2" i="32"/>
  <c r="Z13" i="32"/>
  <c r="AS17" i="32"/>
  <c r="Z17" i="32"/>
  <c r="Z15" i="32"/>
  <c r="Z14" i="32"/>
  <c r="Z16" i="32"/>
  <c r="P19" i="32"/>
  <c r="AS21" i="32"/>
  <c r="Z21" i="32"/>
  <c r="AS20" i="32"/>
  <c r="Z20" i="32"/>
  <c r="U22" i="32" l="1"/>
  <c r="U19" i="32" l="1"/>
  <c r="O6" i="117" l="1"/>
  <c r="Q15" i="117" l="1"/>
  <c r="R15" i="117" s="1"/>
  <c r="S15" i="117" s="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R10" i="117"/>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R22" i="117"/>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T4" i="83"/>
  <c r="X4" i="83"/>
  <c r="Y4" i="83"/>
  <c r="Z4" i="83"/>
  <c r="M5" i="83"/>
  <c r="W3" i="83" s="1"/>
  <c r="N5" i="83"/>
  <c r="O5" i="83"/>
  <c r="Y5"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S24" i="83"/>
  <c r="T24" i="83"/>
  <c r="M25" i="83"/>
  <c r="N25" i="83"/>
  <c r="O25" i="83"/>
  <c r="P25" i="83"/>
  <c r="S25" i="83"/>
  <c r="T25" i="83"/>
  <c r="Y12" i="83" l="1"/>
  <c r="C19" i="116"/>
  <c r="C28" i="116"/>
  <c r="C6"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7" i="116"/>
  <c r="E26" i="116"/>
  <c r="E25" i="116"/>
  <c r="E24" i="116"/>
  <c r="E20" i="116"/>
  <c r="E23" i="116"/>
  <c r="E22" i="116"/>
  <c r="E19" i="116"/>
  <c r="E21" i="116"/>
  <c r="E18" i="116"/>
  <c r="E11" i="116"/>
  <c r="E28" i="116"/>
  <c r="E12" i="116"/>
  <c r="E13" i="116"/>
  <c r="E10" i="116"/>
  <c r="E6" i="116"/>
  <c r="C27" i="116"/>
  <c r="C26" i="116"/>
  <c r="C25" i="116"/>
  <c r="C24" i="116"/>
  <c r="C23" i="116"/>
  <c r="C22" i="116"/>
  <c r="C21" i="116"/>
  <c r="C20" i="116"/>
  <c r="C18" i="116"/>
  <c r="C13"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I9" i="86"/>
  <c r="J9" i="86"/>
  <c r="T9" i="86" s="1"/>
  <c r="L9" i="86"/>
  <c r="V9" i="86" s="1"/>
  <c r="M9" i="86"/>
  <c r="W9" i="86" s="1"/>
  <c r="N9" i="86"/>
  <c r="X9" i="86" s="1"/>
  <c r="R9" i="86"/>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G14" i="86"/>
  <c r="H14" i="86"/>
  <c r="I14" i="86"/>
  <c r="S14" i="86" s="1"/>
  <c r="Z14" i="86" s="1"/>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I24" i="86"/>
  <c r="S24" i="86" s="1"/>
  <c r="L24" i="86"/>
  <c r="V24" i="86" s="1"/>
  <c r="N24" i="86"/>
  <c r="O24" i="86"/>
  <c r="Y24" i="86" s="1"/>
  <c r="R24" i="86"/>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X25" i="86" l="1"/>
  <c r="AE25" i="86" s="1"/>
  <c r="Z26" i="86"/>
  <c r="S26" i="86"/>
  <c r="X8" i="86"/>
  <c r="AE8" i="86" s="1"/>
  <c r="AE24" i="86"/>
  <c r="X24" i="86"/>
  <c r="S9" i="86"/>
  <c r="Z9" i="86" s="1"/>
  <c r="AD7" i="86"/>
  <c r="W7" i="86"/>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P6"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L37"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AD26" i="32" l="1"/>
  <c r="AD12" i="32"/>
  <c r="AD9" i="32"/>
  <c r="AD6" i="32"/>
  <c r="Q8" i="94" l="1"/>
  <c r="N42" i="94" s="1"/>
  <c r="O9" i="86"/>
  <c r="Y9" i="86" s="1"/>
  <c r="Q5" i="94"/>
  <c r="N39" i="94" s="1"/>
  <c r="O6" i="86"/>
  <c r="O12" i="86"/>
  <c r="Y12" i="86" s="1"/>
  <c r="Q11" i="94"/>
  <c r="N45" i="94" s="1"/>
  <c r="O26" i="86"/>
  <c r="Q25" i="94"/>
  <c r="N59" i="94" s="1"/>
  <c r="AD8" i="32"/>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26"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AA11" i="86"/>
  <c r="T11" i="86"/>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S4" i="83" s="1"/>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3" i="49"/>
  <c r="O10" i="49" l="1"/>
  <c r="O14" i="49"/>
  <c r="O26" i="49"/>
  <c r="O16" i="49"/>
  <c r="O15" i="49"/>
  <c r="O18" i="49"/>
  <c r="O7" i="49"/>
  <c r="O12"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s="1"/>
  <c r="F22" i="32" l="1"/>
  <c r="E22" i="86" s="1"/>
  <c r="E19" i="86"/>
  <c r="F7" i="32"/>
  <c r="F4" i="32"/>
  <c r="F12" i="32"/>
  <c r="F27" i="32"/>
  <c r="F20" i="32"/>
  <c r="E20" i="86" s="1"/>
  <c r="F14" i="32"/>
  <c r="F15" i="32"/>
  <c r="F17" i="32"/>
  <c r="F5" i="32"/>
  <c r="F16" i="32"/>
  <c r="F6" i="32"/>
  <c r="F18" i="32"/>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<sst xmlns="http://schemas.openxmlformats.org/spreadsheetml/2006/main" count="2062" uniqueCount="682">
  <si>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</si>
  <si>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</si>
  <si>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</si>
  <si>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</si>
  <si>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</si>
  <si>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</si>
  <si>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</si>
  <si>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</si>
  <si>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</si>
  <si>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</si>
  <si>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</si>
  <si>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</si>
  <si>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</si>
  <si>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</si>
  <si>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</si>
  <si>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</si>
  <si>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</si>
  <si>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</si>
  <si>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</si>
  <si>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</si>
  <si>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</si>
  <si>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</si>
  <si>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</si>
  <si>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</si>
  <si>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</si>
  <si>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</si>
  <si>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</si>
  <si>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</si>
  <si>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</si>
  <si>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</si>
  <si>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</si>
  <si>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</si>
  <si>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</si>
  <si>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</si>
  <si>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</si>
  <si>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</si>
  <si>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</si>
  <si>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</si>
  <si>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</si>
  <si>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</si>
  <si>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</si>
  <si>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</si>
  <si>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</si>
  <si>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</si>
  <si>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</si>
  <si>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</si>
  <si>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</si>
  <si>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</si>
  <si>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</si>
  <si>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</si>
  <si>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</si>
  <si>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</si>
  <si>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</si>
  <si>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</si>
  <si>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</si>
  <si>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</si>
  <si>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</si>
  <si>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</si>
  <si>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</si>
  <si>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</si>
  <si>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</si>
  <si>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</si>
  <si>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</si>
  <si>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</si>
  <si>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</si>
  <si>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</si>
  <si>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</si>
  <si>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</si>
  <si>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</si>
  <si>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</si>
  <si>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</si>
  <si>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</si>
  <si>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</si>
  <si>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</si>
  <si>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</si>
  <si>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</si>
  <si>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</si>
  <si>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</si>
  <si>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</si>
  <si>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</si>
  <si>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</si>
  <si>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</si>
  <si>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</si>
  <si>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</si>
  <si>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</si>
  <si>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</si>
  <si>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</si>
  <si>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</si>
  <si>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</si>
  <si>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</si>
  <si>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</si>
  <si>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</si>
  <si>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</si>
  <si>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</si>
  <si>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</si>
  <si>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</si>
  <si>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</si>
  <si>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</si>
  <si>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</si>
  <si>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</si>
  <si>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</si>
  <si>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</si>
  <si>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</si>
  <si>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</si>
  <si>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</si>
  <si>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</si>
  <si>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</si>
  <si>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</si>
  <si>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</si>
  <si>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</si>
  <si>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</si>
  <si>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</si>
  <si>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</si>
  <si>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</si>
  <si>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</si>
  <si>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</si>
  <si>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</si>
  <si>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</si>
  <si>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</si>
  <si>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</si>
  <si>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</si>
  <si>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</si>
  <si>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</si>
  <si>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</si>
  <si>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</si>
  <si>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</si>
  <si>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</si>
  <si>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</si>
  <si>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</si>
  <si>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</si>
  <si>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</si>
  <si>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</si>
  <si>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</si>
  <si>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</si>
  <si>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</si>
  <si>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</si>
  <si>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</si>
  <si>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</si>
  <si>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</si>
  <si>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</si>
  <si>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</si>
  <si>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</si>
  <si>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</si>
  <si>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</si>
  <si>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</si>
  <si>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</si>
  <si>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</si>
  <si>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</si>
  <si>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</si>
  <si>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</si>
  <si>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</si>
  <si>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</si>
  <si>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</si>
  <si>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</si>
  <si>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</si>
  <si>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</si>
  <si>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</si>
  <si>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</si>
  <si>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</si>
  <si>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</si>
  <si>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</si>
  <si>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</si>
  <si>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</si>
  <si>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</si>
  <si>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</si>
  <si>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</si>
  <si>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</si>
  <si>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</si>
  <si>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</si>
  <si>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</si>
  <si>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</si>
  <si>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</si>
  <si>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</si>
  <si>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</si>
  <si>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</si>
  <si>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</si>
  <si>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</si>
  <si>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</si>
  <si>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</si>
  <si>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</si>
  <si>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</si>
  <si>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</si>
  <si>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</si>
  <si>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</si>
  <si>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</si>
  <si>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</si>
  <si>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</si>
  <si>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</si>
  <si>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</si>
  <si>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</si>
  <si>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</si>
  <si>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</si>
  <si>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</si>
  <si>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</si>
  <si>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</si>
  <si>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</si>
  <si>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</si>
  <si>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</si>
  <si>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</si>
  <si>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</si>
  <si>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</si>
  <si>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</si>
  <si>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</si>
  <si>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</si>
  <si>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</si>
  <si>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</si>
  <si>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</si>
  <si>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</si>
  <si>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</si>
  <si>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</si>
  <si>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</si>
  <si>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</si>
  <si>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</si>
  <si>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</si>
  <si>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</si>
  <si>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</si>
  <si>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</si>
  <si>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</si>
  <si>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</si>
  <si>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</si>
  <si>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</si>
  <si>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</si>
  <si>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</si>
  <si>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</si>
  <si>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</si>
  <si>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</si>
  <si>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</si>
  <si>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</si>
  <si>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</si>
  <si>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</si>
  <si>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</si>
  <si>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</si>
  <si>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</si>
  <si>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</si>
  <si>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</si>
  <si>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</si>
  <si>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</si>
  <si>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</si>
  <si>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</si>
  <si>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</si>
  <si>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</si>
  <si>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</si>
  <si>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</si>
  <si>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</si>
  <si>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</si>
  <si>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</si>
  <si>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</si>
  <si>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</si>
  <si>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</si>
  <si>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</si>
  <si>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</si>
  <si>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</si>
  <si>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</si>
  <si>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</si>
  <si>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</si>
  <si>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</si>
  <si>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</si>
  <si>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</si>
  <si>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</si>
  <si>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</si>
  <si>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</si>
  <si>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</si>
  <si>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</si>
  <si>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</si>
  <si>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</si>
  <si>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</si>
  <si>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</si>
  <si>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</si>
  <si>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</si>
  <si>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</si>
  <si>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</si>
  <si>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</si>
  <si>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</si>
  <si>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</si>
  <si>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</si>
  <si>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</si>
  <si>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</si>
  <si>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</si>
  <si>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</si>
  <si>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</si>
  <si>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</si>
  <si>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</si>
  <si>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</si>
  <si>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</si>
  <si>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</si>
  <si>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</si>
  <si>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</si>
  <si>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</si>
  <si>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</si>
  <si>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</si>
  <si>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</si>
  <si>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</si>
  <si>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</si>
  <si>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</si>
  <si>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</si>
  <si>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</si>
  <si>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</si>
  <si>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</si>
  <si>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</si>
  <si>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</si>
  <si>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</si>
  <si>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</si>
  <si>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</si>
  <si>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</si>
  <si>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</si>
  <si>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</si>
  <si>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</si>
  <si>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</si>
  <si>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</si>
  <si>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</si>
  <si>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</si>
  <si>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</si>
  <si>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</si>
  <si>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</si>
  <si>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</si>
  <si>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</si>
  <si>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</si>
  <si>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</si>
  <si>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</si>
  <si>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</si>
  <si>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</si>
  <si>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</si>
  <si>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</si>
  <si>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</si>
  <si>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</si>
  <si>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</si>
  <si>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</si>
  <si>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</si>
  <si>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</si>
  <si>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</si>
  <si>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</si>
  <si>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</si>
  <si>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</si>
  <si>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</si>
  <si>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</si>
  <si>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</si>
  <si>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</si>
  <si>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</si>
  <si>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</si>
  <si>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</si>
  <si>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</si>
  <si>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</si>
  <si>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</si>
  <si>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</si>
  <si>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</si>
  <si>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</si>
  <si>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</si>
  <si>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</si>
  <si>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</si>
  <si>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</si>
  <si>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</si>
  <si>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</si>
  <si>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</si>
  <si>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</si>
  <si>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</si>
  <si>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</si>
  <si>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</si>
  <si>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</si>
  <si>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</si>
  <si>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</si>
  <si>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</si>
  <si>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</si>
  <si>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</si>
  <si>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</si>
  <si>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</si>
  <si>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</si>
  <si>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</si>
  <si>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</si>
  <si>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</si>
  <si>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</si>
  <si>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</si>
  <si>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</si>
  <si>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</si>
  <si>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</si>
  <si>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</si>
  <si>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</si>
  <si>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</si>
  <si>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</si>
  <si>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</si>
  <si>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</si>
  <si>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</si>
  <si>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</si>
  <si>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</si>
  <si>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</si>
  <si>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</si>
  <si>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</si>
  <si>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</si>
  <si>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</si>
  <si>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</si>
  <si>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</si>
  <si>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</si>
  <si>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</si>
  <si>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</si>
  <si>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</si>
  <si>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</si>
  <si>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</si>
  <si>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</si>
  <si>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</si>
  <si>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</si>
  <si>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</si>
  <si>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</si>
  <si>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</si>
  <si>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</si>
  <si>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</si>
  <si>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</si>
  <si>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</si>
  <si>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</si>
  <si>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</si>
  <si>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</si>
  <si>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</si>
  <si>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</si>
  <si>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</si>
  <si>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</si>
  <si>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</si>
  <si>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</si>
  <si>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</si>
  <si>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</si>
  <si>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</si>
  <si>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</si>
  <si>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</si>
  <si>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</si>
  <si>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</si>
  <si>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</si>
  <si>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</si>
  <si>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</si>
  <si>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</si>
  <si>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</si>
  <si>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</si>
  <si>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</si>
  <si>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</si>
  <si>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</si>
  <si>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</si>
  <si>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</si>
  <si>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</si>
  <si>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</si>
  <si>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</si>
  <si>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</si>
  <si>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</si>
  <si>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</si>
  <si>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</si>
  <si>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</si>
  <si>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</si>
  <si>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</si>
  <si>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</si>
  <si>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</si>
  <si>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</si>
  <si>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</si>
  <si>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</si>
  <si>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</si>
  <si>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</si>
  <si>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</si>
  <si>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</si>
  <si>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</si>
  <si>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</si>
  <si>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</si>
  <si>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</si>
  <si>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</si>
  <si>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</si>
  <si>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</si>
  <si>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</si>
  <si>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</si>
  <si>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</si>
  <si>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</si>
  <si>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</si>
  <si>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</si>
  <si>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</si>
  <si>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</si>
  <si>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</si>
  <si>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</si>
  <si>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</si>
  <si>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</si>
  <si>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</si>
  <si>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</si>
  <si>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</si>
  <si>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</si>
  <si>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</si>
  <si>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</si>
  <si>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</si>
  <si>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</si>
  <si>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</si>
  <si>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</si>
  <si>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</si>
  <si>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</si>
  <si>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</si>
  <si>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</si>
  <si>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</si>
  <si>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</si>
  <si>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</si>
  <si>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</si>
  <si>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</si>
  <si>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</si>
  <si>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</si>
  <si>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</si>
  <si>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</si>
  <si>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</si>
  <si>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</si>
  <si>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</si>
  <si>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</si>
  <si>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</si>
  <si>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</si>
  <si>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</si>
  <si>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</si>
  <si>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</si>
  <si>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</si>
  <si>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</si>
  <si>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</si>
  <si>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</si>
  <si>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</si>
  <si>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</si>
  <si>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</si>
  <si>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</si>
  <si>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</si>
  <si>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</si>
  <si>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</si>
  <si>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</si>
  <si>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</si>
  <si>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</si>
  <si>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</si>
  <si>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</si>
  <si>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</si>
  <si>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</si>
  <si>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</si>
  <si>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</si>
  <si>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</si>
  <si>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</si>
  <si>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</si>
  <si>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</si>
  <si>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</si>
  <si>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</si>
  <si>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</si>
  <si>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</si>
  <si>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</si>
  <si>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</si>
  <si>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</si>
  <si>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</si>
  <si>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</si>
  <si>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</si>
  <si>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</si>
  <si>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</si>
  <si>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</si>
  <si>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</si>
  <si>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</si>
  <si>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</si>
  <si>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</si>
  <si>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</si>
  <si>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</si>
  <si>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</si>
  <si>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</si>
  <si>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</si>
  <si>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</si>
  <si>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</si>
  <si>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</si>
  <si>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</si>
  <si>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</si>
  <si>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</si>
  <si>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</si>
  <si>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</si>
  <si>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</si>
  <si>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</si>
  <si>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</si>
  <si>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</si>
  <si>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</si>
  <si>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</si>
  <si>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</si>
  <si>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</si>
  <si>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</si>
  <si>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</si>
  <si>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</si>
  <si>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</si>
  <si>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</si>
  <si>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</si>
  <si>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</si>
  <si>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</si>
  <si>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</si>
  <si>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</si>
  <si>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</si>
  <si>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</si>
  <si>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</si>
  <si>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</si>
  <si>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</si>
  <si>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</si>
  <si>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</si>
  <si>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</si>
  <si>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</si>
  <si>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</si>
  <si>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</si>
  <si>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</si>
  <si>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</si>
  <si>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</si>
  <si>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</si>
  <si>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</si>
  <si>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</si>
  <si>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</si>
  <si>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</si>
  <si>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</si>
  <si>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</si>
  <si>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</si>
  <si>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</si>
  <si>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</si>
  <si>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</si>
  <si>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</si>
  <si>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</si>
  <si>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</si>
  <si>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</si>
  <si>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</si>
  <si>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</si>
  <si>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</si>
  <si>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</si>
  <si>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</si>
  <si>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</si>
  <si>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</si>
  <si>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</si>
  <si>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</si>
  <si>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</si>
  <si>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</si>
  <si>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</si>
  <si>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</si>
  <si>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</si>
  <si>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</si>
  <si>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</si>
  <si>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</si>
  <si>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</si>
  <si>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</si>
  <si>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</si>
  <si>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</si>
  <si>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</si>
  <si>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</si>
  <si>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</si>
  <si>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</si>
  <si>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</si>
  <si>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</si>
  <si>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</si>
  <si>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</si>
  <si>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</si>
  <si>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</si>
  <si>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</si>
  <si>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</si>
  <si>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</si>
  <si>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</si>
  <si>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</si>
  <si>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</si>
  <si>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</si>
  <si>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</si>
  <si>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</si>
  <si>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</si>
  <si>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</si>
  <si>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</si>
  <si>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</si>
  <si>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</si>
  <si>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</si>
  <si>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</si>
  <si>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</si>
  <si>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</si>
  <si>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</si>
  <si>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</si>
  <si>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</si>
  <si>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</si>
  <si>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</si>
  <si>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</si>
  <si>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</si>
  <si>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</si>
  <si>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</si>
  <si>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</si>
  <si>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</si>
  <si>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</si>
  <si>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</si>
  <si>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</si>
  <si>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</si>
  <si>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</si>
  <si>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</si>
  <si>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</si>
  <si>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</si>
  <si>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</si>
  <si>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</si>
  <si>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</si>
  <si>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</si>
  <si>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</si>
  <si>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</si>
  <si>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Nate Walton</t>
  </si>
  <si>
    <t>Fuera/Neutral</t>
  </si>
  <si>
    <t>IDEF</t>
  </si>
  <si>
    <t>EXhM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</si>
</sst>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693">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171" fontId="36" fillId="0" borderId="1" xfId="3" applyNumberFormat="1" applyFont="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0" fontId="10"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2" fillId="0" borderId="1" xfId="0" applyFont="1"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4">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37"/>
  <sheetViews>
    <sheetView zoomScaleNormal="100" workbookViewId="0">
      <selection activeCell="E12" sqref="E12"/>
    </sheetView>
  </sheetViews>
  <sheetFormatPr baseColWidth="10" defaultColWidth="11.42578125" defaultRowHeight="15" x14ac:dyDescent="0.25"/>
  <cols>
    <col min="1" max="1" width="3" bestFit="1" customWidth="1"/>
    <col min="2" max="2" width="9.85546875" customWidth="1"/>
    <col min="3" max="3" width="20.5703125" bestFit="1" customWidth="1"/>
    <col min="4" max="4" width="17.28515625" bestFit="1" customWidth="1"/>
    <col min="5" max="5" width="13.5703125" bestFit="1" customWidth="1"/>
    <col min="6" max="6" width="6.7109375" bestFit="1" customWidth="1"/>
    <col min="7" max="7" width="10.7109375" style="110"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86" t="s">
        <v>186</v>
      </c>
      <c r="B1" s="686"/>
      <c r="C1" s="686"/>
      <c r="E1" s="685" t="s">
        <v>184</v>
      </c>
      <c r="F1" s="685"/>
      <c r="G1" s="685"/>
      <c r="H1" s="685"/>
    </row>
    <row r="2" spans="1:21" x14ac:dyDescent="0.25">
      <c r="A2" s="687">
        <v>43650</v>
      </c>
      <c r="B2" s="687"/>
      <c r="C2" s="687"/>
      <c r="E2" s="308" t="s">
        <v>185</v>
      </c>
      <c r="F2" s="309" t="s">
        <v>400</v>
      </c>
      <c r="G2" s="87">
        <v>43276</v>
      </c>
      <c r="H2" t="s">
        <v>401</v>
      </c>
    </row>
    <row r="3" spans="1:21" x14ac:dyDescent="0.25">
      <c r="E3" s="308" t="s">
        <v>679</v>
      </c>
      <c r="F3" s="191" t="s">
        <v>399</v>
      </c>
      <c r="G3" s="87">
        <v>43258</v>
      </c>
      <c r="H3" t="s">
        <v>402</v>
      </c>
    </row>
    <row r="4" spans="1:21" s="88" customFormat="1" ht="10.5" customHeight="1" x14ac:dyDescent="0.3"/>
    <row r="5" spans="1:21" s="88" customFormat="1" ht="18.75" x14ac:dyDescent="0.3">
      <c r="B5" s="688" t="s">
        <v>187</v>
      </c>
      <c r="C5" s="688"/>
      <c r="D5"/>
      <c r="G5" s="688" t="s">
        <v>387</v>
      </c>
      <c r="H5" s="688"/>
      <c r="I5" s="688"/>
      <c r="J5" s="103"/>
      <c r="K5" s="103"/>
      <c r="L5" s="688" t="s">
        <v>189</v>
      </c>
      <c r="M5" s="688"/>
      <c r="N5"/>
      <c r="O5" s="2" t="s">
        <v>392</v>
      </c>
      <c r="S5" s="688" t="s">
        <v>386</v>
      </c>
      <c r="T5" s="688"/>
    </row>
    <row r="6" spans="1:21" x14ac:dyDescent="0.25">
      <c r="A6" s="3">
        <v>1</v>
      </c>
      <c r="B6" s="362">
        <v>99</v>
      </c>
      <c r="C6" s="363" t="s">
        <v>345</v>
      </c>
      <c r="D6" s="363" t="s">
        <v>1</v>
      </c>
      <c r="F6" s="77">
        <v>1</v>
      </c>
      <c r="G6" s="362">
        <v>387</v>
      </c>
      <c r="H6" s="363" t="s">
        <v>210</v>
      </c>
      <c r="I6" s="364" t="s">
        <v>183</v>
      </c>
      <c r="K6" s="77">
        <v>1</v>
      </c>
      <c r="L6" s="362">
        <v>266</v>
      </c>
      <c r="M6" s="363" t="s">
        <v>190</v>
      </c>
      <c r="N6" s="363" t="s">
        <v>91</v>
      </c>
      <c r="O6" s="370">
        <f>L6/G10</f>
        <v>0.88666666666666671</v>
      </c>
      <c r="P6" s="363"/>
      <c r="R6" s="79">
        <v>1</v>
      </c>
      <c r="S6" s="365" t="s">
        <v>398</v>
      </c>
      <c r="T6" s="366" t="s">
        <v>385</v>
      </c>
      <c r="U6" s="367" t="s">
        <v>64</v>
      </c>
    </row>
    <row r="7" spans="1:21" x14ac:dyDescent="0.25">
      <c r="A7" s="3">
        <v>2</v>
      </c>
      <c r="B7" s="362">
        <v>66</v>
      </c>
      <c r="C7" s="363" t="s">
        <v>89</v>
      </c>
      <c r="D7" s="364" t="s">
        <v>1</v>
      </c>
      <c r="F7" s="77">
        <v>2</v>
      </c>
      <c r="G7" s="362">
        <v>377</v>
      </c>
      <c r="H7" s="363" t="s">
        <v>199</v>
      </c>
      <c r="I7" s="363" t="s">
        <v>198</v>
      </c>
      <c r="K7" s="77">
        <v>2</v>
      </c>
      <c r="L7" s="362">
        <v>125</v>
      </c>
      <c r="M7" s="363" t="s">
        <v>199</v>
      </c>
      <c r="N7" s="363" t="s">
        <v>198</v>
      </c>
      <c r="O7" s="370">
        <f>L7/G7</f>
        <v>0.33156498673740054</v>
      </c>
      <c r="P7" s="363"/>
      <c r="R7" s="79">
        <v>2</v>
      </c>
      <c r="S7" s="369" t="s">
        <v>389</v>
      </c>
      <c r="T7" s="363" t="s">
        <v>345</v>
      </c>
      <c r="U7" s="363" t="s">
        <v>1</v>
      </c>
    </row>
    <row r="8" spans="1:21" x14ac:dyDescent="0.25">
      <c r="A8" s="3">
        <v>3</v>
      </c>
      <c r="B8" s="365">
        <v>46</v>
      </c>
      <c r="C8" s="366" t="s">
        <v>87</v>
      </c>
      <c r="D8" s="367" t="s">
        <v>1</v>
      </c>
      <c r="F8" s="77">
        <v>3</v>
      </c>
      <c r="G8" s="362">
        <v>320</v>
      </c>
      <c r="H8" s="363" t="s">
        <v>219</v>
      </c>
      <c r="I8" s="364" t="s">
        <v>62</v>
      </c>
      <c r="K8" s="77">
        <v>3</v>
      </c>
      <c r="L8" s="362">
        <v>120</v>
      </c>
      <c r="M8" s="363" t="s">
        <v>253</v>
      </c>
      <c r="N8" s="363" t="s">
        <v>63</v>
      </c>
      <c r="O8" s="370">
        <f>L8/G13</f>
        <v>0.43321299638989169</v>
      </c>
      <c r="P8" s="363"/>
      <c r="R8" s="79">
        <v>2</v>
      </c>
      <c r="S8" s="369" t="s">
        <v>389</v>
      </c>
      <c r="T8" s="363" t="s">
        <v>199</v>
      </c>
      <c r="U8" s="363" t="s">
        <v>198</v>
      </c>
    </row>
    <row r="9" spans="1:21" s="88" customFormat="1" ht="18.75" x14ac:dyDescent="0.3">
      <c r="A9">
        <v>4</v>
      </c>
      <c r="B9" s="347">
        <v>2</v>
      </c>
      <c r="C9" s="350" t="s">
        <v>86</v>
      </c>
      <c r="D9" s="350" t="s">
        <v>1</v>
      </c>
      <c r="F9" s="273">
        <v>4</v>
      </c>
      <c r="G9" s="348">
        <v>313</v>
      </c>
      <c r="H9" s="634" t="s">
        <v>192</v>
      </c>
      <c r="I9" s="635" t="s">
        <v>62</v>
      </c>
      <c r="K9" s="310">
        <v>4</v>
      </c>
      <c r="L9" s="347">
        <v>100</v>
      </c>
      <c r="M9" s="350" t="s">
        <v>192</v>
      </c>
      <c r="N9" s="350" t="s">
        <v>62</v>
      </c>
      <c r="O9" s="352">
        <f>L9/G9</f>
        <v>0.31948881789137379</v>
      </c>
      <c r="P9" s="350"/>
      <c r="R9" s="79">
        <v>2</v>
      </c>
      <c r="S9" s="369" t="s">
        <v>389</v>
      </c>
      <c r="T9" s="363" t="s">
        <v>219</v>
      </c>
      <c r="U9" s="364" t="s">
        <v>62</v>
      </c>
    </row>
    <row r="10" spans="1:21" ht="18.75" x14ac:dyDescent="0.3">
      <c r="A10">
        <v>5</v>
      </c>
      <c r="B10" s="348">
        <v>1</v>
      </c>
      <c r="C10" s="349" t="s">
        <v>191</v>
      </c>
      <c r="D10" s="349" t="s">
        <v>2</v>
      </c>
      <c r="F10" s="273">
        <v>5</v>
      </c>
      <c r="G10" s="353">
        <v>300</v>
      </c>
      <c r="H10" s="354" t="s">
        <v>217</v>
      </c>
      <c r="I10" s="355" t="s">
        <v>91</v>
      </c>
      <c r="K10" s="310">
        <v>5</v>
      </c>
      <c r="L10" s="353">
        <v>91</v>
      </c>
      <c r="M10" s="354" t="s">
        <v>219</v>
      </c>
      <c r="N10" s="355" t="s">
        <v>62</v>
      </c>
      <c r="O10" s="360">
        <f>L10/G8</f>
        <v>0.28437499999999999</v>
      </c>
      <c r="P10" s="361"/>
      <c r="R10" s="79">
        <v>2</v>
      </c>
      <c r="S10" s="365" t="s">
        <v>389</v>
      </c>
      <c r="T10" s="366" t="s">
        <v>395</v>
      </c>
      <c r="U10" s="366" t="s">
        <v>64</v>
      </c>
    </row>
    <row r="11" spans="1:21" x14ac:dyDescent="0.25">
      <c r="A11">
        <v>5</v>
      </c>
      <c r="B11" s="347">
        <v>1</v>
      </c>
      <c r="C11" s="350" t="s">
        <v>201</v>
      </c>
      <c r="D11" s="350" t="s">
        <v>183</v>
      </c>
      <c r="F11" s="637">
        <v>6</v>
      </c>
      <c r="G11" s="353">
        <v>292</v>
      </c>
      <c r="H11" s="354" t="s">
        <v>196</v>
      </c>
      <c r="I11" s="355" t="s">
        <v>62</v>
      </c>
      <c r="K11" s="637">
        <v>6</v>
      </c>
      <c r="L11" s="347">
        <v>90</v>
      </c>
      <c r="M11" s="350" t="s">
        <v>385</v>
      </c>
      <c r="N11" s="350" t="s">
        <v>64</v>
      </c>
      <c r="O11" s="352">
        <f>L11/G21</f>
        <v>0.61643835616438358</v>
      </c>
      <c r="P11" s="350">
        <v>169</v>
      </c>
      <c r="R11" s="79">
        <v>2</v>
      </c>
      <c r="S11" s="365" t="s">
        <v>389</v>
      </c>
      <c r="T11" s="366" t="s">
        <v>403</v>
      </c>
      <c r="U11" s="367" t="s">
        <v>183</v>
      </c>
    </row>
    <row r="12" spans="1:21" x14ac:dyDescent="0.25">
      <c r="B12" s="637"/>
      <c r="F12" s="637">
        <v>7</v>
      </c>
      <c r="G12" s="353">
        <v>278</v>
      </c>
      <c r="H12" s="354" t="s">
        <v>218</v>
      </c>
      <c r="I12" s="355" t="s">
        <v>63</v>
      </c>
      <c r="K12" s="637">
        <v>7</v>
      </c>
      <c r="L12" s="357">
        <v>82</v>
      </c>
      <c r="M12" s="354" t="s">
        <v>210</v>
      </c>
      <c r="N12" s="355" t="s">
        <v>183</v>
      </c>
      <c r="O12" s="360">
        <f>L12/G6</f>
        <v>0.21188630490956073</v>
      </c>
      <c r="P12" s="354"/>
      <c r="R12" s="81">
        <v>7</v>
      </c>
      <c r="S12" s="347" t="s">
        <v>346</v>
      </c>
      <c r="T12" s="350" t="s">
        <v>382</v>
      </c>
      <c r="U12" s="350" t="s">
        <v>2</v>
      </c>
    </row>
    <row r="13" spans="1:21" ht="18.75" x14ac:dyDescent="0.3">
      <c r="A13" s="88"/>
      <c r="B13" s="638" t="s">
        <v>188</v>
      </c>
      <c r="C13" s="638"/>
      <c r="E13" s="88"/>
      <c r="F13" s="637">
        <v>8</v>
      </c>
      <c r="G13" s="356">
        <v>277</v>
      </c>
      <c r="H13" s="354" t="s">
        <v>253</v>
      </c>
      <c r="I13" s="354" t="s">
        <v>63</v>
      </c>
      <c r="J13" s="88"/>
      <c r="K13" s="637">
        <v>7</v>
      </c>
      <c r="L13" s="353">
        <v>82</v>
      </c>
      <c r="M13" s="354" t="s">
        <v>218</v>
      </c>
      <c r="N13" s="355" t="s">
        <v>63</v>
      </c>
      <c r="O13" s="360">
        <f>L13/G12</f>
        <v>0.29496402877697842</v>
      </c>
      <c r="P13" s="361"/>
      <c r="Q13" s="88"/>
      <c r="R13" s="81">
        <v>7</v>
      </c>
      <c r="S13" s="347" t="s">
        <v>346</v>
      </c>
      <c r="T13" s="350" t="s">
        <v>192</v>
      </c>
      <c r="U13" s="351" t="s">
        <v>62</v>
      </c>
    </row>
    <row r="14" spans="1:21" x14ac:dyDescent="0.25">
      <c r="A14" s="3">
        <v>1</v>
      </c>
      <c r="B14" s="368">
        <v>215</v>
      </c>
      <c r="C14" s="363" t="s">
        <v>345</v>
      </c>
      <c r="D14" s="363" t="s">
        <v>1</v>
      </c>
      <c r="F14" s="637">
        <v>9</v>
      </c>
      <c r="G14" s="353">
        <v>269</v>
      </c>
      <c r="H14" s="354" t="s">
        <v>200</v>
      </c>
      <c r="I14" s="355" t="s">
        <v>183</v>
      </c>
      <c r="K14" s="637">
        <v>9</v>
      </c>
      <c r="L14" s="353">
        <v>80</v>
      </c>
      <c r="M14" s="354" t="s">
        <v>211</v>
      </c>
      <c r="N14" s="355" t="s">
        <v>62</v>
      </c>
      <c r="O14" s="360">
        <f>L14/G15</f>
        <v>0.30303030303030304</v>
      </c>
      <c r="P14" s="354"/>
      <c r="R14" s="81">
        <v>7</v>
      </c>
      <c r="S14" s="353" t="s">
        <v>346</v>
      </c>
      <c r="T14" s="354" t="s">
        <v>210</v>
      </c>
      <c r="U14" s="355" t="s">
        <v>183</v>
      </c>
    </row>
    <row r="15" spans="1:21" x14ac:dyDescent="0.25">
      <c r="A15" s="3">
        <v>2</v>
      </c>
      <c r="B15" s="365">
        <v>88</v>
      </c>
      <c r="C15" s="366" t="s">
        <v>87</v>
      </c>
      <c r="D15" s="367" t="s">
        <v>1</v>
      </c>
      <c r="F15" s="637">
        <v>10</v>
      </c>
      <c r="G15" s="353">
        <v>264</v>
      </c>
      <c r="H15" s="354" t="s">
        <v>211</v>
      </c>
      <c r="I15" s="355" t="s">
        <v>62</v>
      </c>
      <c r="K15" s="637">
        <v>10</v>
      </c>
      <c r="L15" s="357">
        <v>67</v>
      </c>
      <c r="M15" s="354" t="s">
        <v>200</v>
      </c>
      <c r="N15" s="355" t="s">
        <v>183</v>
      </c>
      <c r="O15" s="360">
        <f>L15/G14</f>
        <v>0.24907063197026022</v>
      </c>
      <c r="P15" s="354"/>
      <c r="R15" s="81">
        <v>10</v>
      </c>
      <c r="S15" s="353" t="s">
        <v>397</v>
      </c>
      <c r="T15" s="354" t="s">
        <v>253</v>
      </c>
      <c r="U15" s="355" t="s">
        <v>63</v>
      </c>
    </row>
    <row r="16" spans="1:21" x14ac:dyDescent="0.25">
      <c r="A16" s="3">
        <v>3</v>
      </c>
      <c r="B16" s="369">
        <v>80</v>
      </c>
      <c r="C16" s="363" t="s">
        <v>210</v>
      </c>
      <c r="D16" s="364" t="s">
        <v>183</v>
      </c>
      <c r="F16" s="637">
        <v>11</v>
      </c>
      <c r="G16" s="356">
        <v>235</v>
      </c>
      <c r="H16" s="354" t="s">
        <v>345</v>
      </c>
      <c r="I16" s="354" t="s">
        <v>1</v>
      </c>
      <c r="K16" s="637">
        <v>11</v>
      </c>
      <c r="L16" s="357">
        <v>60</v>
      </c>
      <c r="M16" s="354" t="s">
        <v>196</v>
      </c>
      <c r="N16" s="354" t="s">
        <v>62</v>
      </c>
      <c r="O16" s="360">
        <f>L16/G11</f>
        <v>0.20547945205479451</v>
      </c>
      <c r="P16" s="354"/>
      <c r="R16" s="81">
        <v>10</v>
      </c>
      <c r="S16" s="353" t="s">
        <v>397</v>
      </c>
      <c r="T16" s="354" t="s">
        <v>218</v>
      </c>
      <c r="U16" s="355" t="s">
        <v>63</v>
      </c>
    </row>
    <row r="17" spans="1:21" x14ac:dyDescent="0.25">
      <c r="A17">
        <v>4</v>
      </c>
      <c r="B17" s="347">
        <v>21</v>
      </c>
      <c r="C17" s="350" t="s">
        <v>82</v>
      </c>
      <c r="D17" s="350" t="s">
        <v>63</v>
      </c>
      <c r="F17" s="637">
        <v>12</v>
      </c>
      <c r="G17" s="347">
        <v>202</v>
      </c>
      <c r="H17" s="350" t="s">
        <v>191</v>
      </c>
      <c r="I17" s="351" t="s">
        <v>183</v>
      </c>
      <c r="K17" s="637">
        <v>12</v>
      </c>
      <c r="L17" s="353">
        <v>59</v>
      </c>
      <c r="M17" s="354" t="s">
        <v>255</v>
      </c>
      <c r="N17" s="355" t="s">
        <v>91</v>
      </c>
      <c r="O17" s="360">
        <f>L17/G22</f>
        <v>0.47967479674796748</v>
      </c>
      <c r="P17" s="354"/>
      <c r="R17" s="81">
        <v>12</v>
      </c>
      <c r="S17" s="353" t="s">
        <v>365</v>
      </c>
      <c r="T17" s="354" t="s">
        <v>211</v>
      </c>
      <c r="U17" s="355" t="s">
        <v>62</v>
      </c>
    </row>
    <row r="18" spans="1:21" x14ac:dyDescent="0.25">
      <c r="A18">
        <v>5</v>
      </c>
      <c r="B18" s="347">
        <v>8</v>
      </c>
      <c r="C18" s="350" t="s">
        <v>192</v>
      </c>
      <c r="D18" s="351" t="s">
        <v>62</v>
      </c>
      <c r="F18" s="637">
        <v>13</v>
      </c>
      <c r="G18" s="357">
        <v>199</v>
      </c>
      <c r="H18" s="354" t="s">
        <v>89</v>
      </c>
      <c r="I18" s="355" t="s">
        <v>1</v>
      </c>
      <c r="K18" s="637">
        <v>13</v>
      </c>
      <c r="L18" s="347">
        <v>53</v>
      </c>
      <c r="M18" s="350" t="s">
        <v>191</v>
      </c>
      <c r="N18" s="350" t="s">
        <v>2</v>
      </c>
      <c r="O18" s="352">
        <f>L18/G17</f>
        <v>0.26237623762376239</v>
      </c>
      <c r="P18" s="350"/>
      <c r="R18" s="81">
        <v>12</v>
      </c>
      <c r="S18" s="353" t="s">
        <v>365</v>
      </c>
      <c r="T18" s="354" t="s">
        <v>196</v>
      </c>
      <c r="U18" s="355" t="s">
        <v>62</v>
      </c>
    </row>
    <row r="19" spans="1:21" x14ac:dyDescent="0.25">
      <c r="A19">
        <v>6</v>
      </c>
      <c r="B19" s="347">
        <v>6</v>
      </c>
      <c r="C19" s="350" t="s">
        <v>84</v>
      </c>
      <c r="D19" s="351" t="s">
        <v>62</v>
      </c>
      <c r="F19" s="637">
        <v>14</v>
      </c>
      <c r="G19" s="347">
        <v>172</v>
      </c>
      <c r="H19" s="350" t="s">
        <v>382</v>
      </c>
      <c r="I19" s="350" t="s">
        <v>2</v>
      </c>
      <c r="K19" s="637">
        <v>14</v>
      </c>
      <c r="L19" s="347">
        <v>33</v>
      </c>
      <c r="M19" s="350" t="s">
        <v>382</v>
      </c>
      <c r="N19" s="350" t="s">
        <v>2</v>
      </c>
      <c r="O19" s="352">
        <f>L19/G21</f>
        <v>0.22602739726027396</v>
      </c>
      <c r="P19" s="350">
        <v>79</v>
      </c>
      <c r="R19" s="81">
        <v>12</v>
      </c>
      <c r="S19" s="353" t="s">
        <v>365</v>
      </c>
      <c r="T19" s="354" t="s">
        <v>217</v>
      </c>
      <c r="U19" s="355" t="s">
        <v>91</v>
      </c>
    </row>
    <row r="20" spans="1:21" x14ac:dyDescent="0.25">
      <c r="A20">
        <v>7</v>
      </c>
      <c r="B20" s="347">
        <v>5</v>
      </c>
      <c r="C20" s="350" t="s">
        <v>83</v>
      </c>
      <c r="D20" s="351" t="s">
        <v>62</v>
      </c>
      <c r="F20" s="637">
        <v>15</v>
      </c>
      <c r="G20" s="347">
        <v>146</v>
      </c>
      <c r="H20" s="350" t="s">
        <v>87</v>
      </c>
      <c r="I20" s="351" t="s">
        <v>1</v>
      </c>
      <c r="K20" s="637">
        <v>15</v>
      </c>
      <c r="L20" s="347">
        <v>32</v>
      </c>
      <c r="M20" s="350" t="s">
        <v>395</v>
      </c>
      <c r="N20" s="350" t="s">
        <v>64</v>
      </c>
      <c r="O20" s="352">
        <f>L20/G24</f>
        <v>0.33333333333333331</v>
      </c>
      <c r="P20" s="350">
        <v>89</v>
      </c>
      <c r="R20" s="81">
        <v>15</v>
      </c>
      <c r="S20" s="353" t="s">
        <v>330</v>
      </c>
      <c r="T20" s="354" t="s">
        <v>255</v>
      </c>
      <c r="U20" s="355" t="s">
        <v>91</v>
      </c>
    </row>
    <row r="21" spans="1:21" x14ac:dyDescent="0.25">
      <c r="A21">
        <v>8</v>
      </c>
      <c r="B21" s="347">
        <v>4</v>
      </c>
      <c r="C21" s="350" t="s">
        <v>167</v>
      </c>
      <c r="D21" s="351" t="s">
        <v>91</v>
      </c>
      <c r="F21" s="637">
        <v>15</v>
      </c>
      <c r="G21" s="347">
        <v>146</v>
      </c>
      <c r="H21" s="350" t="s">
        <v>385</v>
      </c>
      <c r="I21" s="350" t="s">
        <v>64</v>
      </c>
      <c r="K21" s="637">
        <v>16</v>
      </c>
      <c r="L21" s="353">
        <v>27</v>
      </c>
      <c r="M21" s="354" t="s">
        <v>230</v>
      </c>
      <c r="N21" s="354" t="s">
        <v>62</v>
      </c>
      <c r="O21" s="360">
        <f>L21/G23</f>
        <v>0.24770642201834864</v>
      </c>
      <c r="P21" s="354"/>
      <c r="R21" s="81">
        <v>16</v>
      </c>
      <c r="S21" s="353" t="s">
        <v>390</v>
      </c>
      <c r="T21" s="354" t="s">
        <v>200</v>
      </c>
      <c r="U21" s="355" t="s">
        <v>183</v>
      </c>
    </row>
    <row r="22" spans="1:21" x14ac:dyDescent="0.25">
      <c r="A22">
        <v>9</v>
      </c>
      <c r="B22" s="353">
        <v>2</v>
      </c>
      <c r="C22" s="354" t="s">
        <v>89</v>
      </c>
      <c r="D22" s="355" t="s">
        <v>1</v>
      </c>
      <c r="F22" s="637">
        <v>17</v>
      </c>
      <c r="G22" s="356">
        <v>123</v>
      </c>
      <c r="H22" s="358" t="s">
        <v>294</v>
      </c>
      <c r="I22" s="359" t="s">
        <v>91</v>
      </c>
      <c r="K22" s="637">
        <v>17</v>
      </c>
      <c r="L22" s="353">
        <v>23</v>
      </c>
      <c r="M22" s="354" t="s">
        <v>295</v>
      </c>
      <c r="N22" s="354" t="s">
        <v>2</v>
      </c>
      <c r="O22" s="360">
        <f>L22/G26</f>
        <v>0.26436781609195403</v>
      </c>
      <c r="P22" s="354"/>
      <c r="R22" s="81">
        <v>17</v>
      </c>
      <c r="S22" s="353" t="s">
        <v>261</v>
      </c>
      <c r="T22" s="354" t="s">
        <v>89</v>
      </c>
      <c r="U22" s="355" t="s">
        <v>1</v>
      </c>
    </row>
    <row r="23" spans="1:21" x14ac:dyDescent="0.25">
      <c r="A23">
        <v>10</v>
      </c>
      <c r="B23" s="347">
        <v>1</v>
      </c>
      <c r="C23" s="350" t="s">
        <v>88</v>
      </c>
      <c r="D23" s="351" t="s">
        <v>91</v>
      </c>
      <c r="F23" s="637">
        <v>18</v>
      </c>
      <c r="G23" s="356">
        <v>109</v>
      </c>
      <c r="H23" s="354" t="s">
        <v>230</v>
      </c>
      <c r="I23" s="354" t="s">
        <v>62</v>
      </c>
      <c r="K23" s="637">
        <v>18</v>
      </c>
      <c r="L23" s="347">
        <v>19</v>
      </c>
      <c r="M23" s="350" t="s">
        <v>88</v>
      </c>
      <c r="N23" s="351" t="s">
        <v>193</v>
      </c>
      <c r="O23" s="352"/>
      <c r="P23" s="350"/>
      <c r="R23" s="81">
        <v>17</v>
      </c>
      <c r="S23" s="347" t="s">
        <v>261</v>
      </c>
      <c r="T23" s="350" t="s">
        <v>87</v>
      </c>
      <c r="U23" s="351" t="s">
        <v>1</v>
      </c>
    </row>
    <row r="24" spans="1:21" x14ac:dyDescent="0.25">
      <c r="A24">
        <v>10</v>
      </c>
      <c r="B24" s="347">
        <v>1</v>
      </c>
      <c r="C24" s="350" t="s">
        <v>191</v>
      </c>
      <c r="D24" s="350" t="s">
        <v>2</v>
      </c>
      <c r="F24" s="637">
        <v>19</v>
      </c>
      <c r="G24" s="347">
        <v>96</v>
      </c>
      <c r="H24" s="350" t="s">
        <v>395</v>
      </c>
      <c r="I24" s="350" t="s">
        <v>64</v>
      </c>
      <c r="K24" s="637">
        <v>19</v>
      </c>
      <c r="L24" s="347">
        <v>15</v>
      </c>
      <c r="M24" s="350" t="s">
        <v>83</v>
      </c>
      <c r="N24" s="351" t="s">
        <v>62</v>
      </c>
      <c r="O24" s="352"/>
      <c r="P24" s="350"/>
      <c r="R24" s="81">
        <v>17</v>
      </c>
      <c r="S24" s="353" t="s">
        <v>261</v>
      </c>
      <c r="T24" s="354" t="s">
        <v>230</v>
      </c>
      <c r="U24" s="354" t="s">
        <v>62</v>
      </c>
    </row>
    <row r="25" spans="1:21" x14ac:dyDescent="0.25">
      <c r="A25">
        <v>10</v>
      </c>
      <c r="B25" s="347">
        <v>1</v>
      </c>
      <c r="C25" s="350" t="s">
        <v>403</v>
      </c>
      <c r="D25" s="351" t="s">
        <v>2</v>
      </c>
      <c r="F25" s="637">
        <v>20</v>
      </c>
      <c r="G25" s="347">
        <v>89</v>
      </c>
      <c r="H25" s="350" t="s">
        <v>201</v>
      </c>
      <c r="I25" s="351" t="s">
        <v>183</v>
      </c>
      <c r="K25" s="637">
        <v>20</v>
      </c>
      <c r="L25" s="347">
        <v>12</v>
      </c>
      <c r="M25" s="350" t="s">
        <v>248</v>
      </c>
      <c r="N25" s="351" t="s">
        <v>91</v>
      </c>
      <c r="O25" s="352"/>
      <c r="P25" s="350"/>
      <c r="R25" s="81">
        <v>20</v>
      </c>
      <c r="S25" s="347" t="s">
        <v>197</v>
      </c>
      <c r="T25" s="350" t="s">
        <v>167</v>
      </c>
      <c r="U25" s="351" t="s">
        <v>91</v>
      </c>
    </row>
    <row r="26" spans="1:21" x14ac:dyDescent="0.25">
      <c r="B26" s="298">
        <f>SUM(B14:B25)</f>
        <v>432</v>
      </c>
      <c r="F26" s="637">
        <v>21</v>
      </c>
      <c r="G26" s="353">
        <v>87</v>
      </c>
      <c r="H26" s="354" t="s">
        <v>295</v>
      </c>
      <c r="I26" s="354" t="s">
        <v>183</v>
      </c>
      <c r="K26" s="637">
        <v>21</v>
      </c>
      <c r="L26" s="357">
        <v>11</v>
      </c>
      <c r="M26" s="354" t="s">
        <v>89</v>
      </c>
      <c r="N26" s="355" t="s">
        <v>1</v>
      </c>
      <c r="O26" s="360">
        <f>L26/G18</f>
        <v>5.5276381909547742E-2</v>
      </c>
      <c r="P26" s="354"/>
      <c r="R26" s="81">
        <v>20</v>
      </c>
      <c r="S26" s="353" t="s">
        <v>197</v>
      </c>
      <c r="T26" s="354" t="s">
        <v>191</v>
      </c>
      <c r="U26" s="355" t="s">
        <v>2</v>
      </c>
    </row>
    <row r="27" spans="1:21" x14ac:dyDescent="0.25">
      <c r="B27" s="637"/>
      <c r="F27" s="637">
        <v>22</v>
      </c>
      <c r="G27" s="347">
        <v>55</v>
      </c>
      <c r="H27" s="350" t="s">
        <v>88</v>
      </c>
      <c r="I27" s="351" t="s">
        <v>91</v>
      </c>
      <c r="K27" s="637">
        <v>22</v>
      </c>
      <c r="L27" s="347">
        <v>10</v>
      </c>
      <c r="M27" s="350" t="s">
        <v>201</v>
      </c>
      <c r="N27" s="351" t="s">
        <v>183</v>
      </c>
      <c r="O27" s="352"/>
      <c r="P27" s="350"/>
      <c r="R27" s="81">
        <v>20</v>
      </c>
      <c r="S27" s="353" t="s">
        <v>197</v>
      </c>
      <c r="T27" s="354" t="s">
        <v>295</v>
      </c>
      <c r="U27" s="354" t="s">
        <v>183</v>
      </c>
    </row>
    <row r="28" spans="1:21" x14ac:dyDescent="0.25">
      <c r="B28" s="637"/>
      <c r="G28"/>
      <c r="K28" s="637">
        <v>22</v>
      </c>
      <c r="L28" s="347">
        <v>10</v>
      </c>
      <c r="M28" s="350" t="s">
        <v>254</v>
      </c>
      <c r="N28" s="351" t="s">
        <v>91</v>
      </c>
      <c r="O28" s="352"/>
      <c r="P28" s="350"/>
      <c r="R28" s="81">
        <v>23</v>
      </c>
      <c r="S28" s="347" t="s">
        <v>384</v>
      </c>
      <c r="T28" s="350" t="s">
        <v>347</v>
      </c>
      <c r="U28" s="350" t="s">
        <v>64</v>
      </c>
    </row>
    <row r="29" spans="1:21" x14ac:dyDescent="0.25">
      <c r="B29" s="637"/>
      <c r="G29"/>
      <c r="K29" s="637">
        <v>24</v>
      </c>
      <c r="L29" s="347">
        <v>9</v>
      </c>
      <c r="M29" s="350" t="s">
        <v>203</v>
      </c>
      <c r="N29" s="350" t="s">
        <v>91</v>
      </c>
      <c r="O29" s="352"/>
      <c r="P29" s="350"/>
      <c r="R29" s="81">
        <v>24</v>
      </c>
      <c r="S29" s="347" t="s">
        <v>229</v>
      </c>
      <c r="T29" s="350" t="s">
        <v>254</v>
      </c>
      <c r="U29" s="351" t="s">
        <v>91</v>
      </c>
    </row>
    <row r="30" spans="1:21" x14ac:dyDescent="0.25">
      <c r="B30" s="637"/>
      <c r="G30"/>
      <c r="K30" s="637">
        <v>24</v>
      </c>
      <c r="L30" s="347">
        <v>9</v>
      </c>
      <c r="M30" s="350" t="s">
        <v>202</v>
      </c>
      <c r="N30" s="350" t="s">
        <v>91</v>
      </c>
      <c r="O30" s="352"/>
      <c r="P30" s="350"/>
      <c r="R30" s="81">
        <v>24</v>
      </c>
      <c r="S30" s="347" t="s">
        <v>229</v>
      </c>
      <c r="T30" s="350" t="s">
        <v>248</v>
      </c>
      <c r="U30" s="350" t="s">
        <v>91</v>
      </c>
    </row>
    <row r="31" spans="1:21" x14ac:dyDescent="0.25">
      <c r="B31" s="637"/>
      <c r="G31"/>
      <c r="K31" s="637">
        <v>26</v>
      </c>
      <c r="L31" s="347">
        <v>8</v>
      </c>
      <c r="M31" s="350" t="s">
        <v>85</v>
      </c>
      <c r="N31" s="350" t="s">
        <v>183</v>
      </c>
      <c r="O31" s="352"/>
      <c r="P31" s="350"/>
      <c r="R31" s="81"/>
    </row>
    <row r="32" spans="1:21" x14ac:dyDescent="0.25">
      <c r="B32" s="637"/>
      <c r="G32"/>
      <c r="K32" s="637">
        <v>27</v>
      </c>
      <c r="L32" s="347">
        <v>6</v>
      </c>
      <c r="M32" s="350" t="s">
        <v>87</v>
      </c>
      <c r="N32" s="351" t="s">
        <v>1</v>
      </c>
      <c r="O32" s="352"/>
      <c r="P32" s="350"/>
    </row>
    <row r="33" spans="2:16" x14ac:dyDescent="0.25">
      <c r="B33" s="637"/>
      <c r="G33"/>
      <c r="K33" s="637">
        <v>28</v>
      </c>
      <c r="L33" s="347">
        <v>3</v>
      </c>
      <c r="M33" s="350" t="s">
        <v>347</v>
      </c>
      <c r="N33" s="350" t="s">
        <v>64</v>
      </c>
      <c r="O33" s="352"/>
      <c r="P33" s="350"/>
    </row>
    <row r="34" spans="2:16" x14ac:dyDescent="0.25">
      <c r="B34" s="637"/>
      <c r="G34"/>
      <c r="K34" s="637">
        <v>28</v>
      </c>
      <c r="L34" s="347">
        <v>3</v>
      </c>
      <c r="M34" s="350" t="s">
        <v>297</v>
      </c>
      <c r="N34" s="350" t="s">
        <v>62</v>
      </c>
      <c r="O34" s="352"/>
      <c r="P34" s="350"/>
    </row>
    <row r="35" spans="2:16" x14ac:dyDescent="0.25">
      <c r="B35" s="637"/>
      <c r="G35"/>
      <c r="K35" s="637">
        <v>28</v>
      </c>
      <c r="L35" s="347">
        <v>3</v>
      </c>
      <c r="M35" s="350" t="s">
        <v>403</v>
      </c>
      <c r="N35" s="350" t="s">
        <v>183</v>
      </c>
      <c r="O35" s="352"/>
      <c r="P35" s="350">
        <v>49</v>
      </c>
    </row>
    <row r="36" spans="2:16" x14ac:dyDescent="0.25">
      <c r="B36" s="637"/>
      <c r="G36"/>
      <c r="K36" s="637">
        <v>31</v>
      </c>
      <c r="L36" s="356">
        <v>2</v>
      </c>
      <c r="M36" s="354" t="s">
        <v>345</v>
      </c>
      <c r="N36" s="358" t="s">
        <v>1</v>
      </c>
      <c r="O36" s="360">
        <f>L36/G16</f>
        <v>8.5106382978723406E-3</v>
      </c>
      <c r="P36" s="358">
        <v>3</v>
      </c>
    </row>
    <row r="37" spans="2:16" x14ac:dyDescent="0.25">
      <c r="B37" s="637"/>
      <c r="G37"/>
      <c r="L37" s="299">
        <f>SUM(L6:L36)</f>
        <v>1510</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5"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1" customWidth="1"/>
    <col min="17" max="17" width="5" style="181" customWidth="1"/>
    <col min="18" max="18" width="4.42578125" style="155" bestFit="1" customWidth="1"/>
    <col min="19" max="25" width="5.5703125" style="155"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78" t="s">
        <v>278</v>
      </c>
      <c r="AI1" s="678"/>
      <c r="AJ1" s="678"/>
      <c r="AK1" s="678"/>
      <c r="AL1" s="678"/>
      <c r="AM1" s="678"/>
      <c r="AN1" s="678"/>
      <c r="AO1" s="678"/>
      <c r="AP1" s="678"/>
      <c r="AQ1" s="678"/>
      <c r="AR1" s="678"/>
      <c r="AS1" s="678"/>
      <c r="AT1" s="678"/>
      <c r="AV1" s="172" t="s">
        <v>280</v>
      </c>
      <c r="AW1" s="172" t="s">
        <v>69</v>
      </c>
      <c r="AX1" s="172" t="s">
        <v>281</v>
      </c>
      <c r="AY1" s="173" t="s">
        <v>282</v>
      </c>
      <c r="AZ1" s="171" t="s">
        <v>283</v>
      </c>
      <c r="BA1" s="171" t="s">
        <v>284</v>
      </c>
    </row>
    <row r="2" spans="1:53" s="72" customFormat="1" ht="18.75" x14ac:dyDescent="0.3">
      <c r="C2" s="154">
        <f ca="1">TODAY()</f>
        <v>43655</v>
      </c>
      <c r="D2" s="643">
        <v>41471</v>
      </c>
      <c r="E2" s="643"/>
      <c r="F2" s="643"/>
      <c r="G2" s="73"/>
      <c r="H2" s="73"/>
      <c r="I2" s="104"/>
      <c r="J2" s="73"/>
      <c r="K2" s="73"/>
      <c r="L2" s="73"/>
      <c r="M2" s="73"/>
      <c r="N2" s="73"/>
      <c r="O2" s="73"/>
      <c r="P2" s="144"/>
      <c r="Q2" s="85"/>
      <c r="R2" s="85"/>
      <c r="S2" s="85">
        <v>0</v>
      </c>
      <c r="T2" s="85">
        <v>0</v>
      </c>
      <c r="U2" s="85">
        <v>40</v>
      </c>
      <c r="V2" s="85">
        <v>0</v>
      </c>
      <c r="W2" s="85">
        <v>0</v>
      </c>
      <c r="X2" s="85">
        <v>17</v>
      </c>
      <c r="Y2" s="85">
        <v>0</v>
      </c>
      <c r="AJ2" s="169">
        <f>SUM(AJ4:AJ14)*$AY$3</f>
        <v>0</v>
      </c>
      <c r="AK2" s="169">
        <f>SUM(AK4:AK14)*$AY$3</f>
        <v>0</v>
      </c>
      <c r="AL2" s="169">
        <f>SUM(AL4:AL14)*$AY$2</f>
        <v>0</v>
      </c>
      <c r="AM2" s="169">
        <f>SUM(AM4:AM14)*$AY$4</f>
        <v>4.3637500000000005</v>
      </c>
      <c r="AN2" s="169" t="e">
        <f>SUM(AN4:AN14)*$AY$5</f>
        <v>#REF!</v>
      </c>
      <c r="AO2" s="169">
        <f>SUM(AO4:AO14)*$AY$5</f>
        <v>0.22100000000000003</v>
      </c>
      <c r="AP2" s="169" t="e">
        <f>SUM(AP4:AP14)*$AY$6</f>
        <v>#REF!</v>
      </c>
      <c r="AQ2" s="170" t="e">
        <f>SUM(AQ4:AQ14)</f>
        <v>#REF!</v>
      </c>
      <c r="AR2" s="170" t="e">
        <f>SUM(AR4:AR14)</f>
        <v>#REF!</v>
      </c>
      <c r="AS2" s="170">
        <f t="shared" ref="AS2:AT2" si="0">SUM(AS4:AS14)</f>
        <v>7.4164166666666667</v>
      </c>
      <c r="AT2" s="170">
        <f t="shared" si="0"/>
        <v>0</v>
      </c>
      <c r="AV2" s="77" t="s">
        <v>285</v>
      </c>
      <c r="AW2" s="174">
        <v>1</v>
      </c>
      <c r="AX2" s="175">
        <v>0.624</v>
      </c>
      <c r="AY2" s="176">
        <v>0.245</v>
      </c>
      <c r="AZ2" s="115">
        <f>AY2*10</f>
        <v>2.4500000000000002</v>
      </c>
      <c r="BA2" s="115">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6" t="s">
        <v>72</v>
      </c>
      <c r="Q3" s="146" t="s">
        <v>61</v>
      </c>
      <c r="R3" s="145" t="s">
        <v>68</v>
      </c>
      <c r="S3" s="145" t="s">
        <v>106</v>
      </c>
      <c r="T3" s="145" t="s">
        <v>77</v>
      </c>
      <c r="U3" s="145" t="s">
        <v>78</v>
      </c>
      <c r="V3" s="145" t="s">
        <v>79</v>
      </c>
      <c r="W3" s="145" t="s">
        <v>80</v>
      </c>
      <c r="X3" s="145" t="s">
        <v>81</v>
      </c>
      <c r="Y3" s="145" t="s">
        <v>74</v>
      </c>
      <c r="Z3" s="145" t="s">
        <v>106</v>
      </c>
      <c r="AA3" s="145" t="s">
        <v>77</v>
      </c>
      <c r="AB3" s="145" t="s">
        <v>78</v>
      </c>
      <c r="AC3" s="145" t="s">
        <v>79</v>
      </c>
      <c r="AD3" s="145" t="s">
        <v>80</v>
      </c>
      <c r="AE3" s="145" t="s">
        <v>81</v>
      </c>
      <c r="AF3" s="145" t="s">
        <v>74</v>
      </c>
      <c r="AH3" s="679">
        <v>451</v>
      </c>
      <c r="AI3" s="680"/>
      <c r="AJ3" s="113" t="s">
        <v>204</v>
      </c>
      <c r="AK3" s="113" t="s">
        <v>205</v>
      </c>
      <c r="AL3" s="113" t="s">
        <v>215</v>
      </c>
      <c r="AM3" s="113" t="s">
        <v>206</v>
      </c>
      <c r="AN3" s="113" t="s">
        <v>207</v>
      </c>
      <c r="AO3" s="113" t="s">
        <v>208</v>
      </c>
      <c r="AP3" s="113" t="s">
        <v>209</v>
      </c>
      <c r="AQ3" s="113" t="s">
        <v>342</v>
      </c>
      <c r="AR3" s="113" t="s">
        <v>343</v>
      </c>
      <c r="AS3" s="113" t="s">
        <v>257</v>
      </c>
      <c r="AT3" s="113" t="s">
        <v>279</v>
      </c>
      <c r="AV3" s="77" t="s">
        <v>286</v>
      </c>
      <c r="AW3" s="174">
        <v>1</v>
      </c>
      <c r="AX3" s="175">
        <v>1.002</v>
      </c>
      <c r="AY3" s="176">
        <v>0.34</v>
      </c>
      <c r="AZ3" s="115">
        <f t="shared" ref="AZ3:AZ6" si="1">AY3*10</f>
        <v>3.4000000000000004</v>
      </c>
      <c r="BA3" s="115">
        <f t="shared" ref="BA3:BA6" si="2">AY3*15</f>
        <v>5.1000000000000005</v>
      </c>
    </row>
    <row r="4" spans="1:53" s="78" customFormat="1" ht="18.75" x14ac:dyDescent="0.3">
      <c r="A4" s="132" t="str">
        <f>Plantilla!A4</f>
        <v>#1</v>
      </c>
      <c r="B4" s="132" t="str">
        <f>Plantilla!B4</f>
        <v>POR</v>
      </c>
      <c r="C4" s="90" t="str">
        <f>Plantilla!D4</f>
        <v>D. Gehmacher</v>
      </c>
      <c r="D4" s="134">
        <f>Plantilla!E4</f>
        <v>35</v>
      </c>
      <c r="E4" s="139">
        <f ca="1">Plantilla!F4</f>
        <v>17</v>
      </c>
      <c r="F4" s="135"/>
      <c r="G4" s="330">
        <f>Plantilla!H4</f>
        <v>6</v>
      </c>
      <c r="H4" s="102">
        <f>Plantilla!I4</f>
        <v>23.7</v>
      </c>
      <c r="I4" s="185">
        <f>Plantilla!X4</f>
        <v>16.666666666666668</v>
      </c>
      <c r="J4" s="185">
        <f>Plantilla!Y4</f>
        <v>11.95</v>
      </c>
      <c r="K4" s="185">
        <f>Plantilla!Z4</f>
        <v>2.0699999999999985</v>
      </c>
      <c r="L4" s="185">
        <f>Plantilla!AA4</f>
        <v>2.149999999999999</v>
      </c>
      <c r="M4" s="185">
        <f>Plantilla!AB4</f>
        <v>0.95</v>
      </c>
      <c r="N4" s="185">
        <f>Plantilla!AC4</f>
        <v>0</v>
      </c>
      <c r="O4" s="185">
        <f>Plantilla!AD4</f>
        <v>18.2</v>
      </c>
      <c r="P4" s="147">
        <f t="shared" ref="P4:P5" si="3">D4</f>
        <v>35</v>
      </c>
      <c r="Q4" s="148">
        <f t="shared" ref="Q4:Q5" ca="1" si="4">E4+7</f>
        <v>24</v>
      </c>
      <c r="R4" s="92">
        <f t="shared" ref="R4:R27" si="5">H4+$R$2</f>
        <v>23.7</v>
      </c>
      <c r="S4" s="201">
        <f>I4</f>
        <v>16.666666666666668</v>
      </c>
      <c r="T4" s="201">
        <f t="shared" ref="T4:Y4" si="6">J4</f>
        <v>11.95</v>
      </c>
      <c r="U4" s="201">
        <f t="shared" si="6"/>
        <v>2.0699999999999985</v>
      </c>
      <c r="V4" s="201">
        <f t="shared" si="6"/>
        <v>2.149999999999999</v>
      </c>
      <c r="W4" s="201">
        <f t="shared" si="6"/>
        <v>0.95</v>
      </c>
      <c r="X4" s="201">
        <f t="shared" si="6"/>
        <v>0</v>
      </c>
      <c r="Y4" s="201">
        <f t="shared" si="6"/>
        <v>18.2</v>
      </c>
      <c r="Z4" s="157">
        <f t="shared" ref="Z4:Z27" si="7">S4-I4</f>
        <v>0</v>
      </c>
      <c r="AA4" s="157">
        <f t="shared" ref="AA4:AA27" si="8">T4-J4</f>
        <v>0</v>
      </c>
      <c r="AB4" s="157">
        <f t="shared" ref="AB4:AB27" si="9">U4-K4</f>
        <v>0</v>
      </c>
      <c r="AC4" s="157">
        <f t="shared" ref="AC4:AC27" si="10">V4-L4</f>
        <v>0</v>
      </c>
      <c r="AD4" s="157">
        <f t="shared" ref="AD4:AD27" si="11">W4-M4</f>
        <v>0</v>
      </c>
      <c r="AE4" s="157">
        <f t="shared" ref="AE4:AE27" si="12">X4-N4</f>
        <v>0</v>
      </c>
      <c r="AF4" s="157">
        <f t="shared" ref="AF4:AF27" si="13">Y4-O4</f>
        <v>0</v>
      </c>
      <c r="AH4" s="158" t="s">
        <v>1</v>
      </c>
      <c r="AI4" s="99"/>
      <c r="AJ4" s="163">
        <v>0</v>
      </c>
      <c r="AK4" s="163">
        <v>0</v>
      </c>
      <c r="AL4" s="163">
        <v>0</v>
      </c>
      <c r="AM4" s="163">
        <v>0</v>
      </c>
      <c r="AN4" s="163">
        <v>0</v>
      </c>
      <c r="AO4" s="163">
        <v>0</v>
      </c>
      <c r="AP4" s="163">
        <v>0</v>
      </c>
      <c r="AQ4" s="226">
        <v>0</v>
      </c>
      <c r="AR4" s="226">
        <f>0.08*Z4+0.1*AF4</f>
        <v>0</v>
      </c>
      <c r="AS4" s="166">
        <v>0</v>
      </c>
      <c r="AT4" s="166">
        <v>0</v>
      </c>
      <c r="AV4" s="77" t="s">
        <v>287</v>
      </c>
      <c r="AW4" s="174">
        <v>1</v>
      </c>
      <c r="AX4" s="175">
        <v>0.46800000000000003</v>
      </c>
      <c r="AY4" s="176">
        <v>0.125</v>
      </c>
      <c r="AZ4" s="115">
        <f t="shared" si="1"/>
        <v>1.25</v>
      </c>
      <c r="BA4" s="115">
        <f t="shared" si="2"/>
        <v>1.875</v>
      </c>
    </row>
    <row r="5" spans="1:53" s="75" customFormat="1" ht="18.75" x14ac:dyDescent="0.3">
      <c r="A5" s="132" t="str">
        <f>Plantilla!A5</f>
        <v>#25</v>
      </c>
      <c r="B5" s="132" t="str">
        <f>Plantilla!B5</f>
        <v>POR</v>
      </c>
      <c r="C5" s="90" t="str">
        <f>Plantilla!D5</f>
        <v>T. Hammond</v>
      </c>
      <c r="D5" s="134">
        <f>Plantilla!E5</f>
        <v>39</v>
      </c>
      <c r="E5" s="139">
        <f ca="1">Plantilla!F5</f>
        <v>26</v>
      </c>
      <c r="F5" s="135" t="str">
        <f>Plantilla!G5</f>
        <v>CAB</v>
      </c>
      <c r="G5" s="330">
        <f>Plantilla!H5</f>
        <v>3</v>
      </c>
      <c r="H5" s="102">
        <f>Plantilla!I5</f>
        <v>8.4</v>
      </c>
      <c r="I5" s="185">
        <f>Plantilla!X5</f>
        <v>7.95</v>
      </c>
      <c r="J5" s="185">
        <f>Plantilla!Y5</f>
        <v>6.95</v>
      </c>
      <c r="K5" s="185">
        <f>Plantilla!Z5</f>
        <v>0.95</v>
      </c>
      <c r="L5" s="185">
        <f>Plantilla!AA5</f>
        <v>0.95</v>
      </c>
      <c r="M5" s="185">
        <f>Plantilla!AB5</f>
        <v>1.95</v>
      </c>
      <c r="N5" s="185">
        <f>Plantilla!AC5</f>
        <v>0</v>
      </c>
      <c r="O5" s="185">
        <f>Plantilla!AD5</f>
        <v>14.95</v>
      </c>
      <c r="P5" s="147">
        <f t="shared" si="3"/>
        <v>39</v>
      </c>
      <c r="Q5" s="148">
        <f t="shared" ca="1" si="4"/>
        <v>33</v>
      </c>
      <c r="R5" s="92">
        <f t="shared" si="5"/>
        <v>8.4</v>
      </c>
      <c r="S5" s="201">
        <f t="shared" ref="S5:S12" si="14">I5</f>
        <v>7.95</v>
      </c>
      <c r="T5" s="201">
        <f t="shared" ref="T5:T12" si="15">J5</f>
        <v>6.95</v>
      </c>
      <c r="U5" s="201">
        <f t="shared" ref="U5:U12" si="16">K5</f>
        <v>0.95</v>
      </c>
      <c r="V5" s="201">
        <f t="shared" ref="V5:V12" si="17">L5</f>
        <v>0.95</v>
      </c>
      <c r="W5" s="201">
        <f t="shared" ref="W5:W12" si="18">M5</f>
        <v>1.95</v>
      </c>
      <c r="X5" s="201">
        <f t="shared" ref="X5:X12" si="19">N5</f>
        <v>0</v>
      </c>
      <c r="Y5" s="201">
        <f t="shared" ref="Y5:Y12" si="20">O5</f>
        <v>14.95</v>
      </c>
      <c r="Z5" s="157">
        <f t="shared" si="7"/>
        <v>0</v>
      </c>
      <c r="AA5" s="157">
        <f t="shared" si="8"/>
        <v>0</v>
      </c>
      <c r="AB5" s="157">
        <f t="shared" si="9"/>
        <v>0</v>
      </c>
      <c r="AC5" s="157">
        <f t="shared" si="10"/>
        <v>0</v>
      </c>
      <c r="AD5" s="157">
        <f t="shared" si="11"/>
        <v>0</v>
      </c>
      <c r="AE5" s="157">
        <f t="shared" si="12"/>
        <v>0</v>
      </c>
      <c r="AF5" s="157">
        <f t="shared" si="13"/>
        <v>0</v>
      </c>
      <c r="AH5" s="159" t="s">
        <v>260</v>
      </c>
      <c r="AI5" s="100"/>
      <c r="AJ5" s="163">
        <v>0</v>
      </c>
      <c r="AK5" s="163">
        <v>0</v>
      </c>
      <c r="AL5" s="163">
        <v>0</v>
      </c>
      <c r="AM5" s="164">
        <v>0</v>
      </c>
      <c r="AN5" s="164">
        <f>AC19*0.588</f>
        <v>0</v>
      </c>
      <c r="AO5" s="164">
        <v>0</v>
      </c>
      <c r="AP5" s="164">
        <v>0</v>
      </c>
      <c r="AQ5" s="167">
        <f>(0.5*AE19+0.3*AF19)/10</f>
        <v>0.14166666666666669</v>
      </c>
      <c r="AR5" s="167">
        <f>(0.4*AA19+0.3*AF19)/10</f>
        <v>0</v>
      </c>
      <c r="AS5" s="167">
        <f>((T19+1)+(W19+1)*2)/8</f>
        <v>2.25</v>
      </c>
      <c r="AT5" s="167">
        <f>((AA19)+(AD19)*2)/8</f>
        <v>0</v>
      </c>
      <c r="AV5" s="77" t="s">
        <v>288</v>
      </c>
      <c r="AW5" s="174">
        <v>1</v>
      </c>
      <c r="AX5" s="175">
        <v>0.877</v>
      </c>
      <c r="AY5" s="176">
        <v>0.25</v>
      </c>
      <c r="AZ5" s="115">
        <f t="shared" si="1"/>
        <v>2.5</v>
      </c>
      <c r="BA5" s="115">
        <f t="shared" si="2"/>
        <v>3.75</v>
      </c>
    </row>
    <row r="6" spans="1:53" s="81" customFormat="1" ht="18.75" x14ac:dyDescent="0.3">
      <c r="A6" s="132" t="str">
        <f>Plantilla!A6</f>
        <v>#2</v>
      </c>
      <c r="B6" s="132" t="str">
        <f>Plantilla!B6</f>
        <v>DEF</v>
      </c>
      <c r="C6" s="90" t="str">
        <f>Plantilla!D6</f>
        <v>E. Toney</v>
      </c>
      <c r="D6" s="134">
        <f>Plantilla!E6</f>
        <v>36</v>
      </c>
      <c r="E6" s="139">
        <f ca="1">Plantilla!F6</f>
        <v>28</v>
      </c>
      <c r="F6" s="135"/>
      <c r="G6" s="330">
        <f>Plantilla!H6</f>
        <v>4</v>
      </c>
      <c r="H6" s="102">
        <f>Plantilla!I6</f>
        <v>18</v>
      </c>
      <c r="I6" s="185">
        <f>Plantilla!X6</f>
        <v>0</v>
      </c>
      <c r="J6" s="185">
        <f>Plantilla!Y6</f>
        <v>11.95</v>
      </c>
      <c r="K6" s="185">
        <f>Plantilla!Z6</f>
        <v>12.95</v>
      </c>
      <c r="L6" s="185">
        <f>Plantilla!AA6</f>
        <v>8.9499999999999993</v>
      </c>
      <c r="M6" s="185">
        <f>Plantilla!AB6</f>
        <v>8.9499999999999993</v>
      </c>
      <c r="N6" s="185">
        <f>Plantilla!AC6</f>
        <v>0.95</v>
      </c>
      <c r="O6" s="185">
        <f>Plantilla!AD6</f>
        <v>17.177777777777774</v>
      </c>
      <c r="P6" s="147">
        <f t="shared" ref="P6:P27" si="21">D6</f>
        <v>36</v>
      </c>
      <c r="Q6" s="148">
        <f t="shared" ref="Q6:Q27" ca="1" si="22">E6+7</f>
        <v>35</v>
      </c>
      <c r="R6" s="92">
        <f t="shared" si="5"/>
        <v>18</v>
      </c>
      <c r="S6" s="201">
        <f t="shared" si="14"/>
        <v>0</v>
      </c>
      <c r="T6" s="201">
        <f t="shared" si="15"/>
        <v>11.95</v>
      </c>
      <c r="U6" s="201">
        <f t="shared" si="16"/>
        <v>12.95</v>
      </c>
      <c r="V6" s="201">
        <f t="shared" si="17"/>
        <v>8.9499999999999993</v>
      </c>
      <c r="W6" s="201">
        <f t="shared" si="18"/>
        <v>8.9499999999999993</v>
      </c>
      <c r="X6" s="201">
        <f t="shared" si="19"/>
        <v>0.95</v>
      </c>
      <c r="Y6" s="201">
        <f t="shared" si="20"/>
        <v>17.177777777777774</v>
      </c>
      <c r="Z6" s="157">
        <f t="shared" si="7"/>
        <v>0</v>
      </c>
      <c r="AA6" s="157">
        <f t="shared" si="8"/>
        <v>0</v>
      </c>
      <c r="AB6" s="157">
        <f t="shared" si="9"/>
        <v>0</v>
      </c>
      <c r="AC6" s="157">
        <f t="shared" si="10"/>
        <v>0</v>
      </c>
      <c r="AD6" s="157">
        <f t="shared" si="11"/>
        <v>0</v>
      </c>
      <c r="AE6" s="157">
        <f t="shared" si="12"/>
        <v>0</v>
      </c>
      <c r="AF6" s="157">
        <f t="shared" si="13"/>
        <v>0</v>
      </c>
      <c r="AH6" s="160" t="s">
        <v>276</v>
      </c>
      <c r="AI6" s="100"/>
      <c r="AJ6" s="163">
        <v>0</v>
      </c>
      <c r="AK6" s="163">
        <v>0</v>
      </c>
      <c r="AL6" s="163">
        <v>0</v>
      </c>
      <c r="AM6" s="165">
        <v>0</v>
      </c>
      <c r="AN6" s="165">
        <v>0</v>
      </c>
      <c r="AO6" s="165">
        <v>0</v>
      </c>
      <c r="AP6" s="165">
        <v>0</v>
      </c>
      <c r="AQ6" s="168">
        <f>(0.5*AE15+0.3*AF15)/10</f>
        <v>0.17</v>
      </c>
      <c r="AR6" s="168">
        <f>(0.4*AA15+0.3*AF15)/10</f>
        <v>0</v>
      </c>
      <c r="AS6" s="167">
        <f>((T15+1)+(W15+1)*2)/8</f>
        <v>1.375</v>
      </c>
      <c r="AT6" s="167">
        <f>((AA15)+(AD15)*2)/8</f>
        <v>0</v>
      </c>
      <c r="AV6" s="77" t="s">
        <v>289</v>
      </c>
      <c r="AW6" s="174">
        <v>1</v>
      </c>
      <c r="AX6" s="175">
        <v>0.59299999999999997</v>
      </c>
      <c r="AY6" s="176">
        <v>0.19</v>
      </c>
      <c r="AZ6" s="115">
        <f t="shared" si="1"/>
        <v>1.9</v>
      </c>
      <c r="BA6" s="115">
        <f t="shared" si="2"/>
        <v>2.85</v>
      </c>
    </row>
    <row r="7" spans="1:53" s="81" customFormat="1" x14ac:dyDescent="0.25">
      <c r="A7" s="132" t="str">
        <f>Plantilla!A7</f>
        <v>#24</v>
      </c>
      <c r="B7" s="132" t="str">
        <f>Plantilla!B7</f>
        <v>DEF</v>
      </c>
      <c r="C7" s="90" t="str">
        <f>Plantilla!D7</f>
        <v>B. Bartolache</v>
      </c>
      <c r="D7" s="134">
        <f>Plantilla!E7</f>
        <v>36</v>
      </c>
      <c r="E7" s="139">
        <f ca="1">Plantilla!F7</f>
        <v>13</v>
      </c>
      <c r="F7" s="135"/>
      <c r="G7" s="330">
        <f>Plantilla!H7</f>
        <v>3</v>
      </c>
      <c r="H7" s="102">
        <f>Plantilla!I7</f>
        <v>11.8</v>
      </c>
      <c r="I7" s="185">
        <f>Plantilla!X7</f>
        <v>0</v>
      </c>
      <c r="J7" s="185">
        <f>Plantilla!Y7</f>
        <v>11.95</v>
      </c>
      <c r="K7" s="185">
        <f>Plantilla!Z7</f>
        <v>5.95</v>
      </c>
      <c r="L7" s="185">
        <f>Plantilla!AA7</f>
        <v>6.95</v>
      </c>
      <c r="M7" s="185">
        <f>Plantilla!AB7</f>
        <v>7.95</v>
      </c>
      <c r="N7" s="185">
        <f>Plantilla!AC7</f>
        <v>1.95</v>
      </c>
      <c r="O7" s="185">
        <f>Plantilla!AD7</f>
        <v>16</v>
      </c>
      <c r="P7" s="147">
        <f t="shared" si="21"/>
        <v>36</v>
      </c>
      <c r="Q7" s="148">
        <f t="shared" ca="1" si="22"/>
        <v>20</v>
      </c>
      <c r="R7" s="92">
        <f t="shared" si="5"/>
        <v>11.8</v>
      </c>
      <c r="S7" s="201">
        <f t="shared" si="14"/>
        <v>0</v>
      </c>
      <c r="T7" s="201">
        <f t="shared" si="15"/>
        <v>11.95</v>
      </c>
      <c r="U7" s="201">
        <f t="shared" si="16"/>
        <v>5.95</v>
      </c>
      <c r="V7" s="201">
        <f t="shared" si="17"/>
        <v>6.95</v>
      </c>
      <c r="W7" s="201">
        <f t="shared" si="18"/>
        <v>7.95</v>
      </c>
      <c r="X7" s="201">
        <f t="shared" si="19"/>
        <v>1.95</v>
      </c>
      <c r="Y7" s="201">
        <f t="shared" si="20"/>
        <v>16</v>
      </c>
      <c r="Z7" s="157">
        <f t="shared" si="7"/>
        <v>0</v>
      </c>
      <c r="AA7" s="157">
        <f t="shared" si="8"/>
        <v>0</v>
      </c>
      <c r="AB7" s="157">
        <f t="shared" si="9"/>
        <v>0</v>
      </c>
      <c r="AC7" s="157">
        <f t="shared" si="10"/>
        <v>0</v>
      </c>
      <c r="AD7" s="157">
        <f t="shared" si="11"/>
        <v>0</v>
      </c>
      <c r="AE7" s="157">
        <f t="shared" si="12"/>
        <v>0</v>
      </c>
      <c r="AF7" s="157">
        <f t="shared" si="13"/>
        <v>0</v>
      </c>
      <c r="AH7" s="160" t="s">
        <v>276</v>
      </c>
      <c r="AI7" s="100"/>
      <c r="AJ7" s="163">
        <v>0</v>
      </c>
      <c r="AK7" s="163">
        <v>0</v>
      </c>
      <c r="AL7" s="163">
        <v>0</v>
      </c>
      <c r="AM7" s="165">
        <v>0</v>
      </c>
      <c r="AN7" s="165">
        <v>0</v>
      </c>
      <c r="AO7" s="165">
        <f>AC8*0.588</f>
        <v>0</v>
      </c>
      <c r="AP7" s="165">
        <v>0</v>
      </c>
      <c r="AQ7" s="168">
        <f>(0.5*AE8+0.3*AF8)/10</f>
        <v>0</v>
      </c>
      <c r="AR7" s="168">
        <f>(0.4*AA8+0.3*AF8)/10</f>
        <v>0</v>
      </c>
      <c r="AS7" s="167">
        <f>((T8+1)+(W8+1)*2)/8</f>
        <v>3.7914166666666662</v>
      </c>
      <c r="AT7" s="167">
        <f>((AA8)+(AD8)*2)/8</f>
        <v>0</v>
      </c>
    </row>
    <row r="8" spans="1:53" s="82" customFormat="1" x14ac:dyDescent="0.25">
      <c r="A8" s="132" t="str">
        <f>Plantilla!A8</f>
        <v>#13</v>
      </c>
      <c r="B8" s="132" t="str">
        <f>Plantilla!B8</f>
        <v>DEF</v>
      </c>
      <c r="C8" s="90" t="str">
        <f>Plantilla!D8</f>
        <v>F. Lasprilla</v>
      </c>
      <c r="D8" s="134">
        <f>Plantilla!E8</f>
        <v>32</v>
      </c>
      <c r="E8" s="139">
        <f ca="1">Plantilla!F8</f>
        <v>36</v>
      </c>
      <c r="F8" s="135"/>
      <c r="G8" s="330">
        <f>Plantilla!H8</f>
        <v>4</v>
      </c>
      <c r="H8" s="102">
        <f>Plantilla!I8</f>
        <v>6.3</v>
      </c>
      <c r="I8" s="185">
        <f>Plantilla!X8</f>
        <v>0</v>
      </c>
      <c r="J8" s="185">
        <f>Plantilla!Y8</f>
        <v>9.6046666666666667</v>
      </c>
      <c r="K8" s="185">
        <f>Plantilla!Z8</f>
        <v>8</v>
      </c>
      <c r="L8" s="185">
        <f>Plantilla!AA8</f>
        <v>6.1599999999999984</v>
      </c>
      <c r="M8" s="185">
        <f>Plantilla!AB8</f>
        <v>8.8633333333333315</v>
      </c>
      <c r="N8" s="185">
        <f>Plantilla!AC8</f>
        <v>2.95</v>
      </c>
      <c r="O8" s="185">
        <f>Plantilla!AD8</f>
        <v>13.33611111111111</v>
      </c>
      <c r="P8" s="147">
        <f t="shared" si="21"/>
        <v>32</v>
      </c>
      <c r="Q8" s="148">
        <f t="shared" ca="1" si="22"/>
        <v>43</v>
      </c>
      <c r="R8" s="92">
        <f t="shared" si="5"/>
        <v>6.3</v>
      </c>
      <c r="S8" s="201">
        <f t="shared" si="14"/>
        <v>0</v>
      </c>
      <c r="T8" s="201">
        <f t="shared" si="15"/>
        <v>9.6046666666666667</v>
      </c>
      <c r="U8" s="201">
        <f t="shared" si="16"/>
        <v>8</v>
      </c>
      <c r="V8" s="201">
        <f t="shared" si="17"/>
        <v>6.1599999999999984</v>
      </c>
      <c r="W8" s="201">
        <f t="shared" si="18"/>
        <v>8.8633333333333315</v>
      </c>
      <c r="X8" s="201">
        <f t="shared" si="19"/>
        <v>2.95</v>
      </c>
      <c r="Y8" s="201">
        <f t="shared" si="20"/>
        <v>13.33611111111111</v>
      </c>
      <c r="Z8" s="157">
        <f t="shared" si="7"/>
        <v>0</v>
      </c>
      <c r="AA8" s="157">
        <f t="shared" si="8"/>
        <v>0</v>
      </c>
      <c r="AB8" s="157">
        <f t="shared" si="9"/>
        <v>0</v>
      </c>
      <c r="AC8" s="157">
        <f t="shared" si="10"/>
        <v>0</v>
      </c>
      <c r="AD8" s="157">
        <f t="shared" si="11"/>
        <v>0</v>
      </c>
      <c r="AE8" s="157">
        <f t="shared" si="12"/>
        <v>0</v>
      </c>
      <c r="AF8" s="157">
        <f t="shared" si="13"/>
        <v>0</v>
      </c>
      <c r="AH8" s="159" t="s">
        <v>260</v>
      </c>
      <c r="AI8" s="99"/>
      <c r="AJ8" s="163">
        <v>0</v>
      </c>
      <c r="AK8" s="163">
        <v>0</v>
      </c>
      <c r="AL8" s="163">
        <v>0</v>
      </c>
      <c r="AM8" s="163">
        <v>0</v>
      </c>
      <c r="AN8" s="163" t="e">
        <f>(#REF!*0.864)+(#REF!*0.244)</f>
        <v>#REF!</v>
      </c>
      <c r="AO8" s="163">
        <v>0</v>
      </c>
      <c r="AP8" s="163" t="e">
        <f>(#REF!*0.121)</f>
        <v>#REF!</v>
      </c>
      <c r="AQ8" s="168" t="e">
        <f>(0.5*#REF!+0.3*#REF!)/10</f>
        <v>#REF!</v>
      </c>
      <c r="AR8" s="168" t="e">
        <f>(0.4*#REF!+0.3*#REF!)/10</f>
        <v>#REF!</v>
      </c>
      <c r="AS8" s="166">
        <v>0</v>
      </c>
      <c r="AT8" s="166">
        <v>0</v>
      </c>
    </row>
    <row r="9" spans="1:53" s="81" customFormat="1" x14ac:dyDescent="0.25">
      <c r="A9" s="132" t="str">
        <f>Plantilla!A9</f>
        <v>#7</v>
      </c>
      <c r="B9" s="132" t="str">
        <f>Plantilla!B9</f>
        <v>DEF</v>
      </c>
      <c r="C9" s="90" t="str">
        <f>Plantilla!D9</f>
        <v>E. Romweber</v>
      </c>
      <c r="D9" s="134">
        <f>Plantilla!E9</f>
        <v>35</v>
      </c>
      <c r="E9" s="139">
        <f ca="1">Plantilla!F9</f>
        <v>102</v>
      </c>
      <c r="F9" s="135" t="str">
        <f>Plantilla!G9</f>
        <v>IMP</v>
      </c>
      <c r="G9" s="330">
        <f>Plantilla!H9</f>
        <v>0</v>
      </c>
      <c r="H9" s="102">
        <f>Plantilla!I9</f>
        <v>17.100000000000001</v>
      </c>
      <c r="I9" s="185">
        <f>Plantilla!X9</f>
        <v>0</v>
      </c>
      <c r="J9" s="185">
        <f>Plantilla!Y9</f>
        <v>11.95</v>
      </c>
      <c r="K9" s="185">
        <f>Plantilla!Z9</f>
        <v>11.95</v>
      </c>
      <c r="L9" s="185">
        <f>Plantilla!AA9</f>
        <v>12.95</v>
      </c>
      <c r="M9" s="185">
        <f>Plantilla!AB9</f>
        <v>9.9499999999999993</v>
      </c>
      <c r="N9" s="185">
        <f>Plantilla!AC9</f>
        <v>5.95</v>
      </c>
      <c r="O9" s="185">
        <f>Plantilla!AD9</f>
        <v>17.529999999999998</v>
      </c>
      <c r="P9" s="147">
        <f t="shared" si="21"/>
        <v>35</v>
      </c>
      <c r="Q9" s="148">
        <f t="shared" ca="1" si="22"/>
        <v>109</v>
      </c>
      <c r="R9" s="92">
        <f t="shared" si="5"/>
        <v>17.100000000000001</v>
      </c>
      <c r="S9" s="201">
        <f t="shared" si="14"/>
        <v>0</v>
      </c>
      <c r="T9" s="201">
        <f t="shared" si="15"/>
        <v>11.95</v>
      </c>
      <c r="U9" s="201">
        <f t="shared" si="16"/>
        <v>11.95</v>
      </c>
      <c r="V9" s="201">
        <f t="shared" si="17"/>
        <v>12.95</v>
      </c>
      <c r="W9" s="201">
        <f t="shared" si="18"/>
        <v>9.9499999999999993</v>
      </c>
      <c r="X9" s="201">
        <f t="shared" si="19"/>
        <v>5.95</v>
      </c>
      <c r="Y9" s="201">
        <f t="shared" si="20"/>
        <v>17.529999999999998</v>
      </c>
      <c r="Z9" s="157">
        <f t="shared" si="7"/>
        <v>0</v>
      </c>
      <c r="AA9" s="157">
        <f t="shared" si="8"/>
        <v>0</v>
      </c>
      <c r="AB9" s="157">
        <f t="shared" si="9"/>
        <v>0</v>
      </c>
      <c r="AC9" s="157">
        <f t="shared" si="10"/>
        <v>0</v>
      </c>
      <c r="AD9" s="157">
        <f t="shared" si="11"/>
        <v>0</v>
      </c>
      <c r="AE9" s="157">
        <f t="shared" si="12"/>
        <v>0</v>
      </c>
      <c r="AF9" s="157">
        <f t="shared" si="13"/>
        <v>0</v>
      </c>
      <c r="AH9" s="160" t="s">
        <v>353</v>
      </c>
      <c r="AI9" s="79" t="str">
        <f>C15</f>
        <v>G. Piscaer</v>
      </c>
      <c r="AJ9" s="165">
        <f>AA15*0.189</f>
        <v>0</v>
      </c>
      <c r="AK9" s="165">
        <v>0</v>
      </c>
      <c r="AL9" s="165">
        <f>AA15*0.4</f>
        <v>0</v>
      </c>
      <c r="AM9" s="165">
        <f>AB15*1</f>
        <v>8.0000000000000018</v>
      </c>
      <c r="AN9" s="165">
        <f>(AC13*0.574)+(AD13*0.315)</f>
        <v>0</v>
      </c>
      <c r="AO9" s="165">
        <v>0</v>
      </c>
      <c r="AP9" s="165">
        <f>AD13*0.241</f>
        <v>0</v>
      </c>
      <c r="AQ9" s="168">
        <f>(0.5*AE13+0.3*AF13)/10</f>
        <v>0.17</v>
      </c>
      <c r="AR9" s="168">
        <f>(0.4*AA13+0.3*AF13)/10</f>
        <v>0</v>
      </c>
      <c r="AS9" s="168">
        <v>0</v>
      </c>
      <c r="AT9" s="168">
        <v>0</v>
      </c>
    </row>
    <row r="10" spans="1:53" s="2" customFormat="1" x14ac:dyDescent="0.25">
      <c r="A10" s="132" t="str">
        <f>Plantilla!A10</f>
        <v>#6</v>
      </c>
      <c r="B10" s="132" t="str">
        <f>Plantilla!B10</f>
        <v>DEF</v>
      </c>
      <c r="C10" s="90" t="str">
        <f>Plantilla!D10</f>
        <v>S. Buschelman</v>
      </c>
      <c r="D10" s="134">
        <f>Plantilla!E10</f>
        <v>34</v>
      </c>
      <c r="E10" s="139">
        <f ca="1">Plantilla!F10</f>
        <v>61</v>
      </c>
      <c r="F10" s="135" t="str">
        <f>Plantilla!G10</f>
        <v>TEC</v>
      </c>
      <c r="G10" s="330">
        <f>Plantilla!H10</f>
        <v>3</v>
      </c>
      <c r="H10" s="102">
        <f>Plantilla!I10</f>
        <v>14.8</v>
      </c>
      <c r="I10" s="185">
        <f>Plantilla!X10</f>
        <v>0</v>
      </c>
      <c r="J10" s="185">
        <f>Plantilla!Y10</f>
        <v>9.3036666666666648</v>
      </c>
      <c r="K10" s="185">
        <f>Plantilla!Z10</f>
        <v>14</v>
      </c>
      <c r="L10" s="185">
        <f>Plantilla!AA10</f>
        <v>12.945</v>
      </c>
      <c r="M10" s="185">
        <f>Plantilla!AB10</f>
        <v>9.9499999999999993</v>
      </c>
      <c r="N10" s="185">
        <f>Plantilla!AC10</f>
        <v>3.95</v>
      </c>
      <c r="O10" s="185">
        <f>Plantilla!AD10</f>
        <v>16</v>
      </c>
      <c r="P10" s="147">
        <f t="shared" si="21"/>
        <v>34</v>
      </c>
      <c r="Q10" s="148">
        <f t="shared" ca="1" si="22"/>
        <v>68</v>
      </c>
      <c r="R10" s="92">
        <f t="shared" si="5"/>
        <v>14.8</v>
      </c>
      <c r="S10" s="201">
        <f t="shared" si="14"/>
        <v>0</v>
      </c>
      <c r="T10" s="201">
        <f t="shared" si="15"/>
        <v>9.3036666666666648</v>
      </c>
      <c r="U10" s="201">
        <f t="shared" si="16"/>
        <v>14</v>
      </c>
      <c r="V10" s="201">
        <f t="shared" si="17"/>
        <v>12.945</v>
      </c>
      <c r="W10" s="201">
        <f t="shared" si="18"/>
        <v>9.9499999999999993</v>
      </c>
      <c r="X10" s="201">
        <f t="shared" si="19"/>
        <v>3.95</v>
      </c>
      <c r="Y10" s="201">
        <f t="shared" si="20"/>
        <v>16</v>
      </c>
      <c r="Z10" s="157">
        <f t="shared" si="7"/>
        <v>0</v>
      </c>
      <c r="AA10" s="157">
        <f t="shared" si="8"/>
        <v>0</v>
      </c>
      <c r="AB10" s="157">
        <f t="shared" si="9"/>
        <v>0</v>
      </c>
      <c r="AC10" s="157">
        <f t="shared" si="10"/>
        <v>0</v>
      </c>
      <c r="AD10" s="157">
        <f t="shared" si="11"/>
        <v>0</v>
      </c>
      <c r="AE10" s="157">
        <f t="shared" si="12"/>
        <v>0</v>
      </c>
      <c r="AF10" s="157">
        <f t="shared" si="13"/>
        <v>0</v>
      </c>
      <c r="AH10" s="160" t="s">
        <v>680</v>
      </c>
      <c r="AI10" s="79" t="str">
        <f>C18</f>
        <v>R. Forsyth</v>
      </c>
      <c r="AJ10" s="165">
        <f>AA18*((0.27+0.135)/2)</f>
        <v>0</v>
      </c>
      <c r="AK10" s="165">
        <f>AJ10</f>
        <v>0</v>
      </c>
      <c r="AL10" s="165">
        <f>AA18*0.594</f>
        <v>0</v>
      </c>
      <c r="AM10" s="165">
        <f>AB18*0.944</f>
        <v>7.5519999999999996</v>
      </c>
      <c r="AN10" s="165">
        <f>AD16*0.188</f>
        <v>0</v>
      </c>
      <c r="AO10" s="165">
        <f>AN10</f>
        <v>0</v>
      </c>
      <c r="AP10" s="165">
        <f>AD16*0.507+AE16*0.31</f>
        <v>1.054</v>
      </c>
      <c r="AQ10" s="168">
        <f>(0.5*AE16+0.3*AF16)/10</f>
        <v>0.17</v>
      </c>
      <c r="AR10" s="168">
        <f>(0.4*AA16+0.3*AF16)/10</f>
        <v>0</v>
      </c>
      <c r="AS10" s="168">
        <v>0</v>
      </c>
      <c r="AT10" s="168">
        <v>0</v>
      </c>
    </row>
    <row r="11" spans="1:53" x14ac:dyDescent="0.25">
      <c r="A11" s="132" t="str">
        <f>Plantilla!A11</f>
        <v>#12</v>
      </c>
      <c r="B11" s="132" t="str">
        <f>Plantilla!B11</f>
        <v>DEF</v>
      </c>
      <c r="C11" s="90" t="str">
        <f>Plantilla!D11</f>
        <v>E. Gross</v>
      </c>
      <c r="D11" s="134">
        <f>Plantilla!E11</f>
        <v>35</v>
      </c>
      <c r="E11" s="139">
        <f ca="1">Plantilla!F11</f>
        <v>89</v>
      </c>
      <c r="F11" s="135"/>
      <c r="G11" s="330">
        <f>Plantilla!H11</f>
        <v>3</v>
      </c>
      <c r="H11" s="102">
        <f>Plantilla!I11</f>
        <v>13.1</v>
      </c>
      <c r="I11" s="185">
        <f>Plantilla!X11</f>
        <v>0</v>
      </c>
      <c r="J11" s="185">
        <f>Plantilla!Y11</f>
        <v>10.549999999999995</v>
      </c>
      <c r="K11" s="185">
        <f>Plantilla!Z11</f>
        <v>12.95</v>
      </c>
      <c r="L11" s="185">
        <f>Plantilla!AA11</f>
        <v>3.95</v>
      </c>
      <c r="M11" s="185">
        <f>Plantilla!AB11</f>
        <v>8.9499999999999993</v>
      </c>
      <c r="N11" s="185">
        <f>Plantilla!AC11</f>
        <v>0.95</v>
      </c>
      <c r="O11" s="185">
        <f>Plantilla!AD11</f>
        <v>17.3</v>
      </c>
      <c r="P11" s="147">
        <f t="shared" si="21"/>
        <v>35</v>
      </c>
      <c r="Q11" s="148">
        <f t="shared" ca="1" si="22"/>
        <v>96</v>
      </c>
      <c r="R11" s="92">
        <f t="shared" si="5"/>
        <v>13.1</v>
      </c>
      <c r="S11" s="201">
        <f t="shared" si="14"/>
        <v>0</v>
      </c>
      <c r="T11" s="201">
        <f t="shared" si="15"/>
        <v>10.549999999999995</v>
      </c>
      <c r="U11" s="201">
        <f t="shared" si="16"/>
        <v>12.95</v>
      </c>
      <c r="V11" s="201">
        <f t="shared" si="17"/>
        <v>3.95</v>
      </c>
      <c r="W11" s="201">
        <f t="shared" si="18"/>
        <v>8.9499999999999993</v>
      </c>
      <c r="X11" s="201">
        <f t="shared" si="19"/>
        <v>0.95</v>
      </c>
      <c r="Y11" s="201">
        <f t="shared" si="20"/>
        <v>17.3</v>
      </c>
      <c r="Z11" s="157">
        <f t="shared" si="7"/>
        <v>0</v>
      </c>
      <c r="AA11" s="157">
        <f t="shared" si="8"/>
        <v>0</v>
      </c>
      <c r="AB11" s="157">
        <f t="shared" si="9"/>
        <v>0</v>
      </c>
      <c r="AC11" s="157">
        <f t="shared" si="10"/>
        <v>0</v>
      </c>
      <c r="AD11" s="157">
        <f t="shared" si="11"/>
        <v>0</v>
      </c>
      <c r="AE11" s="157">
        <f t="shared" si="12"/>
        <v>0</v>
      </c>
      <c r="AF11" s="157">
        <f t="shared" si="13"/>
        <v>0</v>
      </c>
      <c r="AH11" s="160" t="s">
        <v>353</v>
      </c>
      <c r="AI11" s="79" t="str">
        <f>C13</f>
        <v>I. Vanags</v>
      </c>
      <c r="AJ11" s="165">
        <v>0</v>
      </c>
      <c r="AK11" s="165">
        <f>AA13*0.189</f>
        <v>0</v>
      </c>
      <c r="AL11" s="165">
        <f>AA13*0.4</f>
        <v>0</v>
      </c>
      <c r="AM11" s="165">
        <f>AB13*1</f>
        <v>8</v>
      </c>
      <c r="AN11" s="165">
        <v>0</v>
      </c>
      <c r="AO11" s="165">
        <f>(AC14*0.574)+(AD14*0.314)</f>
        <v>0</v>
      </c>
      <c r="AP11" s="165">
        <f>AD14*0.241</f>
        <v>0</v>
      </c>
      <c r="AQ11" s="168">
        <f>(0.5*AE14+0.3*AF14)/10</f>
        <v>0.14166666666666669</v>
      </c>
      <c r="AR11" s="168">
        <f>(0.4*AA14+0.3*AF14)/10</f>
        <v>0</v>
      </c>
      <c r="AS11" s="168">
        <v>0</v>
      </c>
      <c r="AT11" s="168">
        <v>0</v>
      </c>
    </row>
    <row r="12" spans="1:53" s="81" customFormat="1" x14ac:dyDescent="0.25">
      <c r="A12" s="132" t="str">
        <f>Plantilla!A12</f>
        <v>#23</v>
      </c>
      <c r="B12" s="132" t="str">
        <f>Plantilla!B12</f>
        <v>DEF</v>
      </c>
      <c r="C12" s="90" t="str">
        <f>Plantilla!D12</f>
        <v>W. Gelifini</v>
      </c>
      <c r="D12" s="134">
        <f>Plantilla!E12</f>
        <v>34</v>
      </c>
      <c r="E12" s="139">
        <f ca="1">Plantilla!F12</f>
        <v>14</v>
      </c>
      <c r="F12" s="135"/>
      <c r="G12" s="330">
        <f>Plantilla!H12</f>
        <v>2</v>
      </c>
      <c r="H12" s="102">
        <f>Plantilla!I12</f>
        <v>4.5</v>
      </c>
      <c r="I12" s="185">
        <f>Plantilla!X12</f>
        <v>0</v>
      </c>
      <c r="J12" s="185">
        <f>Plantilla!Y12</f>
        <v>5.6515555555555519</v>
      </c>
      <c r="K12" s="185">
        <f>Plantilla!Z12</f>
        <v>9</v>
      </c>
      <c r="L12" s="185">
        <f>Plantilla!AA12</f>
        <v>6.95</v>
      </c>
      <c r="M12" s="185">
        <f>Plantilla!AB12</f>
        <v>8.9499999999999993</v>
      </c>
      <c r="N12" s="185">
        <f>Plantilla!AC12</f>
        <v>2.95</v>
      </c>
      <c r="O12" s="185">
        <f>Plantilla!AD12</f>
        <v>12.847222222222223</v>
      </c>
      <c r="P12" s="147">
        <f t="shared" si="21"/>
        <v>34</v>
      </c>
      <c r="Q12" s="148">
        <f t="shared" ca="1" si="22"/>
        <v>21</v>
      </c>
      <c r="R12" s="92">
        <f t="shared" si="5"/>
        <v>4.5</v>
      </c>
      <c r="S12" s="201">
        <f t="shared" si="14"/>
        <v>0</v>
      </c>
      <c r="T12" s="201">
        <f t="shared" si="15"/>
        <v>5.6515555555555519</v>
      </c>
      <c r="U12" s="201">
        <f t="shared" si="16"/>
        <v>9</v>
      </c>
      <c r="V12" s="201">
        <f t="shared" si="17"/>
        <v>6.95</v>
      </c>
      <c r="W12" s="201">
        <f t="shared" si="18"/>
        <v>8.9499999999999993</v>
      </c>
      <c r="X12" s="201">
        <f t="shared" si="19"/>
        <v>2.95</v>
      </c>
      <c r="Y12" s="201">
        <f t="shared" si="20"/>
        <v>12.847222222222223</v>
      </c>
      <c r="Z12" s="157">
        <f t="shared" si="7"/>
        <v>0</v>
      </c>
      <c r="AA12" s="157">
        <f t="shared" si="8"/>
        <v>0</v>
      </c>
      <c r="AB12" s="157">
        <f t="shared" si="9"/>
        <v>0</v>
      </c>
      <c r="AC12" s="157">
        <f t="shared" si="10"/>
        <v>0</v>
      </c>
      <c r="AD12" s="157">
        <f t="shared" si="11"/>
        <v>0</v>
      </c>
      <c r="AE12" s="157">
        <f t="shared" si="12"/>
        <v>0</v>
      </c>
      <c r="AF12" s="157">
        <f t="shared" si="13"/>
        <v>0</v>
      </c>
      <c r="AH12" s="692" t="s">
        <v>681</v>
      </c>
      <c r="AI12" s="79" t="str">
        <f>C14</f>
        <v>I. Stone</v>
      </c>
      <c r="AJ12" s="165">
        <f>AA14*0.284</f>
        <v>0</v>
      </c>
      <c r="AK12" s="165">
        <v>0</v>
      </c>
      <c r="AL12" s="165">
        <f>AA14*0.244</f>
        <v>0</v>
      </c>
      <c r="AM12" s="165">
        <f>AB14*0.631</f>
        <v>6.3100000000000005</v>
      </c>
      <c r="AN12" s="165">
        <v>0</v>
      </c>
      <c r="AO12" s="165">
        <f>(AC11*1)+(AD11*0.286)</f>
        <v>0</v>
      </c>
      <c r="AP12" s="165">
        <f>AD11*0.135</f>
        <v>0</v>
      </c>
      <c r="AQ12" s="168">
        <f>(0.5*AE11+0.3*AF11)/10</f>
        <v>0</v>
      </c>
      <c r="AR12" s="168">
        <f>(0.4*AA11+0.3*AF11)/10</f>
        <v>0</v>
      </c>
      <c r="AS12" s="168">
        <v>0</v>
      </c>
      <c r="AT12" s="168">
        <v>0</v>
      </c>
    </row>
    <row r="13" spans="1:53" s="82" customFormat="1" x14ac:dyDescent="0.25">
      <c r="A13" s="132" t="str">
        <f>Plantilla!A13</f>
        <v>#17</v>
      </c>
      <c r="B13" s="132" t="str">
        <f>Plantilla!B13</f>
        <v>MED</v>
      </c>
      <c r="C13" s="90" t="str">
        <f>Plantilla!D13</f>
        <v>I. Vanags</v>
      </c>
      <c r="D13" s="134">
        <f>Plantilla!E13</f>
        <v>18</v>
      </c>
      <c r="E13" s="139">
        <f ca="1">Plantilla!F13</f>
        <v>84</v>
      </c>
      <c r="F13" s="135" t="str">
        <f>Plantilla!G13</f>
        <v>CAB</v>
      </c>
      <c r="G13" s="330">
        <f>Plantilla!H13</f>
        <v>4</v>
      </c>
      <c r="H13" s="102">
        <f>Plantilla!I13</f>
        <v>0.4</v>
      </c>
      <c r="I13" s="185">
        <f>Plantilla!X13</f>
        <v>0</v>
      </c>
      <c r="J13" s="185">
        <f>Plantilla!Y13</f>
        <v>4</v>
      </c>
      <c r="K13" s="185">
        <f>Plantilla!Z13</f>
        <v>7.8</v>
      </c>
      <c r="L13" s="185">
        <f>Plantilla!AA13</f>
        <v>3</v>
      </c>
      <c r="M13" s="185">
        <f>Plantilla!AB13</f>
        <v>4</v>
      </c>
      <c r="N13" s="185">
        <f>Plantilla!AC13</f>
        <v>7</v>
      </c>
      <c r="O13" s="185">
        <f>Plantilla!AD13</f>
        <v>6</v>
      </c>
      <c r="P13" s="147">
        <f t="shared" si="21"/>
        <v>18</v>
      </c>
      <c r="Q13" s="148">
        <f t="shared" ca="1" si="22"/>
        <v>91</v>
      </c>
      <c r="R13" s="92">
        <f t="shared" si="5"/>
        <v>0.4</v>
      </c>
      <c r="S13" s="201">
        <f t="shared" ref="S13:S23" si="23">I13</f>
        <v>0</v>
      </c>
      <c r="T13" s="201">
        <f>J13+T$2/4</f>
        <v>4</v>
      </c>
      <c r="U13" s="201">
        <f>K13+U$2/5</f>
        <v>15.8</v>
      </c>
      <c r="V13" s="201">
        <f t="shared" ref="V13:V23" si="24">L13</f>
        <v>3</v>
      </c>
      <c r="W13" s="201">
        <f t="shared" ref="W13:W23" si="25">M13</f>
        <v>4</v>
      </c>
      <c r="X13" s="201">
        <f>N13+X$2/5</f>
        <v>10.4</v>
      </c>
      <c r="Y13" s="201">
        <f>O13+Y$2/1</f>
        <v>6</v>
      </c>
      <c r="Z13" s="157">
        <f t="shared" si="7"/>
        <v>0</v>
      </c>
      <c r="AA13" s="157">
        <f t="shared" si="8"/>
        <v>0</v>
      </c>
      <c r="AB13" s="157">
        <f t="shared" si="9"/>
        <v>8</v>
      </c>
      <c r="AC13" s="157">
        <f t="shared" si="10"/>
        <v>0</v>
      </c>
      <c r="AD13" s="157">
        <f t="shared" si="11"/>
        <v>0</v>
      </c>
      <c r="AE13" s="157">
        <f t="shared" si="12"/>
        <v>3.4000000000000004</v>
      </c>
      <c r="AF13" s="157">
        <f t="shared" si="13"/>
        <v>0</v>
      </c>
      <c r="AH13" s="692" t="s">
        <v>681</v>
      </c>
      <c r="AI13" s="99" t="str">
        <f>C16</f>
        <v>M. Bondarewski</v>
      </c>
      <c r="AJ13" s="163">
        <v>0</v>
      </c>
      <c r="AK13" s="163">
        <f>AA16*0.284</f>
        <v>0</v>
      </c>
      <c r="AL13" s="165">
        <f>AA16*0.244</f>
        <v>0</v>
      </c>
      <c r="AM13" s="163">
        <f>AB16*0.631</f>
        <v>5.048</v>
      </c>
      <c r="AN13" s="163">
        <f>(AD20*0.142)+(AC20*0.221)+(AE20*0.26)</f>
        <v>0.88400000000000012</v>
      </c>
      <c r="AO13" s="163">
        <f>AN13</f>
        <v>0.88400000000000012</v>
      </c>
      <c r="AP13" s="163">
        <f>(AD20*0.369)+(AE20*1)</f>
        <v>3.4000000000000004</v>
      </c>
      <c r="AQ13" s="225">
        <f>((0.5*AE20+0.3*AF20)/10)+0.09*AF20</f>
        <v>0.17</v>
      </c>
      <c r="AR13" s="225">
        <f>(0.4*AA20+0.3*AF20)/10</f>
        <v>0</v>
      </c>
      <c r="AS13" s="166">
        <v>0</v>
      </c>
      <c r="AT13" s="166">
        <v>0</v>
      </c>
    </row>
    <row r="14" spans="1:53" s="81" customFormat="1" x14ac:dyDescent="0.25">
      <c r="A14" s="132" t="str">
        <f>Plantilla!A14</f>
        <v>#8</v>
      </c>
      <c r="B14" s="132" t="str">
        <f>Plantilla!B14</f>
        <v>MED</v>
      </c>
      <c r="C14" s="90" t="str">
        <f>Plantilla!D14</f>
        <v>I. Stone</v>
      </c>
      <c r="D14" s="134">
        <f>Plantilla!E14</f>
        <v>18</v>
      </c>
      <c r="E14" s="139">
        <f ca="1">Plantilla!F14</f>
        <v>27</v>
      </c>
      <c r="F14" s="135" t="str">
        <f>Plantilla!G14</f>
        <v>RAP</v>
      </c>
      <c r="G14" s="330">
        <f>Plantilla!H14</f>
        <v>6</v>
      </c>
      <c r="H14" s="102">
        <f>Plantilla!I14</f>
        <v>1.2</v>
      </c>
      <c r="I14" s="185">
        <f>Plantilla!X14</f>
        <v>0</v>
      </c>
      <c r="J14" s="185">
        <f>Plantilla!Y14</f>
        <v>3</v>
      </c>
      <c r="K14" s="185">
        <f>Plantilla!Z14</f>
        <v>6.25</v>
      </c>
      <c r="L14" s="185">
        <f>Plantilla!AA14</f>
        <v>2</v>
      </c>
      <c r="M14" s="185">
        <f>Plantilla!AB14</f>
        <v>6</v>
      </c>
      <c r="N14" s="185">
        <f>Plantilla!AC14</f>
        <v>9</v>
      </c>
      <c r="O14" s="185">
        <f>Plantilla!AD14</f>
        <v>2</v>
      </c>
      <c r="P14" s="147">
        <f t="shared" si="21"/>
        <v>18</v>
      </c>
      <c r="Q14" s="148">
        <f t="shared" ca="1" si="22"/>
        <v>34</v>
      </c>
      <c r="R14" s="92">
        <f t="shared" si="5"/>
        <v>1.2</v>
      </c>
      <c r="S14" s="201">
        <f t="shared" si="23"/>
        <v>0</v>
      </c>
      <c r="T14" s="201">
        <f>J14+T$2/3</f>
        <v>3</v>
      </c>
      <c r="U14" s="201">
        <f t="shared" ref="U14" si="26">K14+U$2/4</f>
        <v>16.25</v>
      </c>
      <c r="V14" s="201">
        <f t="shared" si="24"/>
        <v>2</v>
      </c>
      <c r="W14" s="201">
        <f t="shared" si="25"/>
        <v>6</v>
      </c>
      <c r="X14" s="201">
        <f>N14+X$2/6</f>
        <v>11.833333333333334</v>
      </c>
      <c r="Y14" s="201">
        <f t="shared" ref="Y14:Y22" si="27">O14+Y$2/1</f>
        <v>2</v>
      </c>
      <c r="Z14" s="157">
        <f t="shared" si="7"/>
        <v>0</v>
      </c>
      <c r="AA14" s="157">
        <f t="shared" si="8"/>
        <v>0</v>
      </c>
      <c r="AB14" s="157">
        <f t="shared" si="9"/>
        <v>10</v>
      </c>
      <c r="AC14" s="157">
        <f t="shared" si="10"/>
        <v>0</v>
      </c>
      <c r="AD14" s="157">
        <f t="shared" si="11"/>
        <v>0</v>
      </c>
      <c r="AE14" s="157">
        <f t="shared" si="12"/>
        <v>2.8333333333333339</v>
      </c>
      <c r="AF14" s="157">
        <f t="shared" si="13"/>
        <v>0</v>
      </c>
      <c r="AH14" s="692" t="s">
        <v>277</v>
      </c>
      <c r="AI14" s="79"/>
      <c r="AJ14" s="165">
        <v>0</v>
      </c>
      <c r="AK14" s="165">
        <v>0</v>
      </c>
      <c r="AL14" s="165">
        <v>0</v>
      </c>
      <c r="AM14" s="163">
        <v>0</v>
      </c>
      <c r="AN14" s="163">
        <f>(AD12*0.142)+(AC12*0.221)+(AE12*0.26)</f>
        <v>0</v>
      </c>
      <c r="AO14" s="163">
        <f>AN14</f>
        <v>0</v>
      </c>
      <c r="AP14" s="163">
        <f>(AD12*0.369)+(AE12*1)</f>
        <v>0</v>
      </c>
      <c r="AQ14" s="168">
        <f>(0.5*AE12+0.3*AF12)/10</f>
        <v>0</v>
      </c>
      <c r="AR14" s="168">
        <f>(0.4*AA12+0.3*AF12)/10</f>
        <v>0</v>
      </c>
      <c r="AS14" s="166">
        <v>0</v>
      </c>
      <c r="AT14" s="166">
        <v>0</v>
      </c>
    </row>
    <row r="15" spans="1:53" s="75" customFormat="1" x14ac:dyDescent="0.25">
      <c r="A15" s="132" t="str">
        <f>Plantilla!A15</f>
        <v>#14</v>
      </c>
      <c r="B15" s="132" t="str">
        <f>Plantilla!B15</f>
        <v>MED</v>
      </c>
      <c r="C15" s="90" t="str">
        <f>Plantilla!D15</f>
        <v>G. Piscaer</v>
      </c>
      <c r="D15" s="134">
        <f>Plantilla!E15</f>
        <v>18</v>
      </c>
      <c r="E15" s="139">
        <f ca="1">Plantilla!F15</f>
        <v>100</v>
      </c>
      <c r="F15" s="135" t="str">
        <f>Plantilla!G15</f>
        <v>IMP</v>
      </c>
      <c r="G15" s="330">
        <f>Plantilla!H15</f>
        <v>1</v>
      </c>
      <c r="H15" s="102">
        <f>Plantilla!I15</f>
        <v>1.8</v>
      </c>
      <c r="I15" s="185">
        <f>Plantilla!X15</f>
        <v>0</v>
      </c>
      <c r="J15" s="185">
        <f>Plantilla!Y15</f>
        <v>4</v>
      </c>
      <c r="K15" s="185">
        <f>Plantilla!Z15</f>
        <v>8.6</v>
      </c>
      <c r="L15" s="185">
        <f>Plantilla!AA15</f>
        <v>3</v>
      </c>
      <c r="M15" s="185">
        <f>Plantilla!AB15</f>
        <v>2</v>
      </c>
      <c r="N15" s="185">
        <f>Plantilla!AC15</f>
        <v>8</v>
      </c>
      <c r="O15" s="185">
        <f>Plantilla!AD15</f>
        <v>0</v>
      </c>
      <c r="P15" s="147">
        <f t="shared" si="21"/>
        <v>18</v>
      </c>
      <c r="Q15" s="148">
        <f t="shared" ca="1" si="22"/>
        <v>107</v>
      </c>
      <c r="R15" s="92">
        <f t="shared" si="5"/>
        <v>1.8</v>
      </c>
      <c r="S15" s="201">
        <f t="shared" si="23"/>
        <v>0</v>
      </c>
      <c r="T15" s="201">
        <f>J15+T$2/4</f>
        <v>4</v>
      </c>
      <c r="U15" s="201">
        <f>K15+U$2/5</f>
        <v>16.600000000000001</v>
      </c>
      <c r="V15" s="201">
        <f t="shared" si="24"/>
        <v>3</v>
      </c>
      <c r="W15" s="201">
        <f t="shared" si="25"/>
        <v>2</v>
      </c>
      <c r="X15" s="201">
        <f t="shared" ref="X15:X20" si="28">N15+X$2/5</f>
        <v>11.4</v>
      </c>
      <c r="Y15" s="201">
        <f t="shared" si="27"/>
        <v>0</v>
      </c>
      <c r="Z15" s="157">
        <f t="shared" si="7"/>
        <v>0</v>
      </c>
      <c r="AA15" s="157">
        <f t="shared" si="8"/>
        <v>0</v>
      </c>
      <c r="AB15" s="157">
        <f t="shared" si="9"/>
        <v>8.0000000000000018</v>
      </c>
      <c r="AC15" s="157">
        <f t="shared" si="10"/>
        <v>0</v>
      </c>
      <c r="AD15" s="157">
        <f t="shared" si="11"/>
        <v>0</v>
      </c>
      <c r="AE15" s="157">
        <f t="shared" si="12"/>
        <v>3.4000000000000004</v>
      </c>
      <c r="AF15" s="157">
        <f t="shared" si="13"/>
        <v>0</v>
      </c>
      <c r="AH15" s="161"/>
      <c r="AI15" s="162"/>
      <c r="AJ15" s="162"/>
      <c r="AK15" s="162"/>
      <c r="AL15" s="162"/>
      <c r="AM15" s="162"/>
      <c r="AN15" s="162"/>
      <c r="AO15" s="162"/>
      <c r="AP15" s="162"/>
      <c r="AQ15" s="162"/>
      <c r="AR15" s="162"/>
      <c r="AS15" s="162"/>
      <c r="AT15" s="162"/>
    </row>
    <row r="16" spans="1:53" s="82" customFormat="1" x14ac:dyDescent="0.25">
      <c r="A16" s="132" t="str">
        <f>Plantilla!A16</f>
        <v>#3</v>
      </c>
      <c r="B16" s="132" t="str">
        <f>Plantilla!B16</f>
        <v>MED</v>
      </c>
      <c r="C16" s="90" t="str">
        <f>Plantilla!D16</f>
        <v>M. Bondarewski</v>
      </c>
      <c r="D16" s="134">
        <f>Plantilla!E16</f>
        <v>18</v>
      </c>
      <c r="E16" s="139">
        <f ca="1">Plantilla!F16</f>
        <v>100</v>
      </c>
      <c r="F16" s="135" t="str">
        <f>Plantilla!G16</f>
        <v>RAP</v>
      </c>
      <c r="G16" s="330">
        <f>Plantilla!H16</f>
        <v>1</v>
      </c>
      <c r="H16" s="102">
        <f>Plantilla!I16</f>
        <v>1.6</v>
      </c>
      <c r="I16" s="185">
        <f>Plantilla!X16</f>
        <v>0</v>
      </c>
      <c r="J16" s="185">
        <f>Plantilla!Y16</f>
        <v>2</v>
      </c>
      <c r="K16" s="185">
        <f>Plantilla!Z16</f>
        <v>8.8000000000000007</v>
      </c>
      <c r="L16" s="185">
        <f>Plantilla!AA16</f>
        <v>5</v>
      </c>
      <c r="M16" s="185">
        <f>Plantilla!AB16</f>
        <v>4</v>
      </c>
      <c r="N16" s="185">
        <f>Plantilla!AC16</f>
        <v>8</v>
      </c>
      <c r="O16" s="185">
        <f>Plantilla!AD16</f>
        <v>6</v>
      </c>
      <c r="P16" s="147">
        <f t="shared" si="21"/>
        <v>18</v>
      </c>
      <c r="Q16" s="148">
        <f t="shared" ca="1" si="22"/>
        <v>107</v>
      </c>
      <c r="R16" s="92">
        <f t="shared" si="5"/>
        <v>1.6</v>
      </c>
      <c r="S16" s="201">
        <f t="shared" si="23"/>
        <v>0</v>
      </c>
      <c r="T16" s="201">
        <f>J16+T$2/3</f>
        <v>2</v>
      </c>
      <c r="U16" s="201">
        <f>K16+U$2/5</f>
        <v>16.8</v>
      </c>
      <c r="V16" s="201">
        <f t="shared" si="24"/>
        <v>5</v>
      </c>
      <c r="W16" s="201">
        <f t="shared" si="25"/>
        <v>4</v>
      </c>
      <c r="X16" s="201">
        <f t="shared" si="28"/>
        <v>11.4</v>
      </c>
      <c r="Y16" s="201">
        <f t="shared" si="27"/>
        <v>6</v>
      </c>
      <c r="Z16" s="157">
        <f t="shared" si="7"/>
        <v>0</v>
      </c>
      <c r="AA16" s="157">
        <f t="shared" si="8"/>
        <v>0</v>
      </c>
      <c r="AB16" s="157">
        <f t="shared" si="9"/>
        <v>8</v>
      </c>
      <c r="AC16" s="157">
        <f t="shared" si="10"/>
        <v>0</v>
      </c>
      <c r="AD16" s="157">
        <f t="shared" si="11"/>
        <v>0</v>
      </c>
      <c r="AE16" s="157">
        <f t="shared" si="12"/>
        <v>3.4000000000000004</v>
      </c>
      <c r="AF16" s="157">
        <f t="shared" si="13"/>
        <v>0</v>
      </c>
      <c r="AH16" s="72"/>
      <c r="AI16" s="72"/>
      <c r="AJ16" s="169">
        <f>SUM(AJ18:AJ28)*$AY$3</f>
        <v>0</v>
      </c>
      <c r="AK16" s="169">
        <f>SUM(AK18:AK28)*$AY$3</f>
        <v>0</v>
      </c>
      <c r="AL16" s="169">
        <f>SUM(AL18:AL28)*$AY$2</f>
        <v>0</v>
      </c>
      <c r="AM16" s="169">
        <f>SUM(AM18:AM28)*$AY$4</f>
        <v>4.3637500000000005</v>
      </c>
      <c r="AN16" s="169" t="e">
        <f>SUM(AN18:AN28)*$AY$5</f>
        <v>#REF!</v>
      </c>
      <c r="AO16" s="169">
        <f>SUM(AO18:AO28)*$AY$5</f>
        <v>0.40516666666666673</v>
      </c>
      <c r="AP16" s="169" t="e">
        <f>SUM(AP18:AP28)*$AY$6</f>
        <v>#REF!</v>
      </c>
      <c r="AQ16" s="170" t="e">
        <f>SUM(AQ18:AQ28)</f>
        <v>#REF!</v>
      </c>
      <c r="AR16" s="170" t="e">
        <f>SUM(AR18:AR28)</f>
        <v>#REF!</v>
      </c>
      <c r="AS16" s="170">
        <f t="shared" ref="AS16:AT16" si="29">SUM(AS18:AS28)</f>
        <v>7.25</v>
      </c>
      <c r="AT16" s="170">
        <f t="shared" si="29"/>
        <v>0</v>
      </c>
    </row>
    <row r="17" spans="1:46" s="75" customFormat="1" x14ac:dyDescent="0.25">
      <c r="A17" s="132" t="str">
        <f>Plantilla!A17</f>
        <v>#18</v>
      </c>
      <c r="B17" s="132" t="str">
        <f>Plantilla!B17</f>
        <v>MED</v>
      </c>
      <c r="C17" s="90" t="str">
        <f>Plantilla!D17</f>
        <v>J. Vartiainen</v>
      </c>
      <c r="D17" s="134">
        <f>Plantilla!E17</f>
        <v>19</v>
      </c>
      <c r="E17" s="139">
        <f ca="1">Plantilla!F17</f>
        <v>34</v>
      </c>
      <c r="F17" s="135" t="str">
        <f>Plantilla!G17</f>
        <v>CAB</v>
      </c>
      <c r="G17" s="330">
        <f>Plantilla!H17</f>
        <v>4</v>
      </c>
      <c r="H17" s="102">
        <f>Plantilla!I17</f>
        <v>0.3</v>
      </c>
      <c r="I17" s="185">
        <f>Plantilla!X17</f>
        <v>0</v>
      </c>
      <c r="J17" s="185">
        <f>Plantilla!Y17</f>
        <v>7</v>
      </c>
      <c r="K17" s="185">
        <f>Plantilla!Z17</f>
        <v>7.7111111111111104</v>
      </c>
      <c r="L17" s="185">
        <f>Plantilla!AA17</f>
        <v>1</v>
      </c>
      <c r="M17" s="185">
        <f>Plantilla!AB17</f>
        <v>1</v>
      </c>
      <c r="N17" s="185">
        <f>Plantilla!AC17</f>
        <v>6</v>
      </c>
      <c r="O17" s="185">
        <f>Plantilla!AD17</f>
        <v>1</v>
      </c>
      <c r="P17" s="147">
        <f t="shared" si="21"/>
        <v>19</v>
      </c>
      <c r="Q17" s="148">
        <f t="shared" ca="1" si="22"/>
        <v>41</v>
      </c>
      <c r="R17" s="92">
        <f t="shared" si="5"/>
        <v>0.3</v>
      </c>
      <c r="S17" s="201">
        <f t="shared" si="23"/>
        <v>0</v>
      </c>
      <c r="T17" s="201">
        <f>J17+T$2/5</f>
        <v>7</v>
      </c>
      <c r="U17" s="201">
        <f>K17+U$2/5</f>
        <v>15.71111111111111</v>
      </c>
      <c r="V17" s="201">
        <f t="shared" si="24"/>
        <v>1</v>
      </c>
      <c r="W17" s="201">
        <f t="shared" si="25"/>
        <v>1</v>
      </c>
      <c r="X17" s="201">
        <f>N17+X$2/4</f>
        <v>10.25</v>
      </c>
      <c r="Y17" s="201">
        <f t="shared" si="27"/>
        <v>1</v>
      </c>
      <c r="Z17" s="157">
        <f t="shared" si="7"/>
        <v>0</v>
      </c>
      <c r="AA17" s="157">
        <f t="shared" si="8"/>
        <v>0</v>
      </c>
      <c r="AB17" s="157">
        <f t="shared" si="9"/>
        <v>8</v>
      </c>
      <c r="AC17" s="157">
        <f t="shared" si="10"/>
        <v>0</v>
      </c>
      <c r="AD17" s="157">
        <f t="shared" si="11"/>
        <v>0</v>
      </c>
      <c r="AE17" s="157">
        <f t="shared" si="12"/>
        <v>4.25</v>
      </c>
      <c r="AF17" s="157">
        <f t="shared" si="13"/>
        <v>0</v>
      </c>
      <c r="AH17" s="679">
        <v>550</v>
      </c>
      <c r="AI17" s="680"/>
      <c r="AJ17" s="113" t="s">
        <v>204</v>
      </c>
      <c r="AK17" s="113" t="s">
        <v>205</v>
      </c>
      <c r="AL17" s="113" t="s">
        <v>215</v>
      </c>
      <c r="AM17" s="113" t="s">
        <v>206</v>
      </c>
      <c r="AN17" s="113" t="s">
        <v>207</v>
      </c>
      <c r="AO17" s="113" t="s">
        <v>208</v>
      </c>
      <c r="AP17" s="113" t="s">
        <v>209</v>
      </c>
      <c r="AQ17" s="113" t="s">
        <v>342</v>
      </c>
      <c r="AR17" s="113" t="s">
        <v>343</v>
      </c>
      <c r="AS17" s="113" t="s">
        <v>257</v>
      </c>
      <c r="AT17" s="113" t="s">
        <v>279</v>
      </c>
    </row>
    <row r="18" spans="1:46" s="70" customFormat="1" x14ac:dyDescent="0.25">
      <c r="A18" s="132" t="str">
        <f>Plantilla!A18</f>
        <v>#16</v>
      </c>
      <c r="B18" s="132" t="str">
        <f>Plantilla!B18</f>
        <v>MED</v>
      </c>
      <c r="C18" s="90" t="str">
        <f>Plantilla!D18</f>
        <v>R. Forsyth</v>
      </c>
      <c r="D18" s="134">
        <f>Plantilla!E18</f>
        <v>19</v>
      </c>
      <c r="E18" s="139">
        <f ca="1">Plantilla!F18</f>
        <v>29</v>
      </c>
      <c r="F18" s="135" t="str">
        <f>Plantilla!G18</f>
        <v>POT</v>
      </c>
      <c r="G18" s="330">
        <f>Plantilla!H18</f>
        <v>4</v>
      </c>
      <c r="H18" s="102">
        <f>Plantilla!I18</f>
        <v>1.8</v>
      </c>
      <c r="I18" s="185">
        <f>Plantilla!X18</f>
        <v>0</v>
      </c>
      <c r="J18" s="185">
        <f>Plantilla!Y18</f>
        <v>7</v>
      </c>
      <c r="K18" s="185">
        <f>Plantilla!Z18</f>
        <v>8</v>
      </c>
      <c r="L18" s="185">
        <f>Plantilla!AA18</f>
        <v>2</v>
      </c>
      <c r="M18" s="185">
        <f>Plantilla!AB18</f>
        <v>4</v>
      </c>
      <c r="N18" s="185">
        <f>Plantilla!AC18</f>
        <v>6</v>
      </c>
      <c r="O18" s="185">
        <f>Plantilla!AD18</f>
        <v>2</v>
      </c>
      <c r="P18" s="147">
        <f t="shared" si="21"/>
        <v>19</v>
      </c>
      <c r="Q18" s="148">
        <f t="shared" ca="1" si="22"/>
        <v>36</v>
      </c>
      <c r="R18" s="92">
        <f t="shared" si="5"/>
        <v>1.8</v>
      </c>
      <c r="S18" s="201">
        <f t="shared" si="23"/>
        <v>0</v>
      </c>
      <c r="T18" s="201">
        <f>J18+T$2/5</f>
        <v>7</v>
      </c>
      <c r="U18" s="201">
        <f>K18+U$2/5</f>
        <v>16</v>
      </c>
      <c r="V18" s="201">
        <f t="shared" si="24"/>
        <v>2</v>
      </c>
      <c r="W18" s="201">
        <f t="shared" si="25"/>
        <v>4</v>
      </c>
      <c r="X18" s="201">
        <f>N18+X$2/4</f>
        <v>10.25</v>
      </c>
      <c r="Y18" s="201">
        <f t="shared" si="27"/>
        <v>2</v>
      </c>
      <c r="Z18" s="157">
        <f t="shared" si="7"/>
        <v>0</v>
      </c>
      <c r="AA18" s="157">
        <f t="shared" si="8"/>
        <v>0</v>
      </c>
      <c r="AB18" s="157">
        <f t="shared" si="9"/>
        <v>8</v>
      </c>
      <c r="AC18" s="157">
        <f t="shared" si="10"/>
        <v>0</v>
      </c>
      <c r="AD18" s="157">
        <f t="shared" si="11"/>
        <v>0</v>
      </c>
      <c r="AE18" s="157">
        <f t="shared" si="12"/>
        <v>4.25</v>
      </c>
      <c r="AF18" s="157">
        <f t="shared" si="13"/>
        <v>0</v>
      </c>
      <c r="AH18" s="158" t="s">
        <v>1</v>
      </c>
      <c r="AI18" s="99"/>
      <c r="AJ18" s="163">
        <v>0</v>
      </c>
      <c r="AK18" s="163">
        <v>0</v>
      </c>
      <c r="AL18" s="163">
        <v>0</v>
      </c>
      <c r="AM18" s="163">
        <v>0</v>
      </c>
      <c r="AN18" s="163">
        <f t="shared" ref="AK18:AT18" si="30">AN4</f>
        <v>0</v>
      </c>
      <c r="AO18" s="163">
        <f t="shared" si="30"/>
        <v>0</v>
      </c>
      <c r="AP18" s="163">
        <f t="shared" si="30"/>
        <v>0</v>
      </c>
      <c r="AQ18" s="226">
        <f t="shared" si="30"/>
        <v>0</v>
      </c>
      <c r="AR18" s="226">
        <f t="shared" si="30"/>
        <v>0</v>
      </c>
      <c r="AS18" s="166">
        <f t="shared" si="30"/>
        <v>0</v>
      </c>
      <c r="AT18" s="166">
        <f t="shared" si="30"/>
        <v>0</v>
      </c>
    </row>
    <row r="19" spans="1:46" s="70" customFormat="1" x14ac:dyDescent="0.25">
      <c r="A19" s="132" t="str">
        <f>Plantilla!A19</f>
        <v>#21</v>
      </c>
      <c r="B19" s="132" t="str">
        <f>Plantilla!B19</f>
        <v>EXT</v>
      </c>
      <c r="C19" s="90" t="str">
        <f>Plantilla!D19</f>
        <v>M. Grupinski</v>
      </c>
      <c r="D19" s="134">
        <f>Plantilla!E19</f>
        <v>22</v>
      </c>
      <c r="E19" s="139">
        <f ca="1">Plantilla!F19</f>
        <v>99</v>
      </c>
      <c r="F19" s="135" t="str">
        <f>Plantilla!G19</f>
        <v>CAB</v>
      </c>
      <c r="G19" s="330">
        <f>Plantilla!H19</f>
        <v>5</v>
      </c>
      <c r="H19" s="102">
        <f>Plantilla!I19</f>
        <v>1.6</v>
      </c>
      <c r="I19" s="185">
        <f>Plantilla!X19</f>
        <v>0</v>
      </c>
      <c r="J19" s="185">
        <f>Plantilla!Y19</f>
        <v>3</v>
      </c>
      <c r="K19" s="185">
        <f>Plantilla!Z19</f>
        <v>8</v>
      </c>
      <c r="L19" s="185">
        <f>Plantilla!AA19</f>
        <v>9</v>
      </c>
      <c r="M19" s="185">
        <f>Plantilla!AB19</f>
        <v>6</v>
      </c>
      <c r="N19" s="185">
        <f>Plantilla!AC19</f>
        <v>3</v>
      </c>
      <c r="O19" s="185">
        <f>Plantilla!AD19</f>
        <v>3</v>
      </c>
      <c r="P19" s="147">
        <f t="shared" si="21"/>
        <v>22</v>
      </c>
      <c r="Q19" s="148">
        <f t="shared" ca="1" si="22"/>
        <v>106</v>
      </c>
      <c r="R19" s="92">
        <f t="shared" si="5"/>
        <v>1.6</v>
      </c>
      <c r="S19" s="201">
        <f t="shared" si="23"/>
        <v>0</v>
      </c>
      <c r="T19" s="201">
        <f>J19+T$2/4</f>
        <v>3</v>
      </c>
      <c r="U19" s="201">
        <f>K19+U$2/4</f>
        <v>18</v>
      </c>
      <c r="V19" s="201">
        <f t="shared" si="24"/>
        <v>9</v>
      </c>
      <c r="W19" s="201">
        <f t="shared" si="25"/>
        <v>6</v>
      </c>
      <c r="X19" s="201">
        <f>N19+X$2/6</f>
        <v>5.8333333333333339</v>
      </c>
      <c r="Y19" s="201">
        <f t="shared" si="27"/>
        <v>3</v>
      </c>
      <c r="Z19" s="157">
        <f t="shared" si="7"/>
        <v>0</v>
      </c>
      <c r="AA19" s="157">
        <f t="shared" si="8"/>
        <v>0</v>
      </c>
      <c r="AB19" s="157">
        <f t="shared" si="9"/>
        <v>10</v>
      </c>
      <c r="AC19" s="157">
        <f t="shared" si="10"/>
        <v>0</v>
      </c>
      <c r="AD19" s="157">
        <f t="shared" si="11"/>
        <v>0</v>
      </c>
      <c r="AE19" s="157">
        <f t="shared" si="12"/>
        <v>2.8333333333333339</v>
      </c>
      <c r="AF19" s="157">
        <f t="shared" si="13"/>
        <v>0</v>
      </c>
      <c r="AH19" s="159" t="s">
        <v>260</v>
      </c>
      <c r="AI19" s="100"/>
      <c r="AJ19" s="163">
        <v>0</v>
      </c>
      <c r="AK19" s="163">
        <v>0</v>
      </c>
      <c r="AL19" s="163">
        <v>0</v>
      </c>
      <c r="AM19" s="164">
        <v>0</v>
      </c>
      <c r="AN19" s="164">
        <f>AC19*0.588</f>
        <v>0</v>
      </c>
      <c r="AO19" s="164">
        <v>0</v>
      </c>
      <c r="AP19" s="164">
        <v>0</v>
      </c>
      <c r="AQ19" s="167">
        <f>AQ5</f>
        <v>0.14166666666666669</v>
      </c>
      <c r="AR19" s="167">
        <f>AR5</f>
        <v>0</v>
      </c>
      <c r="AS19" s="167">
        <f>((T19+1)+(W19+1)*2)/8</f>
        <v>2.25</v>
      </c>
      <c r="AT19" s="167">
        <f>((AA19)+(AD19)*2)/8</f>
        <v>0</v>
      </c>
    </row>
    <row r="20" spans="1:46" s="69" customFormat="1" x14ac:dyDescent="0.25">
      <c r="A20" s="132" t="str">
        <f>Plantilla!A20</f>
        <v>#19</v>
      </c>
      <c r="B20" s="132" t="str">
        <f>Plantilla!B20</f>
        <v>EXT</v>
      </c>
      <c r="C20" s="90" t="str">
        <f>Plantilla!D20</f>
        <v>V. Godoi</v>
      </c>
      <c r="D20" s="134">
        <f>Plantilla!E20</f>
        <v>25</v>
      </c>
      <c r="E20" s="139">
        <f ca="1">Plantilla!F20</f>
        <v>105</v>
      </c>
      <c r="F20" s="135"/>
      <c r="G20" s="330">
        <f>Plantilla!H20</f>
        <v>5</v>
      </c>
      <c r="H20" s="102">
        <f>Plantilla!I20</f>
        <v>4.5</v>
      </c>
      <c r="I20" s="185">
        <f>Plantilla!X20</f>
        <v>0</v>
      </c>
      <c r="J20" s="185">
        <f>Plantilla!Y20</f>
        <v>3</v>
      </c>
      <c r="K20" s="185">
        <f>Plantilla!Z20</f>
        <v>9.1538461538461533</v>
      </c>
      <c r="L20" s="185">
        <f>Plantilla!AA20</f>
        <v>9</v>
      </c>
      <c r="M20" s="185">
        <f>Plantilla!AB20</f>
        <v>5</v>
      </c>
      <c r="N20" s="185">
        <f>Plantilla!AC20</f>
        <v>5</v>
      </c>
      <c r="O20" s="185">
        <f>Plantilla!AD20</f>
        <v>1</v>
      </c>
      <c r="P20" s="147">
        <f t="shared" si="21"/>
        <v>25</v>
      </c>
      <c r="Q20" s="148">
        <f t="shared" ca="1" si="22"/>
        <v>112</v>
      </c>
      <c r="R20" s="92">
        <f t="shared" si="5"/>
        <v>4.5</v>
      </c>
      <c r="S20" s="201">
        <f t="shared" si="23"/>
        <v>0</v>
      </c>
      <c r="T20" s="201">
        <f>J20+T$2/3</f>
        <v>3</v>
      </c>
      <c r="U20" s="201">
        <f>K20+U$2/5</f>
        <v>17.153846153846153</v>
      </c>
      <c r="V20" s="201">
        <f t="shared" si="24"/>
        <v>9</v>
      </c>
      <c r="W20" s="201">
        <f t="shared" si="25"/>
        <v>5</v>
      </c>
      <c r="X20" s="201">
        <f t="shared" si="28"/>
        <v>8.4</v>
      </c>
      <c r="Y20" s="201">
        <f t="shared" si="27"/>
        <v>1</v>
      </c>
      <c r="Z20" s="157">
        <f t="shared" si="7"/>
        <v>0</v>
      </c>
      <c r="AA20" s="157">
        <f t="shared" si="8"/>
        <v>0</v>
      </c>
      <c r="AB20" s="157">
        <f t="shared" si="9"/>
        <v>8</v>
      </c>
      <c r="AC20" s="157">
        <f t="shared" si="10"/>
        <v>0</v>
      </c>
      <c r="AD20" s="157">
        <f t="shared" si="11"/>
        <v>0</v>
      </c>
      <c r="AE20" s="157">
        <f t="shared" si="12"/>
        <v>3.4000000000000004</v>
      </c>
      <c r="AF20" s="157">
        <f t="shared" si="13"/>
        <v>0</v>
      </c>
      <c r="AH20" s="160" t="s">
        <v>276</v>
      </c>
      <c r="AI20" s="79"/>
      <c r="AJ20" s="163">
        <v>0</v>
      </c>
      <c r="AK20" s="163">
        <v>0</v>
      </c>
      <c r="AL20" s="163">
        <v>0</v>
      </c>
      <c r="AM20" s="165">
        <v>0</v>
      </c>
      <c r="AN20" s="165">
        <f>(AD22*0.142)+(AC22*0.221)+(AE22*0.26)</f>
        <v>0.7366666666666668</v>
      </c>
      <c r="AO20" s="163">
        <f>AN20</f>
        <v>0.7366666666666668</v>
      </c>
      <c r="AP20" s="165">
        <f>(AD22*0.369)+(AE22*1)</f>
        <v>2.8333333333333339</v>
      </c>
      <c r="AQ20" s="168">
        <f>(0.5*AE22+0.3*AF22)/10</f>
        <v>0.14166666666666669</v>
      </c>
      <c r="AR20" s="168">
        <f>(0.4*AA22+0.3*AF22)/10</f>
        <v>0</v>
      </c>
      <c r="AS20" s="167">
        <f>((T22+1)+(W22+1)*2)/8</f>
        <v>2.75</v>
      </c>
      <c r="AT20" s="167">
        <f>((AA22)+(AD22)*2)/8</f>
        <v>0</v>
      </c>
    </row>
    <row r="21" spans="1:46" s="78" customFormat="1" x14ac:dyDescent="0.25">
      <c r="A21" s="132" t="str">
        <f>Plantilla!A21</f>
        <v>#20</v>
      </c>
      <c r="B21" s="132" t="str">
        <f>Plantilla!B21</f>
        <v>EXT</v>
      </c>
      <c r="C21" s="90" t="str">
        <f>Plantilla!D21</f>
        <v>P. Tuderek</v>
      </c>
      <c r="D21" s="134">
        <f>Plantilla!E21</f>
        <v>18</v>
      </c>
      <c r="E21" s="139">
        <f ca="1">Plantilla!F21</f>
        <v>86</v>
      </c>
      <c r="F21" s="135" t="str">
        <f>Plantilla!G21</f>
        <v>CAB</v>
      </c>
      <c r="G21" s="330">
        <f>Plantilla!H21</f>
        <v>4</v>
      </c>
      <c r="H21" s="102">
        <f>Plantilla!I21</f>
        <v>0.6</v>
      </c>
      <c r="I21" s="185">
        <f>Plantilla!X21</f>
        <v>0</v>
      </c>
      <c r="J21" s="185">
        <f>Plantilla!Y21</f>
        <v>6</v>
      </c>
      <c r="K21" s="185">
        <f>Plantilla!Z21</f>
        <v>6.4083333333333332</v>
      </c>
      <c r="L21" s="185">
        <f>Plantilla!AA21</f>
        <v>2</v>
      </c>
      <c r="M21" s="185">
        <f>Plantilla!AB21</f>
        <v>3</v>
      </c>
      <c r="N21" s="185">
        <f>Plantilla!AC21</f>
        <v>6</v>
      </c>
      <c r="O21" s="185">
        <f>Plantilla!AD21</f>
        <v>8</v>
      </c>
      <c r="P21" s="147">
        <f t="shared" si="21"/>
        <v>18</v>
      </c>
      <c r="Q21" s="148">
        <f t="shared" ca="1" si="22"/>
        <v>93</v>
      </c>
      <c r="R21" s="92">
        <f t="shared" si="5"/>
        <v>0.6</v>
      </c>
      <c r="S21" s="201">
        <f t="shared" si="23"/>
        <v>0</v>
      </c>
      <c r="T21" s="201">
        <f>J21+T$2/5</f>
        <v>6</v>
      </c>
      <c r="U21" s="201">
        <f>K21+U$2/4</f>
        <v>16.408333333333331</v>
      </c>
      <c r="V21" s="201">
        <f t="shared" si="24"/>
        <v>2</v>
      </c>
      <c r="W21" s="201">
        <f t="shared" si="25"/>
        <v>3</v>
      </c>
      <c r="X21" s="201">
        <f>N21+X$2/4</f>
        <v>10.25</v>
      </c>
      <c r="Y21" s="201">
        <f t="shared" si="27"/>
        <v>8</v>
      </c>
      <c r="Z21" s="157">
        <f t="shared" si="7"/>
        <v>0</v>
      </c>
      <c r="AA21" s="157">
        <f t="shared" si="8"/>
        <v>0</v>
      </c>
      <c r="AB21" s="157">
        <f t="shared" si="9"/>
        <v>9.9999999999999982</v>
      </c>
      <c r="AC21" s="157">
        <f t="shared" si="10"/>
        <v>0</v>
      </c>
      <c r="AD21" s="157">
        <f t="shared" si="11"/>
        <v>0</v>
      </c>
      <c r="AE21" s="157">
        <f t="shared" si="12"/>
        <v>4.25</v>
      </c>
      <c r="AF21" s="157">
        <f t="shared" si="13"/>
        <v>0</v>
      </c>
      <c r="AH21" s="160" t="s">
        <v>276</v>
      </c>
      <c r="AI21" s="79"/>
      <c r="AJ21" s="163">
        <v>0</v>
      </c>
      <c r="AK21" s="163">
        <v>0</v>
      </c>
      <c r="AL21" s="163">
        <v>0</v>
      </c>
      <c r="AM21" s="165">
        <v>0</v>
      </c>
      <c r="AN21" s="165">
        <v>0</v>
      </c>
      <c r="AO21" s="165">
        <f>AC8*0.588</f>
        <v>0</v>
      </c>
      <c r="AP21" s="165">
        <v>0</v>
      </c>
      <c r="AQ21" s="168">
        <f>AQ5</f>
        <v>0.14166666666666669</v>
      </c>
      <c r="AR21" s="168">
        <f>AR5</f>
        <v>0</v>
      </c>
      <c r="AS21" s="168">
        <f>AS5</f>
        <v>2.25</v>
      </c>
      <c r="AT21" s="168">
        <f>AT5</f>
        <v>0</v>
      </c>
    </row>
    <row r="22" spans="1:46" s="75" customFormat="1" x14ac:dyDescent="0.25">
      <c r="A22" s="132" t="str">
        <f>Plantilla!A22</f>
        <v>#18</v>
      </c>
      <c r="B22" s="132" t="str">
        <f>Plantilla!B22</f>
        <v>EXT</v>
      </c>
      <c r="C22" s="90" t="str">
        <f>Plantilla!D22</f>
        <v>G. Stoychev</v>
      </c>
      <c r="D22" s="134">
        <f>Plantilla!E22</f>
        <v>23</v>
      </c>
      <c r="E22" s="139">
        <f ca="1">Plantilla!F22</f>
        <v>101</v>
      </c>
      <c r="F22" s="135" t="str">
        <f>Plantilla!G22</f>
        <v>IMP</v>
      </c>
      <c r="G22" s="330">
        <f>Plantilla!H22</f>
        <v>3</v>
      </c>
      <c r="H22" s="102">
        <f>Plantilla!I22</f>
        <v>3.7</v>
      </c>
      <c r="I22" s="185">
        <f>Plantilla!X22</f>
        <v>0</v>
      </c>
      <c r="J22" s="185">
        <f>Plantilla!Y22</f>
        <v>9</v>
      </c>
      <c r="K22" s="185">
        <f>Plantilla!Z22</f>
        <v>8</v>
      </c>
      <c r="L22" s="185">
        <f>Plantilla!AA22</f>
        <v>9</v>
      </c>
      <c r="M22" s="185">
        <f>Plantilla!AB22</f>
        <v>5</v>
      </c>
      <c r="N22" s="185">
        <f>Plantilla!AC22</f>
        <v>5</v>
      </c>
      <c r="O22" s="185">
        <f>Plantilla!AD22</f>
        <v>3</v>
      </c>
      <c r="P22" s="147">
        <f t="shared" si="21"/>
        <v>23</v>
      </c>
      <c r="Q22" s="148">
        <f t="shared" ca="1" si="22"/>
        <v>108</v>
      </c>
      <c r="R22" s="92">
        <f t="shared" si="5"/>
        <v>3.7</v>
      </c>
      <c r="S22" s="201">
        <f t="shared" si="23"/>
        <v>0</v>
      </c>
      <c r="T22" s="201">
        <f>J22+T$2/4</f>
        <v>9</v>
      </c>
      <c r="U22" s="201">
        <f>K22+U$2/4</f>
        <v>18</v>
      </c>
      <c r="V22" s="201">
        <f t="shared" si="24"/>
        <v>9</v>
      </c>
      <c r="W22" s="201">
        <f t="shared" si="25"/>
        <v>5</v>
      </c>
      <c r="X22" s="201">
        <f>N22+X$2/6</f>
        <v>7.8333333333333339</v>
      </c>
      <c r="Y22" s="201">
        <f t="shared" si="27"/>
        <v>3</v>
      </c>
      <c r="Z22" s="157">
        <f t="shared" si="7"/>
        <v>0</v>
      </c>
      <c r="AA22" s="157">
        <f t="shared" si="8"/>
        <v>0</v>
      </c>
      <c r="AB22" s="157">
        <f t="shared" si="9"/>
        <v>10</v>
      </c>
      <c r="AC22" s="157">
        <f t="shared" si="10"/>
        <v>0</v>
      </c>
      <c r="AD22" s="157">
        <f t="shared" si="11"/>
        <v>0</v>
      </c>
      <c r="AE22" s="157">
        <f t="shared" si="12"/>
        <v>2.8333333333333339</v>
      </c>
      <c r="AF22" s="157">
        <f t="shared" si="13"/>
        <v>0</v>
      </c>
      <c r="AH22" s="160" t="s">
        <v>276</v>
      </c>
      <c r="AI22" s="99"/>
      <c r="AJ22" s="163">
        <v>0</v>
      </c>
      <c r="AK22" s="163">
        <v>0</v>
      </c>
      <c r="AL22" s="163">
        <v>0</v>
      </c>
      <c r="AM22" s="163">
        <v>0</v>
      </c>
      <c r="AN22" s="163" t="e">
        <f>AN8</f>
        <v>#REF!</v>
      </c>
      <c r="AO22" s="163">
        <f t="shared" ref="AK22:AP22" si="31">AO8</f>
        <v>0</v>
      </c>
      <c r="AP22" s="163" t="e">
        <f t="shared" si="31"/>
        <v>#REF!</v>
      </c>
      <c r="AQ22" s="166" t="e">
        <f>AQ8</f>
        <v>#REF!</v>
      </c>
      <c r="AR22" s="166" t="e">
        <f t="shared" ref="AR22:AT22" si="32">AR8</f>
        <v>#REF!</v>
      </c>
      <c r="AS22" s="166">
        <f t="shared" si="32"/>
        <v>0</v>
      </c>
      <c r="AT22" s="166">
        <f t="shared" si="32"/>
        <v>0</v>
      </c>
    </row>
    <row r="23" spans="1:46" s="82" customFormat="1" x14ac:dyDescent="0.25">
      <c r="A23" s="132" t="str">
        <f>Plantilla!A23</f>
        <v>#11</v>
      </c>
      <c r="B23" s="132" t="str">
        <f>Plantilla!B23</f>
        <v>DAV</v>
      </c>
      <c r="C23" s="90" t="str">
        <f>Plantilla!D23</f>
        <v>K. Helms</v>
      </c>
      <c r="D23" s="134">
        <f>Plantilla!E23</f>
        <v>35</v>
      </c>
      <c r="E23" s="139">
        <f ca="1">Plantilla!F23</f>
        <v>49</v>
      </c>
      <c r="F23" s="135" t="str">
        <f>Plantilla!G23</f>
        <v>TEC</v>
      </c>
      <c r="G23" s="330">
        <f>Plantilla!H23</f>
        <v>2</v>
      </c>
      <c r="H23" s="102">
        <f>Plantilla!I23</f>
        <v>13.5</v>
      </c>
      <c r="I23" s="185">
        <f>Plantilla!X23</f>
        <v>0</v>
      </c>
      <c r="J23" s="185">
        <f>Plantilla!Y23</f>
        <v>7.2503030303030309</v>
      </c>
      <c r="K23" s="185">
        <f>Plantilla!Z23</f>
        <v>10.600000000000005</v>
      </c>
      <c r="L23" s="185">
        <f>Plantilla!AA23</f>
        <v>12.95</v>
      </c>
      <c r="M23" s="185">
        <f>Plantilla!AB23</f>
        <v>9.9499999999999993</v>
      </c>
      <c r="N23" s="185">
        <f>Plantilla!AC23</f>
        <v>3.95</v>
      </c>
      <c r="O23" s="185">
        <f>Plantilla!AD23</f>
        <v>18</v>
      </c>
      <c r="P23" s="147">
        <f t="shared" si="21"/>
        <v>35</v>
      </c>
      <c r="Q23" s="148">
        <f t="shared" ca="1" si="22"/>
        <v>56</v>
      </c>
      <c r="R23" s="92">
        <f t="shared" si="5"/>
        <v>13.5</v>
      </c>
      <c r="S23" s="201">
        <f t="shared" si="23"/>
        <v>0</v>
      </c>
      <c r="T23" s="201">
        <f t="shared" ref="T23" si="33">J23</f>
        <v>7.2503030303030309</v>
      </c>
      <c r="U23" s="201">
        <f t="shared" ref="U23" si="34">K23</f>
        <v>10.600000000000005</v>
      </c>
      <c r="V23" s="201">
        <f t="shared" si="24"/>
        <v>12.95</v>
      </c>
      <c r="W23" s="201">
        <f t="shared" si="25"/>
        <v>9.9499999999999993</v>
      </c>
      <c r="X23" s="201">
        <f t="shared" ref="X23" si="35">N23</f>
        <v>3.95</v>
      </c>
      <c r="Y23" s="201">
        <f t="shared" ref="Y23" si="36">O23</f>
        <v>18</v>
      </c>
      <c r="Z23" s="157">
        <f t="shared" si="7"/>
        <v>0</v>
      </c>
      <c r="AA23" s="157">
        <f t="shared" si="8"/>
        <v>0</v>
      </c>
      <c r="AB23" s="157">
        <f t="shared" si="9"/>
        <v>0</v>
      </c>
      <c r="AC23" s="157">
        <f t="shared" si="10"/>
        <v>0</v>
      </c>
      <c r="AD23" s="157">
        <f t="shared" si="11"/>
        <v>0</v>
      </c>
      <c r="AE23" s="157">
        <f t="shared" si="12"/>
        <v>0</v>
      </c>
      <c r="AF23" s="157">
        <f t="shared" si="13"/>
        <v>0</v>
      </c>
      <c r="AH23" s="159" t="s">
        <v>260</v>
      </c>
      <c r="AI23" s="79"/>
      <c r="AJ23" s="163">
        <v>0</v>
      </c>
      <c r="AK23" s="163">
        <v>0</v>
      </c>
      <c r="AL23" s="163">
        <v>0</v>
      </c>
      <c r="AM23" s="165">
        <v>0</v>
      </c>
      <c r="AN23" s="165">
        <f t="shared" ref="AK23:AT23" si="37">AN9</f>
        <v>0</v>
      </c>
      <c r="AO23" s="165">
        <f t="shared" si="37"/>
        <v>0</v>
      </c>
      <c r="AP23" s="165">
        <f t="shared" si="37"/>
        <v>0</v>
      </c>
      <c r="AQ23" s="168">
        <f t="shared" si="37"/>
        <v>0.17</v>
      </c>
      <c r="AR23" s="168">
        <f t="shared" si="37"/>
        <v>0</v>
      </c>
      <c r="AS23" s="168">
        <f t="shared" si="37"/>
        <v>0</v>
      </c>
      <c r="AT23" s="168">
        <f t="shared" si="37"/>
        <v>0</v>
      </c>
    </row>
    <row r="24" spans="1:46" s="71" customFormat="1" x14ac:dyDescent="0.25">
      <c r="A24" s="132" t="str">
        <f>Plantilla!A24</f>
        <v>#10</v>
      </c>
      <c r="B24" s="132" t="str">
        <f>Plantilla!B24</f>
        <v>DAV</v>
      </c>
      <c r="C24" s="90" t="str">
        <f>Plantilla!D24</f>
        <v>S. Zobbe</v>
      </c>
      <c r="D24" s="134">
        <f>Plantilla!E24</f>
        <v>32</v>
      </c>
      <c r="E24" s="139">
        <f ca="1">Plantilla!F24</f>
        <v>64</v>
      </c>
      <c r="F24" s="135" t="str">
        <f>Plantilla!G24</f>
        <v>CAB</v>
      </c>
      <c r="G24" s="330">
        <f>Plantilla!H24</f>
        <v>2</v>
      </c>
      <c r="H24" s="102">
        <f>Plantilla!I24</f>
        <v>13</v>
      </c>
      <c r="I24" s="185">
        <f>Plantilla!X24</f>
        <v>0</v>
      </c>
      <c r="J24" s="185">
        <f>Plantilla!Y24</f>
        <v>8.3599999999999977</v>
      </c>
      <c r="K24" s="185">
        <f>Plantilla!Z24</f>
        <v>12.253412698412699</v>
      </c>
      <c r="L24" s="185">
        <f>Plantilla!AA24</f>
        <v>12.95</v>
      </c>
      <c r="M24" s="185">
        <f>Plantilla!AB24</f>
        <v>10.24</v>
      </c>
      <c r="N24" s="185">
        <f>Plantilla!AC24</f>
        <v>6.95</v>
      </c>
      <c r="O24" s="185">
        <f>Plantilla!AD24</f>
        <v>16</v>
      </c>
      <c r="P24" s="147">
        <f t="shared" si="21"/>
        <v>32</v>
      </c>
      <c r="Q24" s="148">
        <f t="shared" ca="1" si="22"/>
        <v>71</v>
      </c>
      <c r="R24" s="92">
        <f t="shared" si="5"/>
        <v>13</v>
      </c>
      <c r="S24" s="201">
        <f t="shared" ref="S24:S27" si="38">I24</f>
        <v>0</v>
      </c>
      <c r="T24" s="201">
        <f t="shared" ref="T24:T27" si="39">J24</f>
        <v>8.3599999999999977</v>
      </c>
      <c r="U24" s="201">
        <f t="shared" ref="U24:U27" si="40">K24</f>
        <v>12.253412698412699</v>
      </c>
      <c r="V24" s="201">
        <f t="shared" ref="V24:V27" si="41">L24</f>
        <v>12.95</v>
      </c>
      <c r="W24" s="201">
        <f t="shared" ref="W24:W27" si="42">M24</f>
        <v>10.24</v>
      </c>
      <c r="X24" s="201">
        <f t="shared" ref="X24:X27" si="43">N24</f>
        <v>6.95</v>
      </c>
      <c r="Y24" s="201">
        <f t="shared" ref="Y24:Y27" si="44">O24</f>
        <v>16</v>
      </c>
      <c r="Z24" s="157">
        <f t="shared" si="7"/>
        <v>0</v>
      </c>
      <c r="AA24" s="157">
        <f t="shared" si="8"/>
        <v>0</v>
      </c>
      <c r="AB24" s="157">
        <f t="shared" si="9"/>
        <v>0</v>
      </c>
      <c r="AC24" s="157">
        <f t="shared" si="10"/>
        <v>0</v>
      </c>
      <c r="AD24" s="157">
        <f t="shared" si="11"/>
        <v>0</v>
      </c>
      <c r="AE24" s="157">
        <f t="shared" si="12"/>
        <v>0</v>
      </c>
      <c r="AF24" s="157">
        <f t="shared" si="13"/>
        <v>0</v>
      </c>
      <c r="AH24" s="160" t="s">
        <v>353</v>
      </c>
      <c r="AI24" s="79" t="str">
        <f>AI9</f>
        <v>G. Piscaer</v>
      </c>
      <c r="AJ24" s="165">
        <f>AJ9</f>
        <v>0</v>
      </c>
      <c r="AK24" s="165">
        <f t="shared" ref="AK24:AL24" si="45">AK9</f>
        <v>0</v>
      </c>
      <c r="AL24" s="165">
        <f t="shared" si="45"/>
        <v>0</v>
      </c>
      <c r="AM24" s="165">
        <f>AM9</f>
        <v>8.0000000000000018</v>
      </c>
      <c r="AN24" s="165">
        <f t="shared" ref="AK24:AP24" si="46">AN10</f>
        <v>0</v>
      </c>
      <c r="AO24" s="165">
        <f t="shared" si="46"/>
        <v>0</v>
      </c>
      <c r="AP24" s="165">
        <f t="shared" si="46"/>
        <v>1.054</v>
      </c>
      <c r="AQ24" s="168">
        <f>AQ10</f>
        <v>0.17</v>
      </c>
      <c r="AR24" s="168">
        <f t="shared" ref="AR24:AT24" si="47">AR10</f>
        <v>0</v>
      </c>
      <c r="AS24" s="168">
        <f t="shared" si="47"/>
        <v>0</v>
      </c>
      <c r="AT24" s="168">
        <f t="shared" si="47"/>
        <v>0</v>
      </c>
    </row>
    <row r="25" spans="1:46" s="69" customFormat="1" x14ac:dyDescent="0.25">
      <c r="A25" s="132" t="str">
        <f>Plantilla!A25</f>
        <v>#5</v>
      </c>
      <c r="B25" s="132" t="str">
        <f>Plantilla!B25</f>
        <v>DAV</v>
      </c>
      <c r="C25" s="90" t="str">
        <f>Plantilla!D25</f>
        <v>L. Bauman</v>
      </c>
      <c r="D25" s="134">
        <f>Plantilla!E25</f>
        <v>35</v>
      </c>
      <c r="E25" s="139">
        <f ca="1">Plantilla!F25</f>
        <v>64</v>
      </c>
      <c r="F25" s="135"/>
      <c r="G25" s="330">
        <f>Plantilla!H25</f>
        <v>0</v>
      </c>
      <c r="H25" s="102">
        <f>Plantilla!I25</f>
        <v>12</v>
      </c>
      <c r="I25" s="185">
        <f>Plantilla!X25</f>
        <v>0</v>
      </c>
      <c r="J25" s="185">
        <f>Plantilla!Y25</f>
        <v>5.95</v>
      </c>
      <c r="K25" s="185">
        <f>Plantilla!Z25</f>
        <v>14.1</v>
      </c>
      <c r="L25" s="185">
        <f>Plantilla!AA25</f>
        <v>2.95</v>
      </c>
      <c r="M25" s="185">
        <f>Plantilla!AB25</f>
        <v>8.9499999999999993</v>
      </c>
      <c r="N25" s="185">
        <f>Plantilla!AC25</f>
        <v>5.95</v>
      </c>
      <c r="O25" s="185">
        <f>Plantilla!AD25</f>
        <v>16.95</v>
      </c>
      <c r="P25" s="147">
        <f t="shared" si="21"/>
        <v>35</v>
      </c>
      <c r="Q25" s="148">
        <f t="shared" ca="1" si="22"/>
        <v>71</v>
      </c>
      <c r="R25" s="92">
        <f t="shared" si="5"/>
        <v>12</v>
      </c>
      <c r="S25" s="201">
        <f t="shared" si="38"/>
        <v>0</v>
      </c>
      <c r="T25" s="201">
        <f t="shared" si="39"/>
        <v>5.95</v>
      </c>
      <c r="U25" s="201">
        <f t="shared" si="40"/>
        <v>14.1</v>
      </c>
      <c r="V25" s="201">
        <f t="shared" si="41"/>
        <v>2.95</v>
      </c>
      <c r="W25" s="201">
        <f t="shared" si="42"/>
        <v>8.9499999999999993</v>
      </c>
      <c r="X25" s="201">
        <f t="shared" si="43"/>
        <v>5.95</v>
      </c>
      <c r="Y25" s="201">
        <f t="shared" si="44"/>
        <v>16.95</v>
      </c>
      <c r="Z25" s="157">
        <f t="shared" si="7"/>
        <v>0</v>
      </c>
      <c r="AA25" s="157">
        <f t="shared" si="8"/>
        <v>0</v>
      </c>
      <c r="AB25" s="157">
        <f t="shared" si="9"/>
        <v>0</v>
      </c>
      <c r="AC25" s="157">
        <f t="shared" si="10"/>
        <v>0</v>
      </c>
      <c r="AD25" s="157">
        <f t="shared" si="11"/>
        <v>0</v>
      </c>
      <c r="AE25" s="157">
        <f t="shared" si="12"/>
        <v>0</v>
      </c>
      <c r="AF25" s="157">
        <f t="shared" si="13"/>
        <v>0</v>
      </c>
      <c r="AH25" s="160" t="s">
        <v>680</v>
      </c>
      <c r="AI25" s="79" t="str">
        <f t="shared" ref="AI25:AM28" si="48">AI10</f>
        <v>R. Forsyth</v>
      </c>
      <c r="AJ25" s="165">
        <f t="shared" si="48"/>
        <v>0</v>
      </c>
      <c r="AK25" s="165">
        <f t="shared" si="48"/>
        <v>0</v>
      </c>
      <c r="AL25" s="165">
        <f t="shared" si="48"/>
        <v>0</v>
      </c>
      <c r="AM25" s="165">
        <f t="shared" si="48"/>
        <v>7.5519999999999996</v>
      </c>
      <c r="AN25" s="165">
        <f t="shared" ref="AK25:AT25" si="49">AN11</f>
        <v>0</v>
      </c>
      <c r="AO25" s="165">
        <f t="shared" si="49"/>
        <v>0</v>
      </c>
      <c r="AP25" s="165">
        <f t="shared" si="49"/>
        <v>0</v>
      </c>
      <c r="AQ25" s="168">
        <f t="shared" si="49"/>
        <v>0.14166666666666669</v>
      </c>
      <c r="AR25" s="168">
        <f t="shared" si="49"/>
        <v>0</v>
      </c>
      <c r="AS25" s="168">
        <f t="shared" si="49"/>
        <v>0</v>
      </c>
      <c r="AT25" s="168">
        <f t="shared" si="49"/>
        <v>0</v>
      </c>
    </row>
    <row r="26" spans="1:46" s="82" customFormat="1" ht="14.25" customHeight="1" x14ac:dyDescent="0.25">
      <c r="A26" s="132" t="str">
        <f>Plantilla!A26</f>
        <v>#9</v>
      </c>
      <c r="B26" s="132" t="str">
        <f>Plantilla!B26</f>
        <v>DAV</v>
      </c>
      <c r="C26" s="90" t="str">
        <f>Plantilla!D26</f>
        <v>J. Limon</v>
      </c>
      <c r="D26" s="134">
        <f>Plantilla!E26</f>
        <v>34</v>
      </c>
      <c r="E26" s="139">
        <f ca="1">Plantilla!F26</f>
        <v>101</v>
      </c>
      <c r="F26" s="135" t="str">
        <f>Plantilla!G26</f>
        <v>RAP</v>
      </c>
      <c r="G26" s="330">
        <f>Plantilla!H26</f>
        <v>3</v>
      </c>
      <c r="H26" s="102">
        <f>Plantilla!I26</f>
        <v>14.3</v>
      </c>
      <c r="I26" s="185">
        <f>Plantilla!X26</f>
        <v>0</v>
      </c>
      <c r="J26" s="185">
        <f>Plantilla!Y26</f>
        <v>6.8376190476190493</v>
      </c>
      <c r="K26" s="185">
        <f>Plantilla!Z26</f>
        <v>8.9499999999999993</v>
      </c>
      <c r="L26" s="185">
        <f>Plantilla!AA26</f>
        <v>8.7399999999999967</v>
      </c>
      <c r="M26" s="185">
        <f>Plantilla!AB26</f>
        <v>9.9499999999999993</v>
      </c>
      <c r="N26" s="185">
        <f>Plantilla!AC26</f>
        <v>6.95</v>
      </c>
      <c r="O26" s="185">
        <f>Plantilla!AD26</f>
        <v>18.999999999999993</v>
      </c>
      <c r="P26" s="147">
        <f t="shared" si="21"/>
        <v>34</v>
      </c>
      <c r="Q26" s="148">
        <f t="shared" ca="1" si="22"/>
        <v>108</v>
      </c>
      <c r="R26" s="92">
        <f t="shared" si="5"/>
        <v>14.3</v>
      </c>
      <c r="S26" s="201">
        <f t="shared" si="38"/>
        <v>0</v>
      </c>
      <c r="T26" s="201">
        <f t="shared" si="39"/>
        <v>6.8376190476190493</v>
      </c>
      <c r="U26" s="201">
        <f t="shared" si="40"/>
        <v>8.9499999999999993</v>
      </c>
      <c r="V26" s="201">
        <f t="shared" si="41"/>
        <v>8.7399999999999967</v>
      </c>
      <c r="W26" s="201">
        <f t="shared" si="42"/>
        <v>9.9499999999999993</v>
      </c>
      <c r="X26" s="201">
        <f t="shared" si="43"/>
        <v>6.95</v>
      </c>
      <c r="Y26" s="201">
        <f t="shared" si="44"/>
        <v>18.999999999999993</v>
      </c>
      <c r="Z26" s="157">
        <f t="shared" si="7"/>
        <v>0</v>
      </c>
      <c r="AA26" s="157">
        <f t="shared" si="8"/>
        <v>0</v>
      </c>
      <c r="AB26" s="157">
        <f t="shared" si="9"/>
        <v>0</v>
      </c>
      <c r="AC26" s="157">
        <f t="shared" si="10"/>
        <v>0</v>
      </c>
      <c r="AD26" s="157">
        <f t="shared" si="11"/>
        <v>0</v>
      </c>
      <c r="AE26" s="157">
        <f t="shared" si="12"/>
        <v>0</v>
      </c>
      <c r="AF26" s="157">
        <f t="shared" si="13"/>
        <v>0</v>
      </c>
      <c r="AH26" s="160" t="s">
        <v>353</v>
      </c>
      <c r="AI26" s="79" t="str">
        <f t="shared" si="48"/>
        <v>I. Vanags</v>
      </c>
      <c r="AJ26" s="165">
        <f t="shared" si="48"/>
        <v>0</v>
      </c>
      <c r="AK26" s="165">
        <f t="shared" si="48"/>
        <v>0</v>
      </c>
      <c r="AL26" s="165">
        <f t="shared" si="48"/>
        <v>0</v>
      </c>
      <c r="AM26" s="165">
        <f t="shared" si="48"/>
        <v>8</v>
      </c>
      <c r="AN26" s="165">
        <f t="shared" ref="AK26:AP26" si="50">AN12</f>
        <v>0</v>
      </c>
      <c r="AO26" s="165">
        <f t="shared" si="50"/>
        <v>0</v>
      </c>
      <c r="AP26" s="165">
        <f t="shared" si="50"/>
        <v>0</v>
      </c>
      <c r="AQ26" s="168">
        <f>AQ12</f>
        <v>0</v>
      </c>
      <c r="AR26" s="168">
        <f t="shared" ref="AR26:AT26" si="51">AR12</f>
        <v>0</v>
      </c>
      <c r="AS26" s="168">
        <f t="shared" si="51"/>
        <v>0</v>
      </c>
      <c r="AT26" s="168">
        <f t="shared" si="51"/>
        <v>0</v>
      </c>
    </row>
    <row r="27" spans="1:46" x14ac:dyDescent="0.25">
      <c r="A27" s="132" t="str">
        <f>Plantilla!A27</f>
        <v>#15</v>
      </c>
      <c r="B27" s="132" t="str">
        <f>Plantilla!B27</f>
        <v>DAV</v>
      </c>
      <c r="C27" s="90" t="str">
        <f>Plantilla!D27</f>
        <v>P .Trivadi</v>
      </c>
      <c r="D27" s="134">
        <f>Plantilla!E27</f>
        <v>32</v>
      </c>
      <c r="E27" s="139">
        <f ca="1">Plantilla!F27</f>
        <v>20</v>
      </c>
      <c r="F27" s="135"/>
      <c r="G27" s="330">
        <f>Plantilla!H27</f>
        <v>5</v>
      </c>
      <c r="H27" s="102">
        <f>Plantilla!I27</f>
        <v>6.2</v>
      </c>
      <c r="I27" s="185">
        <f>Plantilla!X27</f>
        <v>0</v>
      </c>
      <c r="J27" s="185">
        <f>Plantilla!Y27</f>
        <v>4.0199999999999996</v>
      </c>
      <c r="K27" s="185">
        <f>Plantilla!Z27</f>
        <v>6</v>
      </c>
      <c r="L27" s="185">
        <f>Plantilla!AA27</f>
        <v>5.5099999999999989</v>
      </c>
      <c r="M27" s="185">
        <f>Plantilla!AB27</f>
        <v>10.95</v>
      </c>
      <c r="N27" s="185">
        <f>Plantilla!AC27</f>
        <v>7.95</v>
      </c>
      <c r="O27" s="185">
        <f>Plantilla!AD27</f>
        <v>14</v>
      </c>
      <c r="P27" s="147">
        <f t="shared" si="21"/>
        <v>32</v>
      </c>
      <c r="Q27" s="148">
        <f t="shared" ca="1" si="22"/>
        <v>27</v>
      </c>
      <c r="R27" s="92">
        <f t="shared" si="5"/>
        <v>6.2</v>
      </c>
      <c r="S27" s="201">
        <f t="shared" si="38"/>
        <v>0</v>
      </c>
      <c r="T27" s="201">
        <f t="shared" si="39"/>
        <v>4.0199999999999996</v>
      </c>
      <c r="U27" s="201">
        <f t="shared" si="40"/>
        <v>6</v>
      </c>
      <c r="V27" s="201">
        <f t="shared" si="41"/>
        <v>5.5099999999999989</v>
      </c>
      <c r="W27" s="201">
        <f t="shared" si="42"/>
        <v>10.95</v>
      </c>
      <c r="X27" s="201">
        <f t="shared" si="43"/>
        <v>7.95</v>
      </c>
      <c r="Y27" s="201">
        <f t="shared" si="44"/>
        <v>14</v>
      </c>
      <c r="Z27" s="157">
        <f t="shared" si="7"/>
        <v>0</v>
      </c>
      <c r="AA27" s="157">
        <f t="shared" si="8"/>
        <v>0</v>
      </c>
      <c r="AB27" s="157">
        <f t="shared" si="9"/>
        <v>0</v>
      </c>
      <c r="AC27" s="157">
        <f t="shared" si="10"/>
        <v>0</v>
      </c>
      <c r="AD27" s="157">
        <f t="shared" si="11"/>
        <v>0</v>
      </c>
      <c r="AE27" s="157">
        <f t="shared" si="12"/>
        <v>0</v>
      </c>
      <c r="AF27" s="157">
        <f t="shared" si="13"/>
        <v>0</v>
      </c>
      <c r="AH27" s="692" t="s">
        <v>681</v>
      </c>
      <c r="AI27" s="79" t="str">
        <f t="shared" si="48"/>
        <v>I. Stone</v>
      </c>
      <c r="AJ27" s="165">
        <f t="shared" si="48"/>
        <v>0</v>
      </c>
      <c r="AK27" s="165">
        <f t="shared" si="48"/>
        <v>0</v>
      </c>
      <c r="AL27" s="165">
        <f t="shared" si="48"/>
        <v>0</v>
      </c>
      <c r="AM27" s="165">
        <f t="shared" si="48"/>
        <v>6.3100000000000005</v>
      </c>
      <c r="AN27" s="163">
        <f t="shared" ref="AK27:AT27" si="52">AN13</f>
        <v>0.88400000000000012</v>
      </c>
      <c r="AO27" s="163">
        <f t="shared" si="52"/>
        <v>0.88400000000000012</v>
      </c>
      <c r="AP27" s="163">
        <f t="shared" si="52"/>
        <v>3.4000000000000004</v>
      </c>
      <c r="AQ27" s="226">
        <f t="shared" si="52"/>
        <v>0.17</v>
      </c>
      <c r="AR27" s="226">
        <f t="shared" si="52"/>
        <v>0</v>
      </c>
      <c r="AS27" s="166">
        <f t="shared" si="52"/>
        <v>0</v>
      </c>
      <c r="AT27" s="166">
        <f t="shared" si="52"/>
        <v>0</v>
      </c>
    </row>
    <row r="28" spans="1:46" x14ac:dyDescent="0.25">
      <c r="A28" s="132"/>
      <c r="B28" s="132"/>
      <c r="C28" s="90"/>
      <c r="D28" s="134"/>
      <c r="E28" s="139"/>
      <c r="F28" s="135"/>
      <c r="G28" s="330"/>
      <c r="H28" s="102"/>
      <c r="I28" s="185"/>
      <c r="J28" s="185"/>
      <c r="K28" s="185"/>
      <c r="L28" s="185"/>
      <c r="M28" s="185"/>
      <c r="N28" s="185"/>
      <c r="O28" s="185"/>
      <c r="P28" s="147"/>
      <c r="Q28" s="148"/>
      <c r="R28" s="92"/>
      <c r="S28" s="201"/>
      <c r="T28" s="201"/>
      <c r="U28" s="201"/>
      <c r="V28" s="201"/>
      <c r="W28" s="201"/>
      <c r="X28" s="201"/>
      <c r="Y28" s="201"/>
      <c r="Z28" s="157"/>
      <c r="AA28" s="157"/>
      <c r="AB28" s="157"/>
      <c r="AC28" s="157"/>
      <c r="AD28" s="157"/>
      <c r="AE28" s="157"/>
      <c r="AF28" s="157"/>
      <c r="AH28" s="692" t="s">
        <v>681</v>
      </c>
      <c r="AI28" s="79" t="str">
        <f t="shared" si="48"/>
        <v>M. Bondarewski</v>
      </c>
      <c r="AJ28" s="165">
        <f t="shared" si="48"/>
        <v>0</v>
      </c>
      <c r="AK28" s="165">
        <f t="shared" si="48"/>
        <v>0</v>
      </c>
      <c r="AL28" s="165">
        <f t="shared" si="48"/>
        <v>0</v>
      </c>
      <c r="AM28" s="165">
        <f t="shared" si="48"/>
        <v>5.048</v>
      </c>
      <c r="AN28" s="165">
        <f t="shared" ref="AK28:AP28" si="53">AN14</f>
        <v>0</v>
      </c>
      <c r="AO28" s="165">
        <f t="shared" si="53"/>
        <v>0</v>
      </c>
      <c r="AP28" s="165">
        <f t="shared" si="53"/>
        <v>0</v>
      </c>
      <c r="AQ28" s="166">
        <f>AQ14</f>
        <v>0</v>
      </c>
      <c r="AR28" s="166">
        <f t="shared" ref="AR28:AT28" si="54">AR14</f>
        <v>0</v>
      </c>
      <c r="AS28" s="166">
        <f t="shared" si="54"/>
        <v>0</v>
      </c>
      <c r="AT28" s="166">
        <f t="shared" si="54"/>
        <v>0</v>
      </c>
    </row>
    <row r="29" spans="1:46" x14ac:dyDescent="0.25">
      <c r="A29" s="132"/>
      <c r="B29" s="132"/>
      <c r="C29" s="90"/>
      <c r="D29" s="134"/>
      <c r="E29" s="139"/>
      <c r="F29" s="135"/>
      <c r="G29" s="330"/>
      <c r="H29" s="102"/>
      <c r="I29" s="185"/>
      <c r="J29" s="185"/>
      <c r="K29" s="185"/>
      <c r="L29" s="185"/>
      <c r="M29" s="185"/>
      <c r="N29" s="185"/>
      <c r="O29" s="185"/>
      <c r="P29" s="147"/>
      <c r="Q29" s="148"/>
      <c r="R29" s="92"/>
      <c r="S29" s="201"/>
      <c r="T29" s="201"/>
      <c r="U29" s="201"/>
      <c r="V29" s="201"/>
      <c r="W29" s="201"/>
      <c r="X29" s="201"/>
      <c r="Y29" s="201"/>
      <c r="Z29" s="157"/>
      <c r="AA29" s="157"/>
      <c r="AB29" s="157"/>
      <c r="AC29" s="157"/>
      <c r="AD29" s="157"/>
      <c r="AE29" s="157"/>
      <c r="AF29" s="157"/>
      <c r="AH29" s="161"/>
      <c r="AI29" s="162"/>
      <c r="AJ29" s="162"/>
      <c r="AK29" s="162"/>
      <c r="AL29" s="162"/>
      <c r="AM29" s="162"/>
      <c r="AN29" s="162"/>
      <c r="AO29" s="162"/>
      <c r="AP29" s="162"/>
      <c r="AQ29" s="162"/>
      <c r="AR29" s="162"/>
      <c r="AS29" s="162"/>
      <c r="AT29" s="162"/>
    </row>
    <row r="30" spans="1:46" x14ac:dyDescent="0.25">
      <c r="F30" s="322"/>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7" priority="94" operator="greaterThan">
      <formula>0</formula>
    </cfRule>
  </conditionalFormatting>
  <conditionalFormatting sqref="AJ14:AL14 AJ4:AP13">
    <cfRule type="cellIs" dxfId="16" priority="93" operator="greaterThan">
      <formula>0</formula>
    </cfRule>
  </conditionalFormatting>
  <conditionalFormatting sqref="AM19:AP19 AM21:AP22 AM20:AN20 AP20 AJ24:AP24 AJ25:AM28">
    <cfRule type="cellIs" dxfId="15" priority="50" operator="greaterThan">
      <formula>0</formula>
    </cfRule>
  </conditionalFormatting>
  <conditionalFormatting sqref="AM18:AP18">
    <cfRule type="cellIs" dxfId="14" priority="44" operator="greaterThan">
      <formula>0</formula>
    </cfRule>
  </conditionalFormatting>
  <conditionalFormatting sqref="AM23:AP23">
    <cfRule type="cellIs" dxfId="13" priority="37" operator="greaterThan">
      <formula>0</formula>
    </cfRule>
  </conditionalFormatting>
  <conditionalFormatting sqref="AN25:AP25">
    <cfRule type="cellIs" dxfId="12" priority="32" operator="greaterThan">
      <formula>0</formula>
    </cfRule>
  </conditionalFormatting>
  <conditionalFormatting sqref="AN26:AP26">
    <cfRule type="cellIs" dxfId="11" priority="29" operator="greaterThan">
      <formula>0</formula>
    </cfRule>
  </conditionalFormatting>
  <conditionalFormatting sqref="AN27:AP27">
    <cfRule type="cellIs" dxfId="10" priority="27" operator="greaterThan">
      <formula>0</formula>
    </cfRule>
  </conditionalFormatting>
  <conditionalFormatting sqref="AM14:AP14">
    <cfRule type="cellIs" dxfId="9" priority="25" operator="greaterThan">
      <formula>0</formula>
    </cfRule>
  </conditionalFormatting>
  <conditionalFormatting sqref="AN28:AP28">
    <cfRule type="cellIs" dxfId="8"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0"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2" customWidth="1"/>
    <col min="2" max="2" width="14.28515625" style="202" bestFit="1" customWidth="1"/>
    <col min="3" max="9" width="8.28515625" style="202" bestFit="1" customWidth="1"/>
    <col min="10" max="10" width="8.28515625" style="223" bestFit="1" customWidth="1"/>
    <col min="11" max="11" width="9.28515625" style="223" bestFit="1" customWidth="1"/>
    <col min="12" max="12" width="8.28515625" style="202"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3">
        <f t="shared" ref="C1:L1" si="0">MAX(C3:C27)</f>
        <v>7.6541020779221203E-2</v>
      </c>
      <c r="D1" s="233">
        <f t="shared" si="0"/>
        <v>9.516709370629349E-2</v>
      </c>
      <c r="E1" s="233">
        <f t="shared" si="0"/>
        <v>0.10114897692307692</v>
      </c>
      <c r="F1" s="233">
        <f t="shared" si="0"/>
        <v>5.254696863959811E-2</v>
      </c>
      <c r="G1" s="233">
        <f t="shared" si="0"/>
        <v>5.2239892473118138E-2</v>
      </c>
      <c r="H1" s="233">
        <f t="shared" si="0"/>
        <v>8.0176190476190248E-2</v>
      </c>
      <c r="I1" s="233">
        <f t="shared" si="0"/>
        <v>5.7961761904761842E-2</v>
      </c>
      <c r="J1" s="233">
        <f t="shared" si="0"/>
        <v>0</v>
      </c>
      <c r="K1" s="233">
        <f t="shared" si="0"/>
        <v>3.6222627372627408E-2</v>
      </c>
      <c r="L1" s="233">
        <f t="shared" si="0"/>
        <v>0.16964285714285698</v>
      </c>
      <c r="N1" s="202"/>
      <c r="O1" s="202"/>
      <c r="P1" s="203"/>
      <c r="Q1" s="203"/>
      <c r="R1" s="203"/>
      <c r="S1" s="203"/>
      <c r="T1" s="203"/>
      <c r="U1" s="203"/>
      <c r="V1" s="203"/>
      <c r="W1" s="203"/>
      <c r="X1" s="203"/>
      <c r="Y1" s="282"/>
      <c r="Z1" s="203"/>
      <c r="AA1" s="203"/>
      <c r="AB1" s="203"/>
      <c r="AC1" s="203"/>
      <c r="AD1" s="203"/>
      <c r="AE1" s="203"/>
      <c r="AF1" s="203"/>
      <c r="AG1" s="203"/>
    </row>
    <row r="2" spans="1:33" x14ac:dyDescent="0.25">
      <c r="A2" s="277" t="s">
        <v>333</v>
      </c>
      <c r="B2" s="278" t="s">
        <v>332</v>
      </c>
      <c r="C2" s="113" t="s">
        <v>204</v>
      </c>
      <c r="D2" s="206" t="s">
        <v>205</v>
      </c>
      <c r="E2" s="206" t="s">
        <v>215</v>
      </c>
      <c r="F2" s="206" t="s">
        <v>206</v>
      </c>
      <c r="G2" s="206" t="s">
        <v>207</v>
      </c>
      <c r="H2" s="206" t="s">
        <v>208</v>
      </c>
      <c r="I2" s="206" t="s">
        <v>209</v>
      </c>
      <c r="J2" s="206" t="s">
        <v>342</v>
      </c>
      <c r="K2" s="206" t="s">
        <v>343</v>
      </c>
      <c r="L2" s="206" t="s">
        <v>263</v>
      </c>
      <c r="N2" s="277" t="s">
        <v>333</v>
      </c>
      <c r="O2" s="278" t="s">
        <v>332</v>
      </c>
      <c r="P2" s="113" t="s">
        <v>204</v>
      </c>
      <c r="Q2" s="206" t="s">
        <v>383</v>
      </c>
      <c r="R2" s="206" t="s">
        <v>205</v>
      </c>
      <c r="S2" s="206" t="s">
        <v>383</v>
      </c>
      <c r="T2" s="206" t="s">
        <v>215</v>
      </c>
      <c r="U2" s="206" t="s">
        <v>383</v>
      </c>
      <c r="V2" s="206" t="s">
        <v>206</v>
      </c>
      <c r="W2" s="206" t="s">
        <v>383</v>
      </c>
      <c r="X2" s="206" t="s">
        <v>207</v>
      </c>
      <c r="Y2" s="206" t="s">
        <v>383</v>
      </c>
      <c r="Z2" s="206" t="s">
        <v>208</v>
      </c>
      <c r="AA2" s="206" t="s">
        <v>383</v>
      </c>
      <c r="AB2" s="206" t="s">
        <v>209</v>
      </c>
      <c r="AC2" s="206" t="s">
        <v>383</v>
      </c>
      <c r="AD2" s="230" t="s">
        <v>342</v>
      </c>
      <c r="AE2" s="230" t="s">
        <v>383</v>
      </c>
      <c r="AF2" s="230" t="s">
        <v>343</v>
      </c>
      <c r="AG2" s="230" t="s">
        <v>383</v>
      </c>
    </row>
    <row r="3" spans="1:33" x14ac:dyDescent="0.25">
      <c r="A3" s="205" t="s">
        <v>334</v>
      </c>
      <c r="B3" s="204" t="s">
        <v>70</v>
      </c>
      <c r="C3" s="214"/>
      <c r="D3" s="215"/>
      <c r="E3" s="215"/>
      <c r="F3" s="215"/>
      <c r="G3" s="215"/>
      <c r="H3" s="215"/>
      <c r="I3" s="215"/>
      <c r="J3" s="215"/>
      <c r="K3" s="215"/>
      <c r="L3" s="215"/>
      <c r="M3" s="7"/>
      <c r="N3" s="234" t="s">
        <v>334</v>
      </c>
      <c r="O3" s="235" t="s">
        <v>70</v>
      </c>
      <c r="P3" s="217">
        <f>C3/$C$4</f>
        <v>0</v>
      </c>
      <c r="Q3" s="290" t="e">
        <f>1/C3</f>
        <v>#DIV/0!</v>
      </c>
      <c r="R3" s="217">
        <f>D3/D1</f>
        <v>0</v>
      </c>
      <c r="S3" s="290" t="e">
        <f>1/D3</f>
        <v>#DIV/0!</v>
      </c>
      <c r="T3" s="217">
        <f>E3/E1</f>
        <v>0</v>
      </c>
      <c r="U3" s="290" t="e">
        <f>1/E3</f>
        <v>#DIV/0!</v>
      </c>
      <c r="V3" s="218"/>
      <c r="W3" s="218"/>
      <c r="X3" s="218"/>
      <c r="Y3" s="283"/>
      <c r="Z3" s="218"/>
      <c r="AA3" s="218"/>
      <c r="AB3" s="218"/>
      <c r="AC3" s="218"/>
      <c r="AD3" s="218"/>
      <c r="AE3" s="218"/>
      <c r="AF3" s="218">
        <f>K3/K1</f>
        <v>0</v>
      </c>
      <c r="AG3" s="283"/>
    </row>
    <row r="4" spans="1:33" x14ac:dyDescent="0.25">
      <c r="A4" s="681" t="s">
        <v>335</v>
      </c>
      <c r="B4" s="212" t="s">
        <v>304</v>
      </c>
      <c r="C4" s="236">
        <v>5.9340247552447711E-2</v>
      </c>
      <c r="D4" s="229">
        <v>6.8999559240759498E-2</v>
      </c>
      <c r="E4" s="229">
        <v>7.5579372027972075E-2</v>
      </c>
      <c r="F4" s="229"/>
      <c r="G4" s="229"/>
      <c r="H4" s="229"/>
      <c r="I4" s="229"/>
      <c r="J4" s="229">
        <v>0</v>
      </c>
      <c r="K4" s="229">
        <v>3.6222627372627408E-2</v>
      </c>
      <c r="L4" s="229"/>
      <c r="M4" s="7"/>
      <c r="N4" s="683" t="s">
        <v>335</v>
      </c>
      <c r="O4" s="237" t="s">
        <v>304</v>
      </c>
      <c r="P4" s="219">
        <f>C4/$C$1</f>
        <v>0.77527379369046734</v>
      </c>
      <c r="Q4" s="284">
        <f>1/C4</f>
        <v>16.851968794301925</v>
      </c>
      <c r="R4" s="220">
        <f>D4/$D$1</f>
        <v>0.72503589795131562</v>
      </c>
      <c r="S4" s="284">
        <f>1/D4</f>
        <v>14.492846200809916</v>
      </c>
      <c r="T4" s="220">
        <f>E4/$E$1</f>
        <v>0.74720846742176794</v>
      </c>
      <c r="U4" s="284">
        <f>1/E4</f>
        <v>13.231123429153367</v>
      </c>
      <c r="V4" s="220"/>
      <c r="W4" s="220"/>
      <c r="X4" s="219"/>
      <c r="Y4" s="284"/>
      <c r="Z4" s="220"/>
      <c r="AA4" s="220"/>
      <c r="AB4" s="220"/>
      <c r="AC4" s="220"/>
      <c r="AD4" s="219"/>
      <c r="AE4" s="219"/>
      <c r="AF4" s="219">
        <f>K4/K1</f>
        <v>1</v>
      </c>
      <c r="AG4" s="288"/>
    </row>
    <row r="5" spans="1:33" x14ac:dyDescent="0.25">
      <c r="A5" s="681"/>
      <c r="B5" s="212" t="s">
        <v>303</v>
      </c>
      <c r="C5" s="231"/>
      <c r="D5" s="216"/>
      <c r="E5" s="216"/>
      <c r="F5" s="216">
        <v>5.254696863959811E-2</v>
      </c>
      <c r="G5" s="216"/>
      <c r="H5" s="216"/>
      <c r="I5" s="216"/>
      <c r="J5" s="216"/>
      <c r="K5" s="216"/>
      <c r="L5" s="216"/>
      <c r="M5" s="7"/>
      <c r="N5" s="683"/>
      <c r="O5" s="237" t="s">
        <v>303</v>
      </c>
      <c r="P5" s="221"/>
      <c r="Q5" s="285"/>
      <c r="R5" s="208"/>
      <c r="S5" s="285"/>
      <c r="T5" s="208"/>
      <c r="U5" s="285"/>
      <c r="V5" s="208">
        <f>F5/F1</f>
        <v>1</v>
      </c>
      <c r="W5" s="285">
        <f>1/F5</f>
        <v>19.03059350309362</v>
      </c>
      <c r="X5" s="221"/>
      <c r="Y5" s="285"/>
      <c r="Z5" s="208"/>
      <c r="AA5" s="208"/>
      <c r="AB5" s="208"/>
      <c r="AC5" s="208"/>
      <c r="AD5" s="221"/>
      <c r="AE5" s="221"/>
      <c r="AF5" s="221"/>
      <c r="AG5" s="287"/>
    </row>
    <row r="6" spans="1:33" x14ac:dyDescent="0.25">
      <c r="A6" s="681"/>
      <c r="B6" s="212" t="s">
        <v>339</v>
      </c>
      <c r="C6" s="231"/>
      <c r="D6" s="216"/>
      <c r="E6" s="216"/>
      <c r="F6" s="216"/>
      <c r="G6" s="216">
        <v>3.9584999999999822E-2</v>
      </c>
      <c r="H6" s="216">
        <v>6.3542692307692147E-2</v>
      </c>
      <c r="I6" s="216">
        <v>0</v>
      </c>
      <c r="J6" s="216"/>
      <c r="K6" s="216"/>
      <c r="L6" s="216"/>
      <c r="M6" s="7"/>
      <c r="N6" s="683"/>
      <c r="O6" s="237" t="s">
        <v>339</v>
      </c>
      <c r="P6" s="221"/>
      <c r="Q6" s="285"/>
      <c r="R6" s="208"/>
      <c r="S6" s="285"/>
      <c r="T6" s="208"/>
      <c r="U6" s="285"/>
      <c r="V6" s="208"/>
      <c r="W6" s="285"/>
      <c r="X6" s="221">
        <f>G6/$G$1</f>
        <v>0.75775423964300204</v>
      </c>
      <c r="Y6" s="285">
        <f>1/G6</f>
        <v>25.262094227611584</v>
      </c>
      <c r="Z6" s="208">
        <f>H6/$H$1</f>
        <v>0.79253818284821453</v>
      </c>
      <c r="AA6" s="285">
        <f>1/H6</f>
        <v>15.737450896126811</v>
      </c>
      <c r="AB6" s="208">
        <f>I6/$I$1</f>
        <v>0</v>
      </c>
      <c r="AC6" s="208"/>
      <c r="AD6" s="221"/>
      <c r="AE6" s="221"/>
      <c r="AF6" s="221"/>
      <c r="AG6" s="287"/>
    </row>
    <row r="7" spans="1:33" x14ac:dyDescent="0.25">
      <c r="A7" s="681"/>
      <c r="B7" s="212" t="s">
        <v>340</v>
      </c>
      <c r="C7" s="231"/>
      <c r="D7" s="216"/>
      <c r="E7" s="216"/>
      <c r="F7" s="216"/>
      <c r="G7" s="216">
        <v>3.3714285714285648E-2</v>
      </c>
      <c r="H7" s="216">
        <v>3.433928571428569E-2</v>
      </c>
      <c r="I7" s="216">
        <v>4.9198011904761828E-2</v>
      </c>
      <c r="J7" s="216"/>
      <c r="K7" s="216"/>
      <c r="L7" s="216"/>
      <c r="M7" s="7"/>
      <c r="N7" s="683"/>
      <c r="O7" s="237" t="s">
        <v>340</v>
      </c>
      <c r="P7" s="221"/>
      <c r="Q7" s="285"/>
      <c r="R7" s="208"/>
      <c r="S7" s="285"/>
      <c r="T7" s="208"/>
      <c r="U7" s="285"/>
      <c r="V7" s="208"/>
      <c r="W7" s="285"/>
      <c r="X7" s="221">
        <f t="shared" ref="X7" si="1">G7/$G$1</f>
        <v>0.64537433210902018</v>
      </c>
      <c r="Y7" s="285">
        <f t="shared" ref="Y7" si="2">1/G7</f>
        <v>29.6610169491526</v>
      </c>
      <c r="Z7" s="208">
        <f t="shared" ref="Z7" si="3">H7/$H$1</f>
        <v>0.42829779651957089</v>
      </c>
      <c r="AA7" s="285">
        <f t="shared" ref="AA7" si="4">1/H7</f>
        <v>29.121164846593885</v>
      </c>
      <c r="AB7" s="208">
        <f t="shared" ref="AB7" si="5">I7/$I$1</f>
        <v>0.84880118008835015</v>
      </c>
      <c r="AC7" s="285">
        <f t="shared" ref="AC7" si="6">1/I7</f>
        <v>20.326024594973745</v>
      </c>
      <c r="AD7" s="221"/>
      <c r="AE7" s="221"/>
      <c r="AF7" s="221"/>
      <c r="AG7" s="287"/>
    </row>
    <row r="8" spans="1:33" x14ac:dyDescent="0.25">
      <c r="A8" s="681"/>
      <c r="B8" s="212" t="s">
        <v>322</v>
      </c>
      <c r="C8" s="231"/>
      <c r="D8" s="216"/>
      <c r="E8" s="216"/>
      <c r="F8" s="216"/>
      <c r="G8" s="216"/>
      <c r="H8" s="216"/>
      <c r="I8" s="216"/>
      <c r="J8" s="216"/>
      <c r="K8" s="216"/>
      <c r="L8" s="216"/>
      <c r="M8" s="7"/>
      <c r="N8" s="683"/>
      <c r="O8" s="237" t="s">
        <v>322</v>
      </c>
      <c r="P8" s="221"/>
      <c r="Q8" s="285"/>
      <c r="R8" s="208"/>
      <c r="S8" s="285"/>
      <c r="T8" s="208"/>
      <c r="U8" s="285"/>
      <c r="V8" s="208"/>
      <c r="W8" s="285"/>
      <c r="X8" s="221"/>
      <c r="Y8" s="285"/>
      <c r="Z8" s="208"/>
      <c r="AA8" s="285"/>
      <c r="AB8" s="208"/>
      <c r="AC8" s="285"/>
      <c r="AD8" s="221"/>
      <c r="AE8" s="287"/>
      <c r="AF8" s="221"/>
      <c r="AG8" s="287"/>
    </row>
    <row r="9" spans="1:33" x14ac:dyDescent="0.25">
      <c r="A9" s="681"/>
      <c r="B9" s="224" t="s">
        <v>0</v>
      </c>
      <c r="C9" s="232"/>
      <c r="D9" s="207"/>
      <c r="E9" s="207"/>
      <c r="F9" s="207"/>
      <c r="G9" s="207"/>
      <c r="H9" s="207"/>
      <c r="I9" s="207"/>
      <c r="J9" s="207"/>
      <c r="K9" s="207"/>
      <c r="L9" s="207"/>
      <c r="M9" s="7"/>
      <c r="N9" s="683"/>
      <c r="O9" s="237" t="s">
        <v>0</v>
      </c>
      <c r="P9" s="222"/>
      <c r="Q9" s="286"/>
      <c r="R9" s="209"/>
      <c r="S9" s="286"/>
      <c r="T9" s="209"/>
      <c r="U9" s="286"/>
      <c r="V9" s="209"/>
      <c r="W9" s="286"/>
      <c r="X9" s="222"/>
      <c r="Y9" s="286"/>
      <c r="Z9" s="209"/>
      <c r="AA9" s="209"/>
      <c r="AB9" s="209"/>
      <c r="AC9" s="209"/>
      <c r="AD9" s="222" t="e">
        <f>J9/$J$1</f>
        <v>#DIV/0!</v>
      </c>
      <c r="AE9" s="289" t="e">
        <f>1/J9</f>
        <v>#DIV/0!</v>
      </c>
      <c r="AF9" s="222">
        <f>K9/$K$1</f>
        <v>0</v>
      </c>
      <c r="AG9" s="289" t="e">
        <f>1/K9</f>
        <v>#DIV/0!</v>
      </c>
    </row>
    <row r="10" spans="1:33" x14ac:dyDescent="0.25">
      <c r="A10" s="682" t="s">
        <v>336</v>
      </c>
      <c r="B10" s="213" t="s">
        <v>304</v>
      </c>
      <c r="C10" s="236">
        <v>4.0980247552447779E-2</v>
      </c>
      <c r="D10" s="229">
        <v>7.0304873926074096E-2</v>
      </c>
      <c r="E10" s="229">
        <v>4.0579372027972196E-2</v>
      </c>
      <c r="F10" s="229"/>
      <c r="G10" s="229"/>
      <c r="H10" s="229"/>
      <c r="I10" s="229"/>
      <c r="J10" s="229">
        <v>0</v>
      </c>
      <c r="K10" s="229">
        <v>3.0871978021978067E-2</v>
      </c>
      <c r="L10" s="229"/>
      <c r="M10" s="7"/>
      <c r="N10" s="684" t="s">
        <v>336</v>
      </c>
      <c r="O10" s="238" t="s">
        <v>304</v>
      </c>
      <c r="P10" s="221">
        <f>C10/$C$1</f>
        <v>0.53540241736066307</v>
      </c>
      <c r="Q10" s="284">
        <f>1/C10</f>
        <v>24.40199998109258</v>
      </c>
      <c r="R10" s="220">
        <f>D10/$D$1</f>
        <v>0.73875192766788012</v>
      </c>
      <c r="S10" s="284">
        <f>1/D10</f>
        <v>14.223764927755999</v>
      </c>
      <c r="T10" s="220">
        <f>E10/$E$1</f>
        <v>0.40118420632996138</v>
      </c>
      <c r="U10" s="284">
        <f>1/E10</f>
        <v>24.643062472989463</v>
      </c>
      <c r="V10" s="208"/>
      <c r="W10" s="285"/>
      <c r="X10" s="221"/>
      <c r="Y10" s="285"/>
      <c r="Z10" s="208"/>
      <c r="AA10" s="208"/>
      <c r="AB10" s="208"/>
      <c r="AC10" s="208"/>
      <c r="AD10" s="221"/>
      <c r="AE10" s="208"/>
      <c r="AF10" s="208">
        <f>K10/K1</f>
        <v>0.85228433885796195</v>
      </c>
      <c r="AG10" s="285"/>
    </row>
    <row r="11" spans="1:33" x14ac:dyDescent="0.25">
      <c r="A11" s="681"/>
      <c r="B11" s="212" t="s">
        <v>303</v>
      </c>
      <c r="C11" s="231"/>
      <c r="D11" s="216"/>
      <c r="E11" s="216"/>
      <c r="F11" s="216">
        <v>5.1022557865187314E-2</v>
      </c>
      <c r="G11" s="216"/>
      <c r="H11" s="216"/>
      <c r="I11" s="216"/>
      <c r="J11" s="216"/>
      <c r="K11" s="216"/>
      <c r="L11" s="216"/>
      <c r="M11" s="7"/>
      <c r="N11" s="683"/>
      <c r="O11" s="237" t="s">
        <v>303</v>
      </c>
      <c r="P11" s="221"/>
      <c r="Q11" s="285"/>
      <c r="R11" s="208"/>
      <c r="S11" s="285"/>
      <c r="T11" s="208"/>
      <c r="U11" s="285"/>
      <c r="V11" s="208">
        <f>F11/F1</f>
        <v>0.97098955822045196</v>
      </c>
      <c r="W11" s="285">
        <f>1/F11</f>
        <v>19.599174205303804</v>
      </c>
      <c r="X11" s="221"/>
      <c r="Y11" s="285"/>
      <c r="Z11" s="208"/>
      <c r="AA11" s="208"/>
      <c r="AB11" s="208"/>
      <c r="AC11" s="208"/>
      <c r="AD11" s="221"/>
      <c r="AE11" s="208"/>
      <c r="AF11" s="208"/>
      <c r="AG11" s="285"/>
    </row>
    <row r="12" spans="1:33" x14ac:dyDescent="0.25">
      <c r="A12" s="681"/>
      <c r="B12" s="212" t="s">
        <v>339</v>
      </c>
      <c r="C12" s="231"/>
      <c r="D12" s="216"/>
      <c r="E12" s="216"/>
      <c r="F12" s="216"/>
      <c r="G12" s="216">
        <v>4.2215952380952187E-2</v>
      </c>
      <c r="H12" s="216">
        <v>6.617364468864452E-2</v>
      </c>
      <c r="I12" s="216">
        <v>0</v>
      </c>
      <c r="J12" s="216"/>
      <c r="K12" s="216"/>
      <c r="L12" s="216"/>
      <c r="M12" s="7"/>
      <c r="N12" s="683"/>
      <c r="O12" s="237" t="s">
        <v>339</v>
      </c>
      <c r="P12" s="221"/>
      <c r="Q12" s="285"/>
      <c r="R12" s="208"/>
      <c r="S12" s="285"/>
      <c r="T12" s="208"/>
      <c r="U12" s="285"/>
      <c r="V12" s="208"/>
      <c r="W12" s="285"/>
      <c r="X12" s="221">
        <f t="shared" ref="X12:X13" si="7">G12/$G$1</f>
        <v>0.80811713773484284</v>
      </c>
      <c r="Y12" s="285">
        <f t="shared" ref="Y12:Y13" si="8">1/G12</f>
        <v>23.687728064881924</v>
      </c>
      <c r="Z12" s="208">
        <f t="shared" ref="Z12:Z13" si="9">H12/$H$1</f>
        <v>0.82535281728427801</v>
      </c>
      <c r="AA12" s="285">
        <f t="shared" ref="AA12:AA13" si="10">1/H12</f>
        <v>15.111756420628305</v>
      </c>
      <c r="AB12" s="208">
        <f t="shared" ref="AB12:AB13" si="11">I12/$I$1</f>
        <v>0</v>
      </c>
      <c r="AC12" s="285"/>
      <c r="AD12" s="221"/>
      <c r="AE12" s="208"/>
      <c r="AF12" s="208"/>
      <c r="AG12" s="285"/>
    </row>
    <row r="13" spans="1:33" x14ac:dyDescent="0.25">
      <c r="A13" s="681"/>
      <c r="B13" s="212" t="s">
        <v>340</v>
      </c>
      <c r="C13" s="231"/>
      <c r="D13" s="216"/>
      <c r="E13" s="216"/>
      <c r="F13" s="216"/>
      <c r="G13" s="216">
        <v>3.8151785714285652E-2</v>
      </c>
      <c r="H13" s="216">
        <v>3.8776785714285687E-2</v>
      </c>
      <c r="I13" s="216">
        <v>5.7961761904761842E-2</v>
      </c>
      <c r="J13" s="216"/>
      <c r="K13" s="216"/>
      <c r="L13" s="216"/>
      <c r="M13" s="7"/>
      <c r="N13" s="683"/>
      <c r="O13" s="237" t="s">
        <v>340</v>
      </c>
      <c r="P13" s="221"/>
      <c r="Q13" s="285"/>
      <c r="R13" s="208"/>
      <c r="S13" s="285"/>
      <c r="T13" s="208"/>
      <c r="U13" s="285"/>
      <c r="V13" s="208"/>
      <c r="W13" s="285"/>
      <c r="X13" s="221">
        <f t="shared" si="7"/>
        <v>0.73031899393586974</v>
      </c>
      <c r="Y13" s="285">
        <f t="shared" si="8"/>
        <v>26.211092908963302</v>
      </c>
      <c r="Z13" s="208">
        <f t="shared" si="9"/>
        <v>0.48364465166003551</v>
      </c>
      <c r="AA13" s="285">
        <f t="shared" si="10"/>
        <v>25.788625374165342</v>
      </c>
      <c r="AB13" s="208">
        <f t="shared" si="11"/>
        <v>1</v>
      </c>
      <c r="AC13" s="285">
        <f t="shared" ref="AC13" si="12">1/I13</f>
        <v>17.252753662718543</v>
      </c>
      <c r="AD13" s="221"/>
      <c r="AE13" s="208"/>
      <c r="AF13" s="208"/>
      <c r="AG13" s="285"/>
    </row>
    <row r="14" spans="1:33" x14ac:dyDescent="0.25">
      <c r="A14" s="681"/>
      <c r="B14" s="212" t="s">
        <v>322</v>
      </c>
      <c r="C14" s="231"/>
      <c r="D14" s="216"/>
      <c r="E14" s="216"/>
      <c r="F14" s="216"/>
      <c r="G14" s="216"/>
      <c r="H14" s="216"/>
      <c r="I14" s="216"/>
      <c r="J14" s="216"/>
      <c r="K14" s="216"/>
      <c r="L14" s="216"/>
      <c r="M14" s="7"/>
      <c r="N14" s="683"/>
      <c r="O14" s="237" t="s">
        <v>322</v>
      </c>
      <c r="P14" s="221"/>
      <c r="Q14" s="285"/>
      <c r="R14" s="208"/>
      <c r="S14" s="285"/>
      <c r="T14" s="208"/>
      <c r="U14" s="285"/>
      <c r="V14" s="208"/>
      <c r="W14" s="285"/>
      <c r="X14" s="221"/>
      <c r="Y14" s="285"/>
      <c r="Z14" s="208"/>
      <c r="AA14" s="285"/>
      <c r="AB14" s="208"/>
      <c r="AC14" s="285"/>
      <c r="AD14" s="221"/>
      <c r="AE14" s="287"/>
      <c r="AF14" s="221"/>
      <c r="AG14" s="287"/>
    </row>
    <row r="15" spans="1:33" x14ac:dyDescent="0.25">
      <c r="A15" s="681"/>
      <c r="B15" s="224" t="s">
        <v>0</v>
      </c>
      <c r="C15" s="232"/>
      <c r="D15" s="207"/>
      <c r="E15" s="207"/>
      <c r="F15" s="207"/>
      <c r="G15" s="207"/>
      <c r="H15" s="207"/>
      <c r="I15" s="207"/>
      <c r="J15" s="207"/>
      <c r="K15" s="207"/>
      <c r="L15" s="207"/>
      <c r="M15" s="7"/>
      <c r="N15" s="683"/>
      <c r="O15" s="237" t="s">
        <v>0</v>
      </c>
      <c r="P15" s="222"/>
      <c r="Q15" s="286"/>
      <c r="R15" s="209"/>
      <c r="S15" s="286"/>
      <c r="T15" s="209"/>
      <c r="U15" s="286"/>
      <c r="V15" s="209"/>
      <c r="W15" s="286"/>
      <c r="X15" s="222"/>
      <c r="Y15" s="286"/>
      <c r="Z15" s="209"/>
      <c r="AA15" s="209"/>
      <c r="AB15" s="209"/>
      <c r="AC15" s="209"/>
      <c r="AD15" s="222" t="e">
        <f>J15/$J$1</f>
        <v>#DIV/0!</v>
      </c>
      <c r="AE15" s="289" t="e">
        <f>1/J15</f>
        <v>#DIV/0!</v>
      </c>
      <c r="AF15" s="222">
        <f>K15/$K$1</f>
        <v>0</v>
      </c>
      <c r="AG15" s="289" t="e">
        <f>1/K15</f>
        <v>#DIV/0!</v>
      </c>
    </row>
    <row r="16" spans="1:33" x14ac:dyDescent="0.25">
      <c r="A16" s="682" t="s">
        <v>337</v>
      </c>
      <c r="B16" s="213" t="s">
        <v>304</v>
      </c>
      <c r="C16" s="231">
        <v>5.8181020779221264E-2</v>
      </c>
      <c r="D16" s="216">
        <v>7.6807093706293558E-2</v>
      </c>
      <c r="E16" s="216">
        <v>6.6148976923077044E-2</v>
      </c>
      <c r="F16" s="216"/>
      <c r="G16" s="216"/>
      <c r="H16" s="216"/>
      <c r="I16" s="216"/>
      <c r="J16" s="216">
        <v>0</v>
      </c>
      <c r="K16" s="216">
        <v>2.9990859140859215E-2</v>
      </c>
      <c r="L16" s="216">
        <v>4.1477272727272974E-2</v>
      </c>
      <c r="M16" s="7"/>
      <c r="N16" s="684" t="s">
        <v>337</v>
      </c>
      <c r="O16" s="238" t="s">
        <v>304</v>
      </c>
      <c r="P16" s="221">
        <f>C16/$C$1</f>
        <v>0.76012862367019574</v>
      </c>
      <c r="Q16" s="284">
        <f>1/C16</f>
        <v>17.18773556405424</v>
      </c>
      <c r="R16" s="220">
        <f>D16/$D$1</f>
        <v>0.80707617218339234</v>
      </c>
      <c r="S16" s="284">
        <f>1/D16</f>
        <v>13.019630762543228</v>
      </c>
      <c r="T16" s="220">
        <f>E16/$E$1</f>
        <v>0.65397573890819349</v>
      </c>
      <c r="U16" s="284">
        <f>1/E16</f>
        <v>15.117391780115881</v>
      </c>
      <c r="V16" s="208"/>
      <c r="W16" s="285"/>
      <c r="X16" s="208"/>
      <c r="Y16" s="285"/>
      <c r="Z16" s="208"/>
      <c r="AA16" s="208"/>
      <c r="AB16" s="208"/>
      <c r="AC16" s="208"/>
      <c r="AD16" s="208"/>
      <c r="AE16" s="208"/>
      <c r="AF16" s="208">
        <f>K16/K1</f>
        <v>0.827959243053766</v>
      </c>
      <c r="AG16" s="285"/>
    </row>
    <row r="17" spans="1:33" x14ac:dyDescent="0.25">
      <c r="A17" s="681"/>
      <c r="B17" s="212" t="s">
        <v>303</v>
      </c>
      <c r="C17" s="231"/>
      <c r="D17" s="216"/>
      <c r="E17" s="216"/>
      <c r="F17" s="216">
        <v>4.2273232055429683E-2</v>
      </c>
      <c r="G17" s="216"/>
      <c r="H17" s="216"/>
      <c r="I17" s="216"/>
      <c r="J17" s="216"/>
      <c r="K17" s="216"/>
      <c r="L17" s="216"/>
      <c r="M17" s="7"/>
      <c r="N17" s="683"/>
      <c r="O17" s="237" t="s">
        <v>303</v>
      </c>
      <c r="P17" s="221"/>
      <c r="Q17" s="285"/>
      <c r="R17" s="208"/>
      <c r="S17" s="285"/>
      <c r="T17" s="208"/>
      <c r="U17" s="285"/>
      <c r="V17" s="208">
        <f>F17/F1</f>
        <v>0.80448469530882905</v>
      </c>
      <c r="W17" s="285">
        <f>1/F17</f>
        <v>23.655631504323487</v>
      </c>
      <c r="X17" s="208"/>
      <c r="Y17" s="285"/>
      <c r="Z17" s="208"/>
      <c r="AA17" s="208"/>
      <c r="AB17" s="208"/>
      <c r="AC17" s="208"/>
      <c r="AD17" s="208"/>
      <c r="AE17" s="208"/>
      <c r="AF17" s="208"/>
      <c r="AG17" s="285"/>
    </row>
    <row r="18" spans="1:33" x14ac:dyDescent="0.25">
      <c r="A18" s="681"/>
      <c r="B18" s="212" t="s">
        <v>339</v>
      </c>
      <c r="C18" s="231"/>
      <c r="D18" s="216"/>
      <c r="E18" s="216"/>
      <c r="F18" s="216"/>
      <c r="G18" s="216">
        <v>5.2239892473118138E-2</v>
      </c>
      <c r="H18" s="216">
        <v>8.0176190476190248E-2</v>
      </c>
      <c r="I18" s="216">
        <v>0</v>
      </c>
      <c r="J18" s="216"/>
      <c r="K18" s="216"/>
      <c r="L18" s="216"/>
      <c r="M18" s="7"/>
      <c r="N18" s="683"/>
      <c r="O18" s="237" t="s">
        <v>339</v>
      </c>
      <c r="P18" s="221"/>
      <c r="Q18" s="285"/>
      <c r="R18" s="208"/>
      <c r="S18" s="285"/>
      <c r="T18" s="208"/>
      <c r="U18" s="285"/>
      <c r="V18" s="208"/>
      <c r="W18" s="285"/>
      <c r="X18" s="208">
        <f t="shared" ref="X18:X19" si="13">G18/$G$1</f>
        <v>1</v>
      </c>
      <c r="Y18" s="285">
        <f t="shared" ref="Y18:Y19" si="14">1/G18</f>
        <v>19.142459003233686</v>
      </c>
      <c r="Z18" s="208">
        <f t="shared" ref="Z18:Z19" si="15">H18/$H$1</f>
        <v>1</v>
      </c>
      <c r="AA18" s="285">
        <f t="shared" ref="AA18:AA19" si="16">1/H18</f>
        <v>12.472530735879349</v>
      </c>
      <c r="AB18" s="208">
        <f t="shared" ref="AB18:AB19" si="17">I18/$I$1</f>
        <v>0</v>
      </c>
      <c r="AC18" s="285"/>
      <c r="AD18" s="208"/>
      <c r="AE18" s="208"/>
      <c r="AF18" s="208"/>
      <c r="AG18" s="285"/>
    </row>
    <row r="19" spans="1:33" x14ac:dyDescent="0.25">
      <c r="A19" s="681"/>
      <c r="B19" s="212" t="s">
        <v>340</v>
      </c>
      <c r="C19" s="231"/>
      <c r="D19" s="216"/>
      <c r="E19" s="216"/>
      <c r="F19" s="216"/>
      <c r="G19" s="216">
        <v>2.5968749999999961E-2</v>
      </c>
      <c r="H19" s="216">
        <v>2.5281249999999998E-2</v>
      </c>
      <c r="I19" s="216">
        <v>3.0639083333333313E-2</v>
      </c>
      <c r="J19" s="216"/>
      <c r="K19" s="216"/>
      <c r="L19" s="216">
        <v>0.1339285714285714</v>
      </c>
      <c r="M19" s="295">
        <f>1/L19</f>
        <v>7.4666666666666686</v>
      </c>
      <c r="N19" s="683"/>
      <c r="O19" s="237" t="s">
        <v>340</v>
      </c>
      <c r="P19" s="221"/>
      <c r="Q19" s="285"/>
      <c r="R19" s="208"/>
      <c r="S19" s="285"/>
      <c r="T19" s="208"/>
      <c r="U19" s="285"/>
      <c r="V19" s="208"/>
      <c r="W19" s="285"/>
      <c r="X19" s="208">
        <f t="shared" si="13"/>
        <v>0.49710573224022403</v>
      </c>
      <c r="Y19" s="285">
        <f t="shared" si="14"/>
        <v>38.507821901323766</v>
      </c>
      <c r="Z19" s="208">
        <f t="shared" si="15"/>
        <v>0.31532116766644974</v>
      </c>
      <c r="AA19" s="285">
        <f t="shared" si="16"/>
        <v>39.555006180469718</v>
      </c>
      <c r="AB19" s="208">
        <f t="shared" si="17"/>
        <v>0.52860855720150501</v>
      </c>
      <c r="AC19" s="285">
        <f t="shared" ref="AC19" si="18">1/I19</f>
        <v>32.63805216104705</v>
      </c>
      <c r="AD19" s="208"/>
      <c r="AE19" s="208"/>
      <c r="AF19" s="208"/>
      <c r="AG19" s="285"/>
    </row>
    <row r="20" spans="1:33" x14ac:dyDescent="0.25">
      <c r="A20" s="681"/>
      <c r="B20" s="212" t="s">
        <v>322</v>
      </c>
      <c r="C20" s="231"/>
      <c r="D20" s="216"/>
      <c r="E20" s="216"/>
      <c r="F20" s="216"/>
      <c r="G20" s="216"/>
      <c r="H20" s="216"/>
      <c r="I20" s="216"/>
      <c r="J20" s="216"/>
      <c r="K20" s="216"/>
      <c r="L20" s="216"/>
      <c r="M20" s="7"/>
      <c r="N20" s="683"/>
      <c r="O20" s="237" t="s">
        <v>322</v>
      </c>
      <c r="P20" s="221"/>
      <c r="Q20" s="285"/>
      <c r="R20" s="208"/>
      <c r="S20" s="285"/>
      <c r="T20" s="208"/>
      <c r="U20" s="285"/>
      <c r="V20" s="208"/>
      <c r="W20" s="285"/>
      <c r="X20" s="208"/>
      <c r="Y20" s="285"/>
      <c r="Z20" s="208"/>
      <c r="AA20" s="285"/>
      <c r="AB20" s="208"/>
      <c r="AC20" s="285"/>
      <c r="AD20" s="208"/>
      <c r="AE20" s="287"/>
      <c r="AF20" s="221"/>
      <c r="AG20" s="287"/>
    </row>
    <row r="21" spans="1:33" x14ac:dyDescent="0.25">
      <c r="A21" s="681"/>
      <c r="B21" s="224" t="s">
        <v>0</v>
      </c>
      <c r="C21" s="231"/>
      <c r="D21" s="216"/>
      <c r="E21" s="216"/>
      <c r="F21" s="216"/>
      <c r="G21" s="216"/>
      <c r="H21" s="216"/>
      <c r="I21" s="216"/>
      <c r="J21" s="216"/>
      <c r="K21" s="216"/>
      <c r="L21" s="216"/>
      <c r="M21" s="7"/>
      <c r="N21" s="683"/>
      <c r="O21" s="237" t="s">
        <v>0</v>
      </c>
      <c r="P21" s="222"/>
      <c r="Q21" s="286"/>
      <c r="R21" s="209"/>
      <c r="S21" s="286"/>
      <c r="T21" s="209"/>
      <c r="U21" s="286"/>
      <c r="V21" s="209"/>
      <c r="W21" s="286"/>
      <c r="X21" s="209"/>
      <c r="Y21" s="286"/>
      <c r="Z21" s="209"/>
      <c r="AA21" s="209"/>
      <c r="AB21" s="209"/>
      <c r="AC21" s="208"/>
      <c r="AD21" s="208" t="e">
        <f>J21/$J$1</f>
        <v>#DIV/0!</v>
      </c>
      <c r="AE21" s="289" t="e">
        <f>1/J21</f>
        <v>#DIV/0!</v>
      </c>
      <c r="AF21" s="222">
        <f>K21/$K$1</f>
        <v>0</v>
      </c>
      <c r="AG21" s="289" t="e">
        <f>1/K21</f>
        <v>#DIV/0!</v>
      </c>
    </row>
    <row r="22" spans="1:33" x14ac:dyDescent="0.25">
      <c r="A22" s="682" t="s">
        <v>338</v>
      </c>
      <c r="B22" s="227" t="s">
        <v>304</v>
      </c>
      <c r="C22" s="236">
        <v>7.6541020779221203E-2</v>
      </c>
      <c r="D22" s="229">
        <v>9.516709370629349E-2</v>
      </c>
      <c r="E22" s="229">
        <v>0.10114897692307692</v>
      </c>
      <c r="F22" s="229"/>
      <c r="G22" s="229"/>
      <c r="H22" s="229"/>
      <c r="I22" s="229"/>
      <c r="J22" s="229">
        <v>0</v>
      </c>
      <c r="K22" s="229">
        <v>3.3705144855144913E-2</v>
      </c>
      <c r="L22" s="229">
        <v>5.9334415584415767E-2</v>
      </c>
      <c r="M22" s="7"/>
      <c r="N22" s="684" t="s">
        <v>338</v>
      </c>
      <c r="O22" s="238" t="s">
        <v>304</v>
      </c>
      <c r="P22" s="221">
        <f>C22/$C$1</f>
        <v>1</v>
      </c>
      <c r="Q22" s="284">
        <f>1/C22</f>
        <v>13.064889778311823</v>
      </c>
      <c r="R22" s="220">
        <f>D22/$D$1</f>
        <v>1</v>
      </c>
      <c r="S22" s="284">
        <f>1/D22</f>
        <v>10.507833759074531</v>
      </c>
      <c r="T22" s="220">
        <f>E22/$E$1</f>
        <v>1</v>
      </c>
      <c r="U22" s="291">
        <f>1/E22</f>
        <v>9.8864074597659339</v>
      </c>
      <c r="V22" s="279"/>
      <c r="W22" s="288"/>
      <c r="X22" s="221"/>
      <c r="Y22" s="285"/>
      <c r="Z22" s="208"/>
      <c r="AA22" s="208"/>
      <c r="AB22" s="221"/>
      <c r="AC22" s="219"/>
      <c r="AD22" s="219"/>
      <c r="AE22" s="208"/>
      <c r="AF22" s="208">
        <f>K22/K1</f>
        <v>0.93049972627372424</v>
      </c>
      <c r="AG22" s="285"/>
    </row>
    <row r="23" spans="1:33" x14ac:dyDescent="0.25">
      <c r="A23" s="681"/>
      <c r="B23" s="228" t="s">
        <v>303</v>
      </c>
      <c r="C23" s="231"/>
      <c r="D23" s="216"/>
      <c r="E23" s="216"/>
      <c r="F23" s="216">
        <v>4.3797642829840472E-2</v>
      </c>
      <c r="G23" s="216"/>
      <c r="H23" s="216"/>
      <c r="I23" s="216"/>
      <c r="J23" s="216"/>
      <c r="K23" s="216"/>
      <c r="L23" s="216"/>
      <c r="M23" s="7"/>
      <c r="N23" s="683"/>
      <c r="O23" s="237" t="s">
        <v>303</v>
      </c>
      <c r="P23" s="221"/>
      <c r="Q23" s="285"/>
      <c r="R23" s="208"/>
      <c r="S23" s="285"/>
      <c r="T23" s="208"/>
      <c r="U23" s="292"/>
      <c r="V23" s="280">
        <f>F23/F1</f>
        <v>0.83349513708837697</v>
      </c>
      <c r="W23" s="287">
        <f>1/F23</f>
        <v>22.832278985541066</v>
      </c>
      <c r="X23" s="221"/>
      <c r="Y23" s="285"/>
      <c r="Z23" s="208"/>
      <c r="AA23" s="208"/>
      <c r="AB23" s="221"/>
      <c r="AC23" s="221"/>
      <c r="AD23" s="221"/>
      <c r="AE23" s="208"/>
      <c r="AF23" s="208"/>
      <c r="AG23" s="285"/>
    </row>
    <row r="24" spans="1:33" x14ac:dyDescent="0.25">
      <c r="A24" s="681"/>
      <c r="B24" s="228" t="s">
        <v>339</v>
      </c>
      <c r="C24" s="231"/>
      <c r="D24" s="216"/>
      <c r="E24" s="216"/>
      <c r="F24" s="216"/>
      <c r="G24" s="216">
        <v>4.8379892473118219E-2</v>
      </c>
      <c r="H24" s="216">
        <v>7.5159999999999741E-2</v>
      </c>
      <c r="I24" s="216">
        <v>0</v>
      </c>
      <c r="J24" s="216"/>
      <c r="K24" s="216"/>
      <c r="L24" s="216"/>
      <c r="M24" s="7"/>
      <c r="N24" s="683"/>
      <c r="O24" s="237" t="s">
        <v>339</v>
      </c>
      <c r="P24" s="221"/>
      <c r="Q24" s="285"/>
      <c r="R24" s="208"/>
      <c r="S24" s="285"/>
      <c r="T24" s="208"/>
      <c r="U24" s="292"/>
      <c r="V24" s="280"/>
      <c r="W24" s="287"/>
      <c r="X24" s="221">
        <f t="shared" ref="X24:X25" si="19">G24/$G$1</f>
        <v>0.92611010824751949</v>
      </c>
      <c r="Y24" s="285">
        <f t="shared" ref="Y24:Y25" si="20">1/G24</f>
        <v>20.669744161908575</v>
      </c>
      <c r="Z24" s="208">
        <f t="shared" ref="Z24:Z25" si="21">H24/$H$1</f>
        <v>0.93743541010868858</v>
      </c>
      <c r="AA24" s="285">
        <f t="shared" ref="AA24:AA25" si="22">1/H24</f>
        <v>13.30494944119217</v>
      </c>
      <c r="AB24" s="208">
        <f t="shared" ref="AB24:AB25" si="23">I24/$I$1</f>
        <v>0</v>
      </c>
      <c r="AC24" s="287"/>
      <c r="AD24" s="221"/>
      <c r="AE24" s="208"/>
      <c r="AF24" s="208"/>
      <c r="AG24" s="285"/>
    </row>
    <row r="25" spans="1:33" x14ac:dyDescent="0.25">
      <c r="A25" s="681"/>
      <c r="B25" s="228" t="s">
        <v>340</v>
      </c>
      <c r="C25" s="231"/>
      <c r="D25" s="216"/>
      <c r="E25" s="216"/>
      <c r="F25" s="216"/>
      <c r="G25" s="216">
        <v>2.3874999999999962E-2</v>
      </c>
      <c r="H25" s="216">
        <v>2.31875E-2</v>
      </c>
      <c r="I25" s="216">
        <v>2.7005333333333312E-2</v>
      </c>
      <c r="J25" s="216"/>
      <c r="K25" s="216"/>
      <c r="L25" s="216">
        <v>0.16964285714285698</v>
      </c>
      <c r="M25" s="295">
        <f>1/L25</f>
        <v>5.894736842105269</v>
      </c>
      <c r="N25" s="683"/>
      <c r="O25" s="237" t="s">
        <v>340</v>
      </c>
      <c r="P25" s="221"/>
      <c r="Q25" s="285"/>
      <c r="R25" s="208"/>
      <c r="S25" s="285"/>
      <c r="T25" s="208"/>
      <c r="U25" s="292"/>
      <c r="V25" s="280"/>
      <c r="W25" s="287"/>
      <c r="X25" s="221">
        <f t="shared" si="19"/>
        <v>0.45702620870220356</v>
      </c>
      <c r="Y25" s="285">
        <f t="shared" si="20"/>
        <v>41.884816753926771</v>
      </c>
      <c r="Z25" s="208">
        <f t="shared" si="21"/>
        <v>0.2892068064382024</v>
      </c>
      <c r="AA25" s="285">
        <f t="shared" si="22"/>
        <v>43.126684636118597</v>
      </c>
      <c r="AB25" s="208">
        <f t="shared" si="23"/>
        <v>0.46591636357960148</v>
      </c>
      <c r="AC25" s="287">
        <f t="shared" ref="AC25" si="24">1/I25</f>
        <v>37.029722523945914</v>
      </c>
      <c r="AD25" s="221"/>
      <c r="AE25" s="208"/>
      <c r="AF25" s="208"/>
      <c r="AG25" s="285"/>
    </row>
    <row r="26" spans="1:33" x14ac:dyDescent="0.25">
      <c r="A26" s="681"/>
      <c r="B26" s="228" t="s">
        <v>322</v>
      </c>
      <c r="C26" s="231"/>
      <c r="D26" s="216"/>
      <c r="E26" s="216"/>
      <c r="F26" s="216"/>
      <c r="G26" s="216"/>
      <c r="H26" s="216"/>
      <c r="I26" s="216"/>
      <c r="J26" s="216"/>
      <c r="K26" s="216"/>
      <c r="L26" s="216"/>
      <c r="M26" s="7"/>
      <c r="N26" s="683"/>
      <c r="O26" s="237" t="s">
        <v>322</v>
      </c>
      <c r="P26" s="221"/>
      <c r="Q26" s="285"/>
      <c r="R26" s="208"/>
      <c r="S26" s="285"/>
      <c r="T26" s="208"/>
      <c r="U26" s="292"/>
      <c r="V26" s="280"/>
      <c r="W26" s="221"/>
      <c r="X26" s="221"/>
      <c r="Y26" s="285"/>
      <c r="Z26" s="208"/>
      <c r="AA26" s="285"/>
      <c r="AB26" s="208"/>
      <c r="AC26" s="287"/>
      <c r="AD26" s="221"/>
      <c r="AE26" s="287"/>
      <c r="AF26" s="221"/>
      <c r="AG26" s="287"/>
    </row>
    <row r="27" spans="1:33" x14ac:dyDescent="0.25">
      <c r="A27" s="681"/>
      <c r="B27" s="224" t="s">
        <v>0</v>
      </c>
      <c r="C27" s="232"/>
      <c r="D27" s="207"/>
      <c r="E27" s="207"/>
      <c r="F27" s="207"/>
      <c r="G27" s="207"/>
      <c r="H27" s="207"/>
      <c r="I27" s="207"/>
      <c r="J27" s="207"/>
      <c r="K27" s="207"/>
      <c r="L27" s="207"/>
      <c r="M27" s="7"/>
      <c r="N27" s="683"/>
      <c r="O27" s="237" t="s">
        <v>0</v>
      </c>
      <c r="P27" s="222"/>
      <c r="Q27" s="286"/>
      <c r="R27" s="209"/>
      <c r="S27" s="286"/>
      <c r="T27" s="209"/>
      <c r="U27" s="293"/>
      <c r="V27" s="281"/>
      <c r="W27" s="222"/>
      <c r="X27" s="222"/>
      <c r="Y27" s="286"/>
      <c r="Z27" s="209"/>
      <c r="AA27" s="209"/>
      <c r="AB27" s="222"/>
      <c r="AC27" s="222"/>
      <c r="AD27" s="222" t="e">
        <f>J27/$J$1</f>
        <v>#DIV/0!</v>
      </c>
      <c r="AE27" s="289" t="e">
        <f>1/J27</f>
        <v>#DIV/0!</v>
      </c>
      <c r="AF27" s="222">
        <f>K27/$K$1</f>
        <v>0</v>
      </c>
      <c r="AG27" s="289" t="e">
        <f>1/K27</f>
        <v>#DIV/0!</v>
      </c>
    </row>
    <row r="28" spans="1:33" x14ac:dyDescent="0.25">
      <c r="Q28" s="184"/>
      <c r="S28" s="184"/>
      <c r="U28" s="184"/>
      <c r="AD28" s="7"/>
      <c r="AE28" s="7"/>
      <c r="AF28" s="7"/>
      <c r="AG28" s="7"/>
    </row>
    <row r="29" spans="1:33" x14ac:dyDescent="0.25">
      <c r="Q29" s="184"/>
      <c r="S29" s="184"/>
      <c r="U29" s="184"/>
    </row>
    <row r="30" spans="1:33" x14ac:dyDescent="0.25">
      <c r="B30" s="210" t="s">
        <v>331</v>
      </c>
      <c r="H30" s="274"/>
      <c r="I30" s="274"/>
      <c r="Q30" s="184"/>
      <c r="S30" s="184"/>
      <c r="U30" s="184"/>
    </row>
    <row r="31" spans="1:33" x14ac:dyDescent="0.25">
      <c r="B31" s="211">
        <v>42724</v>
      </c>
      <c r="G31" s="274"/>
      <c r="H31" s="274"/>
      <c r="I31" s="274"/>
      <c r="Q31" s="184"/>
      <c r="S31" s="184"/>
    </row>
    <row r="32" spans="1:33" x14ac:dyDescent="0.25">
      <c r="G32" s="274"/>
      <c r="H32" s="274"/>
      <c r="I32" s="274"/>
      <c r="Q32" s="184"/>
    </row>
    <row r="33" spans="17:17" x14ac:dyDescent="0.25">
      <c r="Q33" s="184"/>
    </row>
    <row r="34" spans="17:17" x14ac:dyDescent="0.25">
      <c r="Q34" s="18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2" t="s">
        <v>100</v>
      </c>
      <c r="C2" s="192" t="s">
        <v>71</v>
      </c>
      <c r="D2" s="192" t="s">
        <v>314</v>
      </c>
      <c r="E2" s="192" t="s">
        <v>1</v>
      </c>
      <c r="F2" s="192" t="s">
        <v>2</v>
      </c>
      <c r="G2" s="192" t="s">
        <v>321</v>
      </c>
      <c r="H2" s="192" t="s">
        <v>63</v>
      </c>
      <c r="I2" s="192" t="s">
        <v>262</v>
      </c>
      <c r="J2" s="192" t="s">
        <v>322</v>
      </c>
      <c r="K2" s="192" t="s">
        <v>0</v>
      </c>
      <c r="M2" s="243">
        <v>352</v>
      </c>
      <c r="N2" s="177"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6"/>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4">
        <v>1</v>
      </c>
      <c r="O3" s="245">
        <f ca="1">Evaluacion!X3</f>
        <v>15.721407074755762</v>
      </c>
      <c r="P3" s="245">
        <f ca="1">Evaluacion!Y3</f>
        <v>23.169483486265392</v>
      </c>
      <c r="Q3" s="245">
        <f ca="1">Evaluacion!Z3</f>
        <v>15.721407074755762</v>
      </c>
      <c r="R3" s="245">
        <v>0</v>
      </c>
      <c r="S3" s="245">
        <v>0</v>
      </c>
      <c r="T3" s="245">
        <v>0</v>
      </c>
      <c r="U3" s="245">
        <v>0</v>
      </c>
      <c r="V3" s="245">
        <v>0</v>
      </c>
      <c r="W3" s="245">
        <f>Evaluacion!T3</f>
        <v>0.54600000000000004</v>
      </c>
      <c r="X3" s="245">
        <f>Evaluacion!U3</f>
        <v>1.024</v>
      </c>
      <c r="Y3" s="249"/>
    </row>
    <row r="4" spans="2:25" x14ac:dyDescent="0.25">
      <c r="B4" t="s">
        <v>351</v>
      </c>
      <c r="C4" t="str">
        <f>Evaluacion!A6</f>
        <v>B. Bartolache</v>
      </c>
      <c r="D4" s="276"/>
      <c r="E4" s="83">
        <f>Evaluacion!K6</f>
        <v>0</v>
      </c>
      <c r="F4" s="83">
        <f>Evaluacion!L6</f>
        <v>11.95</v>
      </c>
      <c r="G4" s="83">
        <f>Evaluacion!M6</f>
        <v>5.95</v>
      </c>
      <c r="H4" s="83">
        <f>Evaluacion!N6</f>
        <v>6.95</v>
      </c>
      <c r="I4" s="83">
        <f>Evaluacion!O6</f>
        <v>7.95</v>
      </c>
      <c r="J4" s="83">
        <f>Evaluacion!P6</f>
        <v>1.95</v>
      </c>
      <c r="K4" s="83">
        <f>Evaluacion!Q6</f>
        <v>16</v>
      </c>
      <c r="M4" t="s">
        <v>351</v>
      </c>
      <c r="N4" s="244">
        <v>1</v>
      </c>
      <c r="O4" s="245">
        <f>Evaluacion!AI6</f>
        <v>13.68884192896218</v>
      </c>
      <c r="P4" s="245">
        <f>Evaluacion!AJ6</f>
        <v>6.1599788680329803</v>
      </c>
      <c r="Q4" s="245">
        <v>0</v>
      </c>
      <c r="R4" s="245">
        <f>Evaluacion!AK6</f>
        <v>1.4828223936268308</v>
      </c>
      <c r="S4" s="245">
        <f>Evaluacion!AL6</f>
        <v>5.8089554937280017</v>
      </c>
      <c r="T4" s="245">
        <v>0</v>
      </c>
      <c r="U4" s="245">
        <v>0</v>
      </c>
      <c r="V4" s="245">
        <f>Evaluacion!R6</f>
        <v>3.8562499999999997</v>
      </c>
      <c r="W4" s="245">
        <f>Evaluacion!T6</f>
        <v>0.5774999999999999</v>
      </c>
      <c r="X4" s="245">
        <f>Evaluacion!U6</f>
        <v>0.95799999999999996</v>
      </c>
    </row>
    <row r="5" spans="2:25" x14ac:dyDescent="0.25">
      <c r="B5" t="s">
        <v>352</v>
      </c>
      <c r="C5" t="str">
        <f>Evaluacion!A14</f>
        <v>G. Piscaer</v>
      </c>
      <c r="D5" s="276"/>
      <c r="E5" s="83">
        <f>Evaluacion!K14</f>
        <v>0</v>
      </c>
      <c r="F5" s="83">
        <f>Evaluacion!L14</f>
        <v>4</v>
      </c>
      <c r="G5" s="83">
        <f>Evaluacion!M14</f>
        <v>8.6</v>
      </c>
      <c r="H5" s="83">
        <f>Evaluacion!N14</f>
        <v>3</v>
      </c>
      <c r="I5" s="83">
        <f>Evaluacion!O14</f>
        <v>2</v>
      </c>
      <c r="J5" s="83">
        <f>Evaluacion!P14</f>
        <v>8</v>
      </c>
      <c r="K5" s="83">
        <f>Evaluacion!Q14</f>
        <v>0</v>
      </c>
      <c r="M5" t="s">
        <v>352</v>
      </c>
      <c r="N5" s="244">
        <v>1</v>
      </c>
      <c r="O5" s="245">
        <f ca="1">(Evaluacion!AA14+Evaluacion!AC14)/2</f>
        <v>1.7530934701454561</v>
      </c>
      <c r="P5" s="245">
        <f ca="1">Evaluacion!AB14</f>
        <v>4.5299572871975604</v>
      </c>
      <c r="Q5" s="245">
        <f ca="1">O5</f>
        <v>1.7530934701454561</v>
      </c>
      <c r="R5" s="245">
        <f ca="1">Evaluacion!AD14</f>
        <v>2.1729298343530195</v>
      </c>
      <c r="S5" s="245">
        <v>0</v>
      </c>
      <c r="T5" s="245">
        <v>0</v>
      </c>
      <c r="U5" s="245">
        <v>0</v>
      </c>
      <c r="V5" s="245">
        <f>Evaluacion!R14</f>
        <v>1.375</v>
      </c>
      <c r="W5" s="245">
        <f>Evaluacion!T14</f>
        <v>0.4</v>
      </c>
      <c r="X5" s="245">
        <f>Evaluacion!U14</f>
        <v>0.16</v>
      </c>
    </row>
    <row r="6" spans="2:25" x14ac:dyDescent="0.25">
      <c r="B6" t="s">
        <v>351</v>
      </c>
      <c r="C6" t="str">
        <f>Evaluacion!A9</f>
        <v>S. Buschelman</v>
      </c>
      <c r="D6" s="276"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4">
        <v>1</v>
      </c>
      <c r="O6" s="245">
        <v>0</v>
      </c>
      <c r="P6" s="245">
        <f>Evaluacion!AJ9</f>
        <v>5.1187024668980152</v>
      </c>
      <c r="Q6" s="245">
        <f>Evaluacion!AI9</f>
        <v>11.37489437088448</v>
      </c>
      <c r="R6" s="245">
        <f>Evaluacion!AK9</f>
        <v>2.8490782752946107</v>
      </c>
      <c r="S6" s="245">
        <v>0</v>
      </c>
      <c r="T6" s="245">
        <f>0</f>
        <v>0</v>
      </c>
      <c r="U6" s="245">
        <f>Evaluacion!AL9</f>
        <v>9.4111451848696461</v>
      </c>
      <c r="V6" s="245">
        <f>Evaluacion!R9</f>
        <v>4.0254583333333329</v>
      </c>
      <c r="W6" s="245">
        <f>Evaluacion!T9</f>
        <v>0.67749999999999999</v>
      </c>
      <c r="X6" s="245">
        <f>Evaluacion!U9</f>
        <v>0.8521466666666665</v>
      </c>
    </row>
    <row r="7" spans="2:25" x14ac:dyDescent="0.25">
      <c r="B7" t="s">
        <v>221</v>
      </c>
      <c r="C7" t="str">
        <f>Evaluacion!A12</f>
        <v>I. Vanags</v>
      </c>
      <c r="D7" s="276" t="str">
        <f>Evaluacion!D12</f>
        <v>CAB</v>
      </c>
      <c r="E7" s="83">
        <f>Evaluacion!K12</f>
        <v>0</v>
      </c>
      <c r="F7" s="83">
        <f>Evaluacion!L12</f>
        <v>4</v>
      </c>
      <c r="G7" s="83">
        <f>Evaluacion!M12</f>
        <v>7.8</v>
      </c>
      <c r="H7" s="83">
        <f>Evaluacion!N12</f>
        <v>3</v>
      </c>
      <c r="I7" s="83">
        <f>Evaluacion!O12</f>
        <v>4</v>
      </c>
      <c r="J7" s="83">
        <f>Evaluacion!P12</f>
        <v>7</v>
      </c>
      <c r="K7" s="83">
        <f>Evaluacion!Q12</f>
        <v>6</v>
      </c>
      <c r="M7" t="s">
        <v>221</v>
      </c>
      <c r="N7" s="244">
        <v>0.82499999999999996</v>
      </c>
      <c r="O7" s="245">
        <f ca="1">Evaluacion!BE12*N7</f>
        <v>0.8829717585112612</v>
      </c>
      <c r="P7" s="245">
        <f ca="1">Evaluacion!BF12*N7</f>
        <v>1.0559249895598588</v>
      </c>
      <c r="Q7" s="245">
        <v>0</v>
      </c>
      <c r="R7" s="245">
        <f ca="1">Evaluacion!BG12*N7</f>
        <v>5.4351244132248144</v>
      </c>
      <c r="S7" s="245">
        <f ca="1">Evaluacion!BH12*N7</f>
        <v>2.2239135509158459</v>
      </c>
      <c r="T7" s="245">
        <f ca="1">Evaluacion!BI12*N7</f>
        <v>0.73125839794231595</v>
      </c>
      <c r="U7" s="245">
        <v>0</v>
      </c>
      <c r="V7" s="245">
        <v>0</v>
      </c>
      <c r="W7" s="245">
        <f>Evaluacion!T12*N7</f>
        <v>0.43724999999999997</v>
      </c>
      <c r="X7" s="245">
        <f>Evaluacion!U12*N7</f>
        <v>0.28049999999999997</v>
      </c>
    </row>
    <row r="8" spans="2:25" x14ac:dyDescent="0.25">
      <c r="B8" t="s">
        <v>353</v>
      </c>
      <c r="C8" t="str">
        <f>Evaluacion!A15</f>
        <v>M. Bondarewski</v>
      </c>
      <c r="D8" s="276"/>
      <c r="E8" s="83">
        <f>Evaluacion!K15</f>
        <v>0</v>
      </c>
      <c r="F8" s="83">
        <f>Evaluacion!L15</f>
        <v>2</v>
      </c>
      <c r="G8" s="83">
        <f>Evaluacion!M15</f>
        <v>8.8000000000000007</v>
      </c>
      <c r="H8" s="83">
        <f>Evaluacion!N15</f>
        <v>5</v>
      </c>
      <c r="I8" s="83">
        <f>Evaluacion!O15</f>
        <v>4</v>
      </c>
      <c r="J8" s="83">
        <f>Evaluacion!P15</f>
        <v>8</v>
      </c>
      <c r="K8" s="83">
        <f>Evaluacion!Q15</f>
        <v>6</v>
      </c>
      <c r="M8" t="s">
        <v>353</v>
      </c>
      <c r="N8" s="244">
        <v>0.82499999999999996</v>
      </c>
      <c r="O8" s="245">
        <f ca="1">((Evaluacion!AX15+Evaluacion!AZ15)/2)*N8</f>
        <v>0.28955462107062602</v>
      </c>
      <c r="P8" s="245">
        <f ca="1">Evaluacion!AY15*N8</f>
        <v>0.81708535046384756</v>
      </c>
      <c r="Q8" s="245">
        <f ca="1">O8</f>
        <v>0.28955462107062602</v>
      </c>
      <c r="R8" s="245">
        <f ca="1">Evaluacion!BA15*N8</f>
        <v>7.6527133761596202</v>
      </c>
      <c r="S8" s="245">
        <f ca="1">((Evaluacion!BB15+Evaluacion!BD15)/2)*N8</f>
        <v>0.70069236312628769</v>
      </c>
      <c r="T8" s="245">
        <f ca="1">Evaluacion!BC15*N8</f>
        <v>2.7276850702639499</v>
      </c>
      <c r="U8" s="245">
        <f ca="1">S8</f>
        <v>0.70069236312628769</v>
      </c>
      <c r="V8" s="245">
        <v>0</v>
      </c>
      <c r="W8" s="245">
        <f>Evaluacion!T15*N8</f>
        <v>0.47849999999999993</v>
      </c>
      <c r="X8" s="245">
        <f>Evaluacion!U15*N8</f>
        <v>0.21449999999999994</v>
      </c>
    </row>
    <row r="9" spans="2:25" x14ac:dyDescent="0.25">
      <c r="B9" t="s">
        <v>221</v>
      </c>
      <c r="C9" t="str">
        <f>Evaluacion!A13</f>
        <v>I. Stone</v>
      </c>
      <c r="D9" s="276" t="str">
        <f>Evaluacion!D13</f>
        <v>RAP</v>
      </c>
      <c r="E9" s="83">
        <f>Evaluacion!K13</f>
        <v>0</v>
      </c>
      <c r="F9" s="83">
        <f>Evaluacion!L13</f>
        <v>3</v>
      </c>
      <c r="G9" s="83">
        <f>Evaluacion!M13</f>
        <v>6.25</v>
      </c>
      <c r="H9" s="83">
        <f>Evaluacion!N13</f>
        <v>2</v>
      </c>
      <c r="I9" s="83">
        <f>Evaluacion!O13</f>
        <v>6</v>
      </c>
      <c r="J9" s="83">
        <f>Evaluacion!P13</f>
        <v>9</v>
      </c>
      <c r="K9" s="83">
        <f>Evaluacion!Q13</f>
        <v>2</v>
      </c>
      <c r="M9" t="s">
        <v>221</v>
      </c>
      <c r="N9" s="244">
        <v>0.82499999999999996</v>
      </c>
      <c r="O9" s="245">
        <v>0</v>
      </c>
      <c r="P9" s="245">
        <f ca="1">Evaluacion!BF13*N9</f>
        <v>0.94176700563819349</v>
      </c>
      <c r="Q9" s="245">
        <f ca="1">Evaluacion!BE13*N9</f>
        <v>0.78751206505952376</v>
      </c>
      <c r="R9" s="245">
        <f ca="1">Evaluacion!BG13*N9</f>
        <v>4.7463672614001391</v>
      </c>
      <c r="S9" s="245">
        <v>0</v>
      </c>
      <c r="T9" s="245">
        <f ca="1">Evaluacion!BI13*N9</f>
        <v>1.2486757136747257</v>
      </c>
      <c r="U9" s="245">
        <f ca="1">Evaluacion!BH13*N9</f>
        <v>2.7119108276217068</v>
      </c>
      <c r="V9" s="245">
        <v>0</v>
      </c>
      <c r="W9" s="245">
        <f>Evaluacion!T13*N9</f>
        <v>0.42074999999999996</v>
      </c>
      <c r="X9" s="245">
        <f>Evaluacion!U13*N9</f>
        <v>0.14850000000000002</v>
      </c>
    </row>
    <row r="10" spans="2:25" x14ac:dyDescent="0.25">
      <c r="B10" t="s">
        <v>354</v>
      </c>
      <c r="C10" t="e">
        <f>Evaluacion!#REF!</f>
        <v>#REF!</v>
      </c>
      <c r="D10" s="276"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4">
        <v>1</v>
      </c>
      <c r="O10" s="245" t="e">
        <f>Evaluacion!#REF!</f>
        <v>#REF!</v>
      </c>
      <c r="P10" s="245" t="e">
        <f>Evaluacion!#REF!</f>
        <v>#REF!</v>
      </c>
      <c r="Q10" s="245">
        <v>0</v>
      </c>
      <c r="R10" s="245" t="e">
        <f>Evaluacion!#REF!</f>
        <v>#REF!</v>
      </c>
      <c r="S10" s="245" t="e">
        <f>Evaluacion!#REF!</f>
        <v>#REF!</v>
      </c>
      <c r="T10" s="245" t="e">
        <f>Evaluacion!#REF!</f>
        <v>#REF!</v>
      </c>
      <c r="U10" s="245">
        <v>0</v>
      </c>
      <c r="V10" s="245">
        <v>0</v>
      </c>
      <c r="W10" s="245" t="e">
        <f>Evaluacion!#REF!*N10</f>
        <v>#REF!</v>
      </c>
      <c r="X10" s="245" t="e">
        <f>Evaluacion!#REF!*N10</f>
        <v>#REF!</v>
      </c>
    </row>
    <row r="11" spans="2:25" x14ac:dyDescent="0.25">
      <c r="B11" t="s">
        <v>354</v>
      </c>
      <c r="C11" t="str">
        <f>Evaluacion!A10</f>
        <v>E. Gross</v>
      </c>
      <c r="D11" s="276">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4">
        <v>1</v>
      </c>
      <c r="O11" s="245">
        <v>0</v>
      </c>
      <c r="P11" s="245">
        <f>Evaluacion!BU10</f>
        <v>3.3036855948533406</v>
      </c>
      <c r="Q11" s="245">
        <f>Evaluacion!BT10</f>
        <v>3.8452733972883144</v>
      </c>
      <c r="R11" s="245">
        <f>Evaluacion!BV10</f>
        <v>7.2525612526978298</v>
      </c>
      <c r="S11" s="245">
        <v>0</v>
      </c>
      <c r="T11" s="245">
        <f>Evaluacion!BX10</f>
        <v>1.4447031023657964</v>
      </c>
      <c r="U11" s="245">
        <f>Evaluacion!BW10</f>
        <v>8.9091821274487817</v>
      </c>
      <c r="V11" s="245">
        <v>0</v>
      </c>
      <c r="W11" s="245">
        <f>Evaluacion!T10*N11</f>
        <v>0.5665</v>
      </c>
      <c r="X11" s="245">
        <f>Evaluacion!U10*N11</f>
        <v>0.94099999999999984</v>
      </c>
    </row>
    <row r="12" spans="2:25" x14ac:dyDescent="0.25">
      <c r="B12" t="s">
        <v>64</v>
      </c>
      <c r="C12" t="str">
        <f>Evaluacion!A18</f>
        <v>M. Grupinski</v>
      </c>
      <c r="D12" s="276" t="str">
        <f>Evaluacion!D18</f>
        <v>CAB</v>
      </c>
      <c r="E12" s="83">
        <f>Evaluacion!K18</f>
        <v>0</v>
      </c>
      <c r="F12" s="83">
        <f>Evaluacion!L18</f>
        <v>3</v>
      </c>
      <c r="G12" s="83">
        <f>Evaluacion!M18</f>
        <v>8</v>
      </c>
      <c r="H12" s="83">
        <f>Evaluacion!N18</f>
        <v>9</v>
      </c>
      <c r="I12" s="83">
        <f>Evaluacion!O18</f>
        <v>6</v>
      </c>
      <c r="J12" s="83">
        <f>Evaluacion!P18</f>
        <v>3</v>
      </c>
      <c r="K12" s="83">
        <f>Evaluacion!Q18</f>
        <v>3</v>
      </c>
      <c r="M12" t="s">
        <v>64</v>
      </c>
      <c r="N12" s="244">
        <v>0.94499999999999995</v>
      </c>
      <c r="O12" s="245">
        <v>0</v>
      </c>
      <c r="P12" s="245">
        <v>0</v>
      </c>
      <c r="Q12" s="245">
        <v>0</v>
      </c>
      <c r="R12" s="245">
        <f ca="1">N12*Evaluacion!CK18</f>
        <v>1.9702880529548434</v>
      </c>
      <c r="S12" s="245">
        <f ca="1">N12*Evaluacion!CH18</f>
        <v>3.8509929592085137</v>
      </c>
      <c r="T12" s="245">
        <f ca="1">N12*Evaluacion!CI18</f>
        <v>5.3668873779807207</v>
      </c>
      <c r="U12" s="245">
        <f ca="1">S12</f>
        <v>3.8509929592085137</v>
      </c>
      <c r="V12" s="245">
        <v>0</v>
      </c>
      <c r="W12" s="245">
        <f>Evaluacion!T18*N12</f>
        <v>0.22679999999999997</v>
      </c>
      <c r="X12" s="245">
        <f>Evaluacion!U18*N12</f>
        <v>0.19845000000000002</v>
      </c>
    </row>
    <row r="13" spans="2:25" x14ac:dyDescent="0.25">
      <c r="B13" t="s">
        <v>277</v>
      </c>
      <c r="C13" t="str">
        <f>Evaluacion!A19</f>
        <v>V. Godoi</v>
      </c>
      <c r="D13" s="276">
        <f>Evaluacion!D19</f>
        <v>0</v>
      </c>
      <c r="E13" s="83">
        <f>Evaluacion!K19</f>
        <v>0</v>
      </c>
      <c r="F13" s="83">
        <f>Evaluacion!L19</f>
        <v>3</v>
      </c>
      <c r="G13" s="83">
        <f>Evaluacion!M19</f>
        <v>9.1538461538461533</v>
      </c>
      <c r="H13" s="83">
        <f>Evaluacion!N19</f>
        <v>9</v>
      </c>
      <c r="I13" s="83">
        <f>Evaluacion!O19</f>
        <v>5</v>
      </c>
      <c r="J13" s="83">
        <f>Evaluacion!P19</f>
        <v>5</v>
      </c>
      <c r="K13" s="83">
        <f>Evaluacion!Q19</f>
        <v>1</v>
      </c>
      <c r="M13" t="s">
        <v>277</v>
      </c>
      <c r="N13" s="244">
        <f>1-0.055</f>
        <v>0.94499999999999995</v>
      </c>
      <c r="O13" s="245">
        <v>0</v>
      </c>
      <c r="P13" s="245">
        <v>0</v>
      </c>
      <c r="Q13" s="245">
        <v>0</v>
      </c>
      <c r="R13" s="245">
        <f ca="1">N13*Evaluacion!CD19</f>
        <v>3.9008820896404219</v>
      </c>
      <c r="S13" s="245">
        <f ca="1">N13*Evaluacion!CE19</f>
        <v>3.5050063609576694</v>
      </c>
      <c r="T13" s="245">
        <f ca="1">N13*Evaluacion!CF19</f>
        <v>6.3987194672520848</v>
      </c>
      <c r="U13" s="245">
        <f ca="1">S13</f>
        <v>3.5050063609576694</v>
      </c>
      <c r="V13" s="245">
        <v>0</v>
      </c>
      <c r="W13" s="245">
        <f>Evaluacion!T19*N13</f>
        <v>0.26459999999999995</v>
      </c>
      <c r="X13" s="245">
        <f>Evaluacion!U19*N13</f>
        <v>0.14175000000000001</v>
      </c>
    </row>
    <row r="14" spans="2:25" x14ac:dyDescent="0.25">
      <c r="M14" s="81"/>
      <c r="N14" s="177"/>
      <c r="O14" s="246" t="e">
        <f ca="1">SUM(O3:O13)</f>
        <v>#REF!</v>
      </c>
      <c r="P14" s="246" t="e">
        <f t="shared" ref="P14:X14" ca="1" si="0">SUM(P3:P13)</f>
        <v>#REF!</v>
      </c>
      <c r="Q14" s="246">
        <f t="shared" ca="1" si="0"/>
        <v>33.771734999204163</v>
      </c>
      <c r="R14" s="246" t="e">
        <f t="shared" ca="1" si="0"/>
        <v>#REF!</v>
      </c>
      <c r="S14" s="246" t="e">
        <f t="shared" ca="1" si="0"/>
        <v>#REF!</v>
      </c>
      <c r="T14" s="246" t="e">
        <f t="shared" ca="1" si="0"/>
        <v>#REF!</v>
      </c>
      <c r="U14" s="246">
        <f t="shared" ca="1" si="0"/>
        <v>29.088929823232604</v>
      </c>
      <c r="V14" s="294">
        <f t="shared" si="0"/>
        <v>9.2567083333333322</v>
      </c>
      <c r="W14" s="294" t="e">
        <f t="shared" si="0"/>
        <v>#REF!</v>
      </c>
      <c r="X14" s="294" t="e">
        <f t="shared" si="0"/>
        <v>#REF!</v>
      </c>
    </row>
    <row r="15" spans="2:25" ht="15.75" x14ac:dyDescent="0.25">
      <c r="M15" s="81"/>
      <c r="N15" s="81" t="s">
        <v>359</v>
      </c>
      <c r="O15" s="248" t="e">
        <f ca="1">O14*0.34</f>
        <v>#REF!</v>
      </c>
      <c r="P15" s="248" t="e">
        <f ca="1">P14*0.245</f>
        <v>#REF!</v>
      </c>
      <c r="Q15" s="248">
        <f ca="1">Q14*0.34</f>
        <v>11.482389899729416</v>
      </c>
      <c r="R15" s="248" t="e">
        <f ca="1">R14*0.125</f>
        <v>#REF!</v>
      </c>
      <c r="S15" s="248" t="e">
        <f ca="1">S14*0.25</f>
        <v>#REF!</v>
      </c>
      <c r="T15" s="248" t="e">
        <f ca="1">T14*0.19</f>
        <v>#REF!</v>
      </c>
      <c r="U15" s="248">
        <f ca="1">U14*0.25</f>
        <v>7.272232455808151</v>
      </c>
    </row>
    <row r="16" spans="2:25" ht="15.75" x14ac:dyDescent="0.25">
      <c r="M16" s="81"/>
      <c r="N16" s="81" t="s">
        <v>360</v>
      </c>
      <c r="O16" s="257" t="e">
        <f ca="1">O15*1.2/1.05</f>
        <v>#REF!</v>
      </c>
      <c r="P16" s="257" t="e">
        <f t="shared" ref="P16:Q16" ca="1" si="1">P15*1.2/1.05</f>
        <v>#REF!</v>
      </c>
      <c r="Q16" s="257">
        <f t="shared" ca="1" si="1"/>
        <v>13.122731313976473</v>
      </c>
      <c r="R16" s="257" t="e">
        <f ca="1">R15</f>
        <v>#REF!</v>
      </c>
      <c r="S16" s="257" t="e">
        <f ca="1">S15*0.925/1.05</f>
        <v>#REF!</v>
      </c>
      <c r="T16" s="257" t="e">
        <f t="shared" ref="T16:U16" ca="1" si="2">T15*0.925/1.05</f>
        <v>#REF!</v>
      </c>
      <c r="U16" s="257">
        <f t="shared" ca="1" si="2"/>
        <v>6.4064904967833716</v>
      </c>
    </row>
    <row r="17" spans="13:21" ht="15.75" x14ac:dyDescent="0.25">
      <c r="M17" s="81"/>
      <c r="N17" s="81" t="s">
        <v>361</v>
      </c>
      <c r="O17" s="257" t="e">
        <f ca="1">O15*0.925/1.05</f>
        <v>#REF!</v>
      </c>
      <c r="P17" s="257" t="e">
        <f t="shared" ref="P17:Q17" ca="1" si="3">P15*0.925/1.05</f>
        <v>#REF!</v>
      </c>
      <c r="Q17" s="257">
        <f t="shared" ca="1" si="3"/>
        <v>10.1154387211902</v>
      </c>
      <c r="R17" s="257" t="e">
        <f ca="1">R16</f>
        <v>#REF!</v>
      </c>
      <c r="S17" s="257" t="e">
        <f ca="1">S15*1.135/1.05</f>
        <v>#REF!</v>
      </c>
      <c r="T17" s="257" t="e">
        <f t="shared" ref="T17:U17" ca="1" si="4">T15*1.135/1.05</f>
        <v>#REF!</v>
      </c>
      <c r="U17" s="257">
        <f t="shared" ca="1" si="4"/>
        <v>7.860936987945002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2" t="s">
        <v>100</v>
      </c>
      <c r="B1" s="192" t="s">
        <v>71</v>
      </c>
      <c r="C1" s="192" t="s">
        <v>314</v>
      </c>
      <c r="D1" s="192" t="s">
        <v>1</v>
      </c>
      <c r="E1" s="192" t="s">
        <v>2</v>
      </c>
      <c r="F1" s="192" t="s">
        <v>321</v>
      </c>
      <c r="G1" s="192" t="s">
        <v>63</v>
      </c>
      <c r="H1" s="192" t="s">
        <v>262</v>
      </c>
      <c r="I1" s="192" t="s">
        <v>322</v>
      </c>
      <c r="J1" s="192" t="s">
        <v>0</v>
      </c>
      <c r="L1" s="243">
        <v>541</v>
      </c>
      <c r="M1" s="177"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4">
        <v>1</v>
      </c>
      <c r="N2" s="245">
        <f ca="1">Evaluacion!X3</f>
        <v>15.721407074755762</v>
      </c>
      <c r="O2" s="245">
        <f ca="1">Evaluacion!Y3</f>
        <v>23.169483486265392</v>
      </c>
      <c r="P2" s="245">
        <f ca="1">Evaluacion!Z3</f>
        <v>15.721407074755762</v>
      </c>
      <c r="Q2" s="245">
        <v>0</v>
      </c>
      <c r="R2" s="245">
        <v>0</v>
      </c>
      <c r="S2" s="245">
        <v>0</v>
      </c>
      <c r="T2" s="245">
        <v>0</v>
      </c>
      <c r="U2" s="245">
        <v>0</v>
      </c>
      <c r="V2" s="245">
        <f>Evaluacion!T3</f>
        <v>0.54600000000000004</v>
      </c>
      <c r="W2" s="245">
        <f>Evaluacion!U3</f>
        <v>1.024</v>
      </c>
      <c r="AA2" s="250"/>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4">
        <v>1</v>
      </c>
      <c r="N3" s="245">
        <f>Evaluacion!AI9</f>
        <v>11.37489437088448</v>
      </c>
      <c r="O3" s="245">
        <f>Evaluacion!AJ9</f>
        <v>5.1187024668980152</v>
      </c>
      <c r="P3" s="245">
        <v>0</v>
      </c>
      <c r="Q3" s="245">
        <f>Evaluacion!AK9</f>
        <v>2.8490782752946107</v>
      </c>
      <c r="R3" s="245">
        <f>Evaluacion!AL9</f>
        <v>9.4111451848696461</v>
      </c>
      <c r="S3" s="245">
        <v>0</v>
      </c>
      <c r="T3" s="245">
        <v>0</v>
      </c>
      <c r="U3" s="245">
        <f>Evaluacion!R9</f>
        <v>4.0254583333333329</v>
      </c>
      <c r="V3" s="245">
        <f>Evaluacion!T9</f>
        <v>0.67749999999999999</v>
      </c>
      <c r="W3" s="245">
        <f>Evaluacion!U9</f>
        <v>0.8521466666666665</v>
      </c>
      <c r="AA3" s="251"/>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4">
        <v>0.9</v>
      </c>
      <c r="N4" s="245">
        <f>M4*Evaluacion!AM7</f>
        <v>8.2588701291456008</v>
      </c>
      <c r="O4" s="245">
        <f>M4*Evaluacion!AN7</f>
        <v>7.755013330815764</v>
      </c>
      <c r="P4" s="245">
        <v>0</v>
      </c>
      <c r="Q4" s="245">
        <f>M4*Evaluacion!AO7</f>
        <v>2.3900553461104979</v>
      </c>
      <c r="R4" s="245">
        <f>M4*Evaluacion!AP7</f>
        <v>1.6477872938911577</v>
      </c>
      <c r="S4" s="245">
        <v>0</v>
      </c>
      <c r="T4" s="245">
        <v>0</v>
      </c>
      <c r="U4" s="245">
        <f>Evaluacion!R7</f>
        <v>3.7914166666666662</v>
      </c>
      <c r="V4" s="245">
        <f>Evaluacion!T7*M4</f>
        <v>0.4928249999999999</v>
      </c>
      <c r="W4" s="245">
        <f>Evaluacion!U7*M4</f>
        <v>0.70584299999999989</v>
      </c>
      <c r="AA4" s="251"/>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4">
        <v>0.9</v>
      </c>
      <c r="N5" s="245">
        <f>M5*(Evaluacion!AA6+Evaluacion!AC6)/2</f>
        <v>5.1824170041929651</v>
      </c>
      <c r="O5" s="245">
        <f>M5*Evaluacion!AB6</f>
        <v>13.391258408767349</v>
      </c>
      <c r="P5" s="245">
        <f>N5</f>
        <v>5.1824170041929651</v>
      </c>
      <c r="Q5" s="245">
        <f>M5*Evaluacion!AD6</f>
        <v>1.9019195012866297</v>
      </c>
      <c r="R5" s="245">
        <v>0</v>
      </c>
      <c r="S5" s="245">
        <f>0</f>
        <v>0</v>
      </c>
      <c r="T5" s="245">
        <v>0</v>
      </c>
      <c r="U5" s="245">
        <f>Evaluacion!R6</f>
        <v>3.8562499999999997</v>
      </c>
      <c r="V5" s="245">
        <f>Evaluacion!T6*M5</f>
        <v>0.51974999999999993</v>
      </c>
      <c r="W5" s="245">
        <f>Evaluacion!U6*M5</f>
        <v>0.86219999999999997</v>
      </c>
      <c r="AA5" s="251"/>
    </row>
    <row r="6" spans="1:27" x14ac:dyDescent="0.25">
      <c r="A6" t="s">
        <v>363</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0.95</v>
      </c>
      <c r="J6" s="83">
        <f>Evaluacion!Q5</f>
        <v>17.177777777777774</v>
      </c>
      <c r="L6" t="str">
        <f t="shared" si="0"/>
        <v>DCHL</v>
      </c>
      <c r="M6" s="244">
        <v>0.9</v>
      </c>
      <c r="N6" s="245">
        <v>0</v>
      </c>
      <c r="O6" s="245">
        <f>M6*Evaluacion!AN5</f>
        <v>9.6368195203357683</v>
      </c>
      <c r="P6" s="245">
        <f>M6*Evaluacion!AM5</f>
        <v>10.262940562617469</v>
      </c>
      <c r="Q6" s="245">
        <f>M6*Evaluacion!AO5</f>
        <v>3.0588266100227024</v>
      </c>
      <c r="R6" s="245">
        <v>0</v>
      </c>
      <c r="S6" s="245">
        <v>0</v>
      </c>
      <c r="T6" s="245">
        <f>M6*Evaluacion!AP5</f>
        <v>1.8869621777637025</v>
      </c>
      <c r="U6" s="245">
        <f>Evaluacion!R5</f>
        <v>4.1062499999999993</v>
      </c>
      <c r="V6" s="245">
        <f>Evaluacion!T5*M6</f>
        <v>0.50654999999999983</v>
      </c>
      <c r="W6" s="245">
        <f>Evaluacion!U5*M6</f>
        <v>0.89399999999999991</v>
      </c>
      <c r="AA6" s="251"/>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4">
        <v>1</v>
      </c>
      <c r="N7" s="245">
        <v>0</v>
      </c>
      <c r="O7" s="245" t="e">
        <f>Evaluacion!#REF!</f>
        <v>#REF!</v>
      </c>
      <c r="P7" s="245" t="e">
        <f>Evaluacion!#REF!</f>
        <v>#REF!</v>
      </c>
      <c r="Q7" s="245" t="e">
        <f>Evaluacion!#REF!</f>
        <v>#REF!</v>
      </c>
      <c r="R7" s="245">
        <v>0</v>
      </c>
      <c r="S7" s="245">
        <v>0</v>
      </c>
      <c r="T7" s="245" t="e">
        <f>Evaluacion!#REF!</f>
        <v>#REF!</v>
      </c>
      <c r="U7" s="245" t="e">
        <f>Evaluacion!#REF!</f>
        <v>#REF!</v>
      </c>
      <c r="V7" s="245" t="e">
        <f>Evaluacion!#REF!</f>
        <v>#REF!</v>
      </c>
      <c r="W7" s="245" t="e">
        <f>Evaluacion!#REF!</f>
        <v>#REF!</v>
      </c>
      <c r="AA7" s="251"/>
    </row>
    <row r="8" spans="1:27" x14ac:dyDescent="0.25">
      <c r="A8" t="s">
        <v>221</v>
      </c>
      <c r="B8" t="str">
        <f>Evaluacion!A13</f>
        <v>I. Stone</v>
      </c>
      <c r="C8" t="str">
        <f>Evaluacion!D13</f>
        <v>RAP</v>
      </c>
      <c r="D8" s="83">
        <f>Evaluacion!K13</f>
        <v>0</v>
      </c>
      <c r="E8" s="83">
        <f>Evaluacion!L13</f>
        <v>3</v>
      </c>
      <c r="F8" s="83">
        <f>Evaluacion!M13</f>
        <v>6.25</v>
      </c>
      <c r="G8" s="83">
        <f>Evaluacion!N13</f>
        <v>2</v>
      </c>
      <c r="H8" s="83">
        <f>Evaluacion!O13</f>
        <v>6</v>
      </c>
      <c r="I8" s="83">
        <f>Evaluacion!P13</f>
        <v>9</v>
      </c>
      <c r="J8" s="83">
        <f>Evaluacion!Q13</f>
        <v>2</v>
      </c>
      <c r="L8" t="str">
        <f t="shared" si="0"/>
        <v>IHL</v>
      </c>
      <c r="M8" s="244">
        <f>1-0.065</f>
        <v>0.93500000000000005</v>
      </c>
      <c r="N8" s="245">
        <f ca="1">M8*Evaluacion!BE13</f>
        <v>0.89251367373412704</v>
      </c>
      <c r="O8" s="245">
        <f ca="1">M8*Evaluacion!BF13</f>
        <v>1.067335939723286</v>
      </c>
      <c r="P8" s="245">
        <v>0</v>
      </c>
      <c r="Q8" s="245">
        <f ca="1">Evaluacion!BG13*M8</f>
        <v>5.3792162295868255</v>
      </c>
      <c r="R8" s="245">
        <f ca="1">Evaluacion!BH13*M8</f>
        <v>3.0734989379712681</v>
      </c>
      <c r="S8" s="245">
        <f ca="1">Evaluacion!BI13*M8</f>
        <v>1.4151658088313561</v>
      </c>
      <c r="T8" s="245">
        <v>0</v>
      </c>
      <c r="U8" s="245">
        <v>0</v>
      </c>
      <c r="V8" s="245">
        <f>Evaluacion!T13*M8</f>
        <v>0.47685000000000005</v>
      </c>
      <c r="W8" s="245">
        <f>Evaluacion!U13*M8</f>
        <v>0.16830000000000003</v>
      </c>
      <c r="AA8" s="251"/>
    </row>
    <row r="9" spans="1:27" x14ac:dyDescent="0.25">
      <c r="A9" t="s">
        <v>221</v>
      </c>
      <c r="B9" t="str">
        <f>Evaluacion!A12</f>
        <v>I. Vanags</v>
      </c>
      <c r="C9" t="str">
        <f>Evaluacion!D12</f>
        <v>CAB</v>
      </c>
      <c r="D9" s="83">
        <f>Evaluacion!K12</f>
        <v>0</v>
      </c>
      <c r="E9" s="83">
        <f>Evaluacion!L12</f>
        <v>4</v>
      </c>
      <c r="F9" s="83">
        <f>Evaluacion!M12</f>
        <v>7.8</v>
      </c>
      <c r="G9" s="83">
        <f>Evaluacion!N12</f>
        <v>3</v>
      </c>
      <c r="H9" s="83">
        <f>Evaluacion!O12</f>
        <v>4</v>
      </c>
      <c r="I9" s="83">
        <f>Evaluacion!P12</f>
        <v>7</v>
      </c>
      <c r="J9" s="83">
        <f>Evaluacion!Q12</f>
        <v>6</v>
      </c>
      <c r="L9" t="str">
        <f t="shared" si="0"/>
        <v>IHL</v>
      </c>
      <c r="M9" s="244">
        <f>1-0.065</f>
        <v>0.93500000000000005</v>
      </c>
      <c r="N9" s="245">
        <v>0</v>
      </c>
      <c r="O9" s="245">
        <f ca="1">M9*Evaluacion!BF12</f>
        <v>1.1967149881678401</v>
      </c>
      <c r="P9" s="245">
        <f ca="1">M9*Evaluacion!BE12</f>
        <v>1.0007013263127629</v>
      </c>
      <c r="Q9" s="245">
        <f ca="1">Evaluacion!BG12*M9</f>
        <v>6.1598076683214567</v>
      </c>
      <c r="R9" s="245">
        <v>0</v>
      </c>
      <c r="S9" s="245">
        <f ca="1">Evaluacion!BI12*M9</f>
        <v>0.82875951766795819</v>
      </c>
      <c r="T9" s="245">
        <f ca="1">Evaluacion!BH12*M9</f>
        <v>2.5204353577046259</v>
      </c>
      <c r="U9" s="245">
        <v>0</v>
      </c>
      <c r="V9" s="245">
        <f>Evaluacion!T12*M9</f>
        <v>0.49555000000000005</v>
      </c>
      <c r="W9" s="245">
        <f>Evaluacion!U12*M9</f>
        <v>0.31790000000000002</v>
      </c>
      <c r="AA9" s="251"/>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4">
        <v>1</v>
      </c>
      <c r="N10" s="245">
        <f>Evaluacion!BT10</f>
        <v>3.8452733972883144</v>
      </c>
      <c r="O10" s="245">
        <f>Evaluacion!BU10</f>
        <v>3.3036855948533406</v>
      </c>
      <c r="P10" s="245">
        <v>0</v>
      </c>
      <c r="Q10" s="245">
        <f>Evaluacion!BV10</f>
        <v>7.2525612526978298</v>
      </c>
      <c r="R10" s="245">
        <f>Evaluacion!BW10</f>
        <v>8.9091821274487817</v>
      </c>
      <c r="S10" s="245">
        <f>Evaluacion!BX10</f>
        <v>1.4447031023657964</v>
      </c>
      <c r="T10" s="245">
        <v>0</v>
      </c>
      <c r="U10" s="245">
        <v>0</v>
      </c>
      <c r="V10" s="245">
        <f>Evaluacion!T10</f>
        <v>0.5665</v>
      </c>
      <c r="W10" s="245">
        <f>Evaluacion!U10</f>
        <v>0.94099999999999984</v>
      </c>
      <c r="AA10" s="251"/>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4">
        <v>1</v>
      </c>
      <c r="N11" s="245">
        <v>0</v>
      </c>
      <c r="O11" s="245">
        <f>Evaluacion!BU11</f>
        <v>1.9574913600371331</v>
      </c>
      <c r="P11" s="245">
        <f>Evaluacion!BT11</f>
        <v>2.2783915829940402</v>
      </c>
      <c r="Q11" s="245">
        <f>Evaluacion!BV11</f>
        <v>5.1737822583570425</v>
      </c>
      <c r="R11" s="245">
        <v>0</v>
      </c>
      <c r="S11" s="245">
        <f>Evaluacion!BX11</f>
        <v>1.369834952222422</v>
      </c>
      <c r="T11" s="245">
        <f>Evaluacion!BW11</f>
        <v>10.815612620350775</v>
      </c>
      <c r="U11" s="245">
        <v>0</v>
      </c>
      <c r="V11" s="245">
        <f>Evaluacion!T11</f>
        <v>0.53291666666666671</v>
      </c>
      <c r="W11" s="245">
        <f>Evaluacion!U11</f>
        <v>0.61147888888888879</v>
      </c>
      <c r="AA11" s="251"/>
    </row>
    <row r="12" spans="1:27" x14ac:dyDescent="0.25">
      <c r="A12" t="s">
        <v>277</v>
      </c>
      <c r="B12" t="str">
        <f>Evaluacion!A19</f>
        <v>V. Godoi</v>
      </c>
      <c r="C12">
        <f>Evaluacion!D19</f>
        <v>0</v>
      </c>
      <c r="D12" s="83">
        <f>Evaluacion!K19</f>
        <v>0</v>
      </c>
      <c r="E12" s="83">
        <f>Evaluacion!L19</f>
        <v>3</v>
      </c>
      <c r="F12" s="83">
        <f>Evaluacion!M19</f>
        <v>9.1538461538461533</v>
      </c>
      <c r="G12" s="83">
        <f>Evaluacion!N19</f>
        <v>9</v>
      </c>
      <c r="H12" s="83">
        <f>Evaluacion!O19</f>
        <v>5</v>
      </c>
      <c r="I12" s="83">
        <f>Evaluacion!P19</f>
        <v>5</v>
      </c>
      <c r="J12" s="83">
        <f>Evaluacion!Q19</f>
        <v>1</v>
      </c>
      <c r="L12" t="str">
        <f t="shared" si="0"/>
        <v>DD</v>
      </c>
      <c r="M12" s="244">
        <v>1</v>
      </c>
      <c r="N12" s="245">
        <v>0</v>
      </c>
      <c r="O12" s="245">
        <v>0</v>
      </c>
      <c r="P12" s="245">
        <v>0</v>
      </c>
      <c r="Q12" s="245">
        <f ca="1">M12*Evaluacion!CD19</f>
        <v>4.12791755517505</v>
      </c>
      <c r="R12" s="245">
        <f ca="1">M12*Evaluacion!CE19</f>
        <v>3.7090014401668463</v>
      </c>
      <c r="S12" s="245">
        <f ca="1">M12*Evaluacion!CF19</f>
        <v>6.7711317113778682</v>
      </c>
      <c r="T12" s="245">
        <f ca="1">R12</f>
        <v>3.7090014401668463</v>
      </c>
      <c r="U12" s="245">
        <v>0</v>
      </c>
      <c r="V12" s="245">
        <f>Evaluacion!T19*M12</f>
        <v>0.27999999999999997</v>
      </c>
      <c r="W12" s="245">
        <f>Evaluacion!U19*M12</f>
        <v>0.15000000000000002</v>
      </c>
      <c r="AA12" s="251"/>
    </row>
    <row r="13" spans="1:27" x14ac:dyDescent="0.25">
      <c r="L13" s="81"/>
      <c r="M13" s="177"/>
      <c r="N13" s="246">
        <f ca="1">SUM(N2:N12)</f>
        <v>45.275375650001251</v>
      </c>
      <c r="O13" s="246" t="e">
        <f t="shared" ref="O13:W13" ca="1" si="1">SUM(O2:O12)</f>
        <v>#REF!</v>
      </c>
      <c r="P13" s="246" t="e">
        <f t="shared" ca="1" si="1"/>
        <v>#REF!</v>
      </c>
      <c r="Q13" s="246" t="e">
        <f t="shared" si="1"/>
        <v>#REF!</v>
      </c>
      <c r="R13" s="246">
        <f t="shared" ca="1" si="1"/>
        <v>26.750614984347703</v>
      </c>
      <c r="S13" s="246">
        <f t="shared" ca="1" si="1"/>
        <v>11.8295950924654</v>
      </c>
      <c r="T13" s="246" t="e">
        <f t="shared" si="1"/>
        <v>#REF!</v>
      </c>
      <c r="U13" s="247" t="e">
        <f t="shared" si="1"/>
        <v>#REF!</v>
      </c>
      <c r="V13" s="247" t="e">
        <f t="shared" si="1"/>
        <v>#REF!</v>
      </c>
      <c r="W13" s="247" t="e">
        <f t="shared" si="1"/>
        <v>#REF!</v>
      </c>
    </row>
    <row r="14" spans="1:27" ht="15.75" x14ac:dyDescent="0.25">
      <c r="L14" s="81"/>
      <c r="M14" s="81" t="s">
        <v>359</v>
      </c>
      <c r="N14" s="248">
        <f ca="1">N13*0.34</f>
        <v>15.393627721000426</v>
      </c>
      <c r="O14" s="248" t="e">
        <f ca="1">O13*0.245</f>
        <v>#REF!</v>
      </c>
      <c r="P14" s="248" t="e">
        <f ca="1">P13*0.34</f>
        <v>#REF!</v>
      </c>
      <c r="Q14" s="248" t="e">
        <f>Q13*0.125</f>
        <v>#REF!</v>
      </c>
      <c r="R14" s="248">
        <f ca="1">R13*0.25</f>
        <v>6.6876537460869256</v>
      </c>
      <c r="S14" s="248">
        <f ca="1">S13*0.19</f>
        <v>2.2476230675684259</v>
      </c>
      <c r="T14" s="248" t="e">
        <f>T13*0.25</f>
        <v>#REF!</v>
      </c>
    </row>
    <row r="15" spans="1:27" ht="15.75" x14ac:dyDescent="0.25">
      <c r="L15" s="81"/>
      <c r="M15" s="81" t="s">
        <v>360</v>
      </c>
      <c r="N15" s="257">
        <f ca="1">N14*1.2/1.05</f>
        <v>17.592717395429055</v>
      </c>
      <c r="O15" s="257" t="e">
        <f t="shared" ref="O15:P15" ca="1" si="2">O14*1.2/1.05</f>
        <v>#REF!</v>
      </c>
      <c r="P15" s="257" t="e">
        <f t="shared" ca="1" si="2"/>
        <v>#REF!</v>
      </c>
      <c r="Q15" s="257" t="e">
        <f>Q14</f>
        <v>#REF!</v>
      </c>
      <c r="R15" s="257">
        <f ca="1">R14*0.925/1.05</f>
        <v>5.8915044906003873</v>
      </c>
      <c r="S15" s="257">
        <f t="shared" ref="S15:T15" ca="1" si="3">S14*0.925/1.05</f>
        <v>1.9800488928578992</v>
      </c>
      <c r="T15" s="257" t="e">
        <f t="shared" si="3"/>
        <v>#REF!</v>
      </c>
    </row>
    <row r="16" spans="1:27" ht="15.75" x14ac:dyDescent="0.25">
      <c r="L16" s="81"/>
      <c r="M16" s="81" t="s">
        <v>361</v>
      </c>
      <c r="N16" s="257">
        <f ca="1">N14*0.925/1.05</f>
        <v>13.5610529923099</v>
      </c>
      <c r="O16" s="257" t="e">
        <f t="shared" ref="O16:P16" ca="1" si="4">O14*0.925/1.05</f>
        <v>#REF!</v>
      </c>
      <c r="P16" s="257" t="e">
        <f t="shared" ca="1" si="4"/>
        <v>#REF!</v>
      </c>
      <c r="Q16" s="257" t="e">
        <f>Q15</f>
        <v>#REF!</v>
      </c>
      <c r="R16" s="257">
        <f ca="1">R14*1.135/1.05</f>
        <v>7.2290352398177715</v>
      </c>
      <c r="S16" s="257">
        <f t="shared" ref="S16:T16" ca="1" si="5">S14*1.135/1.05</f>
        <v>2.4295735063715838</v>
      </c>
      <c r="T16" s="257"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8" bestFit="1" customWidth="1"/>
    <col min="13" max="13" width="6.5703125" style="264" customWidth="1"/>
    <col min="14" max="14" width="8.28515625" style="258"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6">
        <f>SUM(Y4:Y12)</f>
        <v>0.23658764552873529</v>
      </c>
      <c r="Z2" s="266">
        <f>SUM(Z4:Z12)</f>
        <v>0.33824859010884656</v>
      </c>
      <c r="AA2" s="266"/>
      <c r="AD2" s="192" t="s">
        <v>100</v>
      </c>
      <c r="AE2" s="192" t="s">
        <v>71</v>
      </c>
      <c r="AG2" s="192" t="s">
        <v>100</v>
      </c>
      <c r="AH2" s="192"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9">
        <v>1</v>
      </c>
      <c r="M3" s="259">
        <v>0.5</v>
      </c>
      <c r="N3" s="94" t="s">
        <v>377</v>
      </c>
      <c r="O3" s="263" t="s">
        <v>1</v>
      </c>
      <c r="P3" s="261" t="s">
        <v>352</v>
      </c>
      <c r="Q3" s="260" t="s">
        <v>370</v>
      </c>
      <c r="R3" s="260" t="s">
        <v>376</v>
      </c>
      <c r="S3" s="260" t="s">
        <v>371</v>
      </c>
      <c r="T3" s="260" t="s">
        <v>353</v>
      </c>
      <c r="U3" s="260" t="s">
        <v>221</v>
      </c>
      <c r="V3" s="260" t="s">
        <v>375</v>
      </c>
      <c r="W3" s="261" t="s">
        <v>277</v>
      </c>
      <c r="X3" s="261" t="s">
        <v>64</v>
      </c>
      <c r="Y3" s="260" t="s">
        <v>373</v>
      </c>
      <c r="Z3" s="263" t="s">
        <v>374</v>
      </c>
      <c r="AA3" s="263" t="s">
        <v>378</v>
      </c>
      <c r="AD3" t="s">
        <v>1</v>
      </c>
      <c r="AE3" t="s">
        <v>344</v>
      </c>
      <c r="AG3" t="s">
        <v>1</v>
      </c>
      <c r="AH3" t="s">
        <v>344</v>
      </c>
    </row>
    <row r="4" spans="1:34" x14ac:dyDescent="0.25">
      <c r="A4" s="86" t="str">
        <f>Plantilla!A11</f>
        <v>#12</v>
      </c>
      <c r="B4" s="52" t="str">
        <f>Plantilla!D11</f>
        <v>E. Gross</v>
      </c>
      <c r="C4" s="3">
        <f>Plantilla!E11</f>
        <v>35</v>
      </c>
      <c r="D4" s="3">
        <f ca="1">Plantilla!F11</f>
        <v>89</v>
      </c>
      <c r="E4" s="49">
        <f>Plantilla!X11</f>
        <v>0</v>
      </c>
      <c r="F4" s="49">
        <f>Plantilla!Y11</f>
        <v>10.549999999999995</v>
      </c>
      <c r="G4" s="49">
        <f>Plantilla!Z11</f>
        <v>12.95</v>
      </c>
      <c r="H4" s="49">
        <f>Plantilla!AA11</f>
        <v>3.95</v>
      </c>
      <c r="I4" s="49">
        <f>Plantilla!AB11</f>
        <v>8.9499999999999993</v>
      </c>
      <c r="J4" s="49">
        <f>Plantilla!AC11</f>
        <v>0.95</v>
      </c>
      <c r="K4" s="49">
        <f>Plantilla!AD11</f>
        <v>17.3</v>
      </c>
      <c r="L4" s="115">
        <f>1/13</f>
        <v>7.6923076923076927E-2</v>
      </c>
      <c r="M4" s="115"/>
      <c r="N4" s="115">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2">
        <f>P4</f>
        <v>6.6819197896120994E-2</v>
      </c>
      <c r="Z4" s="142">
        <f>P4</f>
        <v>6.6819197896120994E-2</v>
      </c>
      <c r="AA4" s="142">
        <f t="shared" ref="AA4:AA23" si="9">MAX(Z4,Y4)</f>
        <v>6.6819197896120994E-2</v>
      </c>
      <c r="AD4" t="s">
        <v>351</v>
      </c>
      <c r="AE4" s="275" t="s">
        <v>381</v>
      </c>
      <c r="AG4" t="s">
        <v>351</v>
      </c>
      <c r="AH4" s="275" t="str">
        <f>AE4</f>
        <v>B. Pinczehelyi</v>
      </c>
    </row>
    <row r="5" spans="1:34" x14ac:dyDescent="0.25">
      <c r="A5" s="86" t="str">
        <f>Plantilla!A7</f>
        <v>#24</v>
      </c>
      <c r="B5" s="52" t="str">
        <f>Plantilla!D7</f>
        <v>B. Bartolache</v>
      </c>
      <c r="C5" s="3">
        <f>Plantilla!E7</f>
        <v>36</v>
      </c>
      <c r="D5" s="3">
        <f ca="1">Plantilla!F7</f>
        <v>13</v>
      </c>
      <c r="E5" s="49">
        <f>Plantilla!X7</f>
        <v>0</v>
      </c>
      <c r="F5" s="49">
        <f>Plantilla!Y7</f>
        <v>11.95</v>
      </c>
      <c r="G5" s="49">
        <f>Plantilla!Z7</f>
        <v>5.95</v>
      </c>
      <c r="H5" s="49">
        <f>Plantilla!AA7</f>
        <v>6.95</v>
      </c>
      <c r="I5" s="49">
        <f>Plantilla!AB7</f>
        <v>7.95</v>
      </c>
      <c r="J5" s="49">
        <f>Plantilla!AC7</f>
        <v>1.95</v>
      </c>
      <c r="K5" s="49">
        <f>Plantilla!AD7</f>
        <v>16</v>
      </c>
      <c r="L5" s="115">
        <f>1/15</f>
        <v>6.6666666666666666E-2</v>
      </c>
      <c r="M5" s="115"/>
      <c r="N5" s="115">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2"/>
      <c r="Z5" s="142">
        <f>R5</f>
        <v>4.8982336182336182E-2</v>
      </c>
      <c r="AA5" s="142">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5">
        <f>1/15</f>
        <v>6.6666666666666666E-2</v>
      </c>
      <c r="M6" s="115"/>
      <c r="N6" s="115">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2"/>
      <c r="Z6" s="142">
        <f>R6</f>
        <v>4.8982336182336182E-2</v>
      </c>
      <c r="AA6" s="142">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28</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5">
        <f>1/18</f>
        <v>5.5555555555555552E-2</v>
      </c>
      <c r="M7" s="115"/>
      <c r="N7" s="115">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2">
        <f>S7</f>
        <v>3.930579297245964E-2</v>
      </c>
      <c r="Z7" s="142">
        <f>R7</f>
        <v>4.0818613485280153E-2</v>
      </c>
      <c r="AA7" s="142">
        <f t="shared" si="9"/>
        <v>4.0818613485280153E-2</v>
      </c>
      <c r="AD7" t="s">
        <v>221</v>
      </c>
      <c r="AE7" t="s">
        <v>291</v>
      </c>
      <c r="AG7" t="s">
        <v>363</v>
      </c>
      <c r="AH7" t="s">
        <v>99</v>
      </c>
    </row>
    <row r="8" spans="1:34" x14ac:dyDescent="0.25">
      <c r="A8" s="86" t="str">
        <f>Plantilla!A9</f>
        <v>#7</v>
      </c>
      <c r="B8" s="52" t="str">
        <f>Plantilla!D9</f>
        <v>E. Romweber</v>
      </c>
      <c r="C8" s="3">
        <f>Plantilla!E9</f>
        <v>35</v>
      </c>
      <c r="D8" s="3">
        <f ca="1">Plantilla!F9</f>
        <v>102</v>
      </c>
      <c r="E8" s="49">
        <f>Plantilla!X9</f>
        <v>0</v>
      </c>
      <c r="F8" s="49">
        <f>Plantilla!Y9</f>
        <v>11.95</v>
      </c>
      <c r="G8" s="49">
        <f>Plantilla!Z9</f>
        <v>11.95</v>
      </c>
      <c r="H8" s="49">
        <f>Plantilla!AA9</f>
        <v>12.95</v>
      </c>
      <c r="I8" s="49">
        <f>Plantilla!AB9</f>
        <v>9.9499999999999993</v>
      </c>
      <c r="J8" s="49">
        <f>Plantilla!AC9</f>
        <v>5.95</v>
      </c>
      <c r="K8" s="49">
        <f>Plantilla!AD9</f>
        <v>17.529999999999998</v>
      </c>
      <c r="L8" s="115">
        <f>1/18</f>
        <v>5.5555555555555552E-2</v>
      </c>
      <c r="M8" s="115"/>
      <c r="N8" s="115">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2">
        <f>V8</f>
        <v>9.3280555555555547E-3</v>
      </c>
      <c r="Z8" s="142">
        <f>S8</f>
        <v>3.930579297245964E-2</v>
      </c>
      <c r="AA8" s="142">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5">
        <f>1/5</f>
        <v>0.2</v>
      </c>
      <c r="M9" s="115"/>
      <c r="N9" s="115">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2">
        <f>U9</f>
        <v>3.6839999999999998E-2</v>
      </c>
      <c r="Z9" s="142">
        <f>U9</f>
        <v>3.6839999999999998E-2</v>
      </c>
      <c r="AA9" s="142">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5">
        <f>1/25</f>
        <v>0.04</v>
      </c>
      <c r="M10" s="115"/>
      <c r="N10" s="115">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2">
        <f>S10</f>
        <v>2.8300170940170941E-2</v>
      </c>
      <c r="Z10" s="142">
        <f>S10</f>
        <v>2.8300170940170941E-2</v>
      </c>
      <c r="AA10" s="142">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17</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5">
        <f>1/12</f>
        <v>8.3333333333333329E-2</v>
      </c>
      <c r="M11" s="115"/>
      <c r="N11" s="115">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2">
        <f>O11</f>
        <v>2.8200142450142449E-2</v>
      </c>
      <c r="Z11" s="142">
        <f>O11</f>
        <v>2.8200142450142449E-2</v>
      </c>
      <c r="AA11" s="142">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64</v>
      </c>
      <c r="E12" s="49">
        <f>Plantilla!X25</f>
        <v>0</v>
      </c>
      <c r="F12" s="49">
        <f>Plantilla!Y25</f>
        <v>5.95</v>
      </c>
      <c r="G12" s="49">
        <f>Plantilla!Z25</f>
        <v>14.1</v>
      </c>
      <c r="H12" s="49">
        <f>Plantilla!AA25</f>
        <v>2.95</v>
      </c>
      <c r="I12" s="49">
        <f>Plantilla!AB25</f>
        <v>8.9499999999999993</v>
      </c>
      <c r="J12" s="49">
        <f>Plantilla!AC25</f>
        <v>5.95</v>
      </c>
      <c r="K12" s="49">
        <f>Plantilla!AD25</f>
        <v>16.95</v>
      </c>
      <c r="L12" s="115">
        <f>1/7</f>
        <v>0.14285714285714285</v>
      </c>
      <c r="M12" s="115"/>
      <c r="N12" s="115">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2">
        <f>T12</f>
        <v>2.7794285714285716E-2</v>
      </c>
      <c r="Z12" s="142">
        <f>W12</f>
        <v>0</v>
      </c>
      <c r="AA12" s="142">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49</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5">
        <f>1/8</f>
        <v>0.125</v>
      </c>
      <c r="M13" s="115"/>
      <c r="N13" s="115">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2">
        <f>V13</f>
        <v>2.0988125E-2</v>
      </c>
      <c r="Z13" s="142">
        <f>V13</f>
        <v>2.0988125E-2</v>
      </c>
      <c r="AA13" s="142">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64</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5">
        <f>1/9</f>
        <v>0.1111111111111111</v>
      </c>
      <c r="M14" s="115"/>
      <c r="N14" s="115">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2">
        <f>V14</f>
        <v>1.8656111111111109E-2</v>
      </c>
      <c r="Z14" s="142">
        <f>V14</f>
        <v>1.8656111111111109E-2</v>
      </c>
      <c r="AA14" s="142">
        <f t="shared" si="9"/>
        <v>1.8656111111111109E-2</v>
      </c>
    </row>
    <row r="15" spans="1:34" x14ac:dyDescent="0.25">
      <c r="A15" s="86" t="str">
        <f>Plantilla!A10</f>
        <v>#6</v>
      </c>
      <c r="B15" s="62" t="str">
        <f>Plantilla!D10</f>
        <v>S. Buschelman</v>
      </c>
      <c r="C15" s="3">
        <f>Plantilla!E10</f>
        <v>34</v>
      </c>
      <c r="D15" s="3">
        <f ca="1">Plantilla!F10</f>
        <v>61</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5">
        <f>1/10</f>
        <v>0.1</v>
      </c>
      <c r="M15" s="115"/>
      <c r="N15" s="115">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2">
        <f>U15</f>
        <v>1.8419999999999999E-2</v>
      </c>
      <c r="Z15" s="142">
        <f>U15</f>
        <v>1.8419999999999999E-2</v>
      </c>
      <c r="AA15" s="142">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5">
        <f>1/11</f>
        <v>9.0909090909090912E-2</v>
      </c>
      <c r="M16" s="115"/>
      <c r="N16" s="115">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2">
        <f>U16</f>
        <v>1.6745454545454543E-2</v>
      </c>
      <c r="Z16" s="142">
        <f>U16</f>
        <v>1.6745454545454543E-2</v>
      </c>
      <c r="AA16" s="142">
        <f t="shared" si="9"/>
        <v>1.6745454545454543E-2</v>
      </c>
    </row>
    <row r="17" spans="1:27" x14ac:dyDescent="0.25">
      <c r="A17" s="86" t="str">
        <f>Plantilla!A26</f>
        <v>#9</v>
      </c>
      <c r="B17" s="86" t="str">
        <f>Plantilla!D26</f>
        <v>J. Limon</v>
      </c>
      <c r="C17" s="3">
        <f>Plantilla!E26</f>
        <v>34</v>
      </c>
      <c r="D17" s="3">
        <f ca="1">Plantilla!F26</f>
        <v>101</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5">
        <f>1/8</f>
        <v>0.125</v>
      </c>
      <c r="M17" s="115"/>
      <c r="N17" s="115">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2">
        <v>0</v>
      </c>
      <c r="Z17" s="142">
        <v>0</v>
      </c>
      <c r="AA17" s="142">
        <f t="shared" si="9"/>
        <v>0</v>
      </c>
    </row>
    <row r="18" spans="1:27" x14ac:dyDescent="0.25">
      <c r="A18" s="86" t="str">
        <f>Plantilla!A27</f>
        <v>#15</v>
      </c>
      <c r="B18" s="86" t="str">
        <f>Plantilla!D27</f>
        <v>P .Trivadi</v>
      </c>
      <c r="C18" s="3">
        <f>Plantilla!E27</f>
        <v>32</v>
      </c>
      <c r="D18" s="3">
        <f ca="1">Plantilla!F27</f>
        <v>20</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5">
        <f>1/6</f>
        <v>0.16666666666666666</v>
      </c>
      <c r="M18" s="115"/>
      <c r="N18" s="115">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2">
        <v>0</v>
      </c>
      <c r="Z18" s="142">
        <v>0</v>
      </c>
      <c r="AA18" s="142">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5">
        <f>1/5</f>
        <v>0.2</v>
      </c>
      <c r="M19" s="115"/>
      <c r="N19" s="115">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2">
        <v>0</v>
      </c>
      <c r="Z19" s="142">
        <v>0</v>
      </c>
      <c r="AA19" s="142">
        <f t="shared" si="9"/>
        <v>0</v>
      </c>
    </row>
    <row r="20" spans="1:27" x14ac:dyDescent="0.25">
      <c r="A20" s="86" t="str">
        <f>Plantilla!A8</f>
        <v>#13</v>
      </c>
      <c r="B20" s="86" t="str">
        <f>Plantilla!D8</f>
        <v>F. Lasprilla</v>
      </c>
      <c r="C20" s="3">
        <f>Plantilla!E8</f>
        <v>32</v>
      </c>
      <c r="D20" s="3">
        <f ca="1">Plantilla!F8</f>
        <v>36</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5"/>
      <c r="M20" s="115"/>
      <c r="N20" s="115">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2"/>
      <c r="Z20" s="142"/>
      <c r="AA20" s="142">
        <f t="shared" si="9"/>
        <v>0</v>
      </c>
    </row>
    <row r="21" spans="1:27" x14ac:dyDescent="0.25">
      <c r="A21" s="86" t="str">
        <f>Plantilla!A12</f>
        <v>#23</v>
      </c>
      <c r="B21" s="86" t="str">
        <f>Plantilla!D12</f>
        <v>W. Gelifini</v>
      </c>
      <c r="C21" s="3">
        <f>Plantilla!E12</f>
        <v>34</v>
      </c>
      <c r="D21" s="3">
        <f ca="1">Plantilla!F12</f>
        <v>14</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5"/>
      <c r="M21" s="115"/>
      <c r="N21" s="115">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2"/>
      <c r="Z21" s="142"/>
      <c r="AA21" s="142">
        <f t="shared" si="9"/>
        <v>0</v>
      </c>
    </row>
    <row r="22" spans="1:27" x14ac:dyDescent="0.25">
      <c r="A22" s="86" t="str">
        <f>Plantilla!A5</f>
        <v>#25</v>
      </c>
      <c r="B22" s="86" t="str">
        <f>Plantilla!D5</f>
        <v>T. Hammond</v>
      </c>
      <c r="C22" s="3">
        <f>Plantilla!E5</f>
        <v>39</v>
      </c>
      <c r="D22" s="3">
        <f ca="1">Plantilla!F5</f>
        <v>26</v>
      </c>
      <c r="E22" s="49">
        <f>Plantilla!X5</f>
        <v>7.95</v>
      </c>
      <c r="F22" s="49">
        <f>Plantilla!Y5</f>
        <v>6.95</v>
      </c>
      <c r="G22" s="49">
        <f>Plantilla!Z5</f>
        <v>0.95</v>
      </c>
      <c r="H22" s="49">
        <f>Plantilla!AA5</f>
        <v>0.95</v>
      </c>
      <c r="I22" s="49">
        <f>Plantilla!AB5</f>
        <v>1.95</v>
      </c>
      <c r="J22" s="49">
        <f>Plantilla!AC5</f>
        <v>0</v>
      </c>
      <c r="K22" s="49">
        <f>Plantilla!AD5</f>
        <v>14.95</v>
      </c>
      <c r="L22" s="115"/>
      <c r="M22" s="115"/>
      <c r="N22" s="115">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2"/>
      <c r="Z22" s="142"/>
      <c r="AA22" s="142">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5"/>
      <c r="M23" s="115"/>
      <c r="N23" s="115">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2"/>
      <c r="Z23" s="142"/>
      <c r="AA23" s="142">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8" bestFit="1" customWidth="1"/>
    <col min="14" max="14" width="8.28515625" style="258" bestFit="1" customWidth="1"/>
    <col min="15" max="15" width="4.5703125" style="26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6">
        <f>SUM(Y4:Y22)</f>
        <v>0.38669362836502424</v>
      </c>
      <c r="Z2" s="266">
        <f>SUM(Z4:Z22)</f>
        <v>0.36442744206594319</v>
      </c>
      <c r="AA2" s="266"/>
      <c r="AD2" s="192" t="s">
        <v>100</v>
      </c>
      <c r="AE2" s="192" t="s">
        <v>71</v>
      </c>
      <c r="AG2" s="192" t="s">
        <v>100</v>
      </c>
      <c r="AH2" s="192"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9">
        <v>1</v>
      </c>
      <c r="M3" s="259">
        <v>0.5</v>
      </c>
      <c r="N3" s="94" t="s">
        <v>369</v>
      </c>
      <c r="O3" s="261" t="s">
        <v>1</v>
      </c>
      <c r="P3" s="261" t="s">
        <v>352</v>
      </c>
      <c r="Q3" s="260" t="s">
        <v>370</v>
      </c>
      <c r="R3" s="260" t="s">
        <v>376</v>
      </c>
      <c r="S3" s="260" t="s">
        <v>371</v>
      </c>
      <c r="T3" s="260" t="s">
        <v>353</v>
      </c>
      <c r="U3" s="260" t="s">
        <v>221</v>
      </c>
      <c r="V3" s="260" t="s">
        <v>375</v>
      </c>
      <c r="W3" s="261" t="s">
        <v>277</v>
      </c>
      <c r="X3" s="265" t="s">
        <v>64</v>
      </c>
      <c r="Y3" s="263" t="s">
        <v>373</v>
      </c>
      <c r="Z3" s="263" t="s">
        <v>374</v>
      </c>
      <c r="AA3" s="263" t="s">
        <v>378</v>
      </c>
      <c r="AD3" t="s">
        <v>1</v>
      </c>
      <c r="AE3" t="s">
        <v>344</v>
      </c>
      <c r="AG3" t="s">
        <v>1</v>
      </c>
      <c r="AH3" t="s">
        <v>344</v>
      </c>
    </row>
    <row r="4" spans="1:34" x14ac:dyDescent="0.25">
      <c r="A4" s="86" t="str">
        <f>Plantilla!A10</f>
        <v>#6</v>
      </c>
      <c r="B4" s="52" t="str">
        <f>Plantilla!D10</f>
        <v>S. Buschelman</v>
      </c>
      <c r="C4" s="86">
        <f>Plantilla!E10</f>
        <v>34</v>
      </c>
      <c r="D4" s="86">
        <f ca="1">Plantilla!F10</f>
        <v>61</v>
      </c>
      <c r="E4" s="49">
        <f>Plantilla!X10</f>
        <v>0</v>
      </c>
      <c r="F4" s="49">
        <f>Plantilla!Y10</f>
        <v>9.3036666666666648</v>
      </c>
      <c r="G4" s="49">
        <f>Plantilla!Z10</f>
        <v>14</v>
      </c>
      <c r="H4" s="49">
        <f>Plantilla!AA10</f>
        <v>12.945</v>
      </c>
      <c r="I4" s="49">
        <f>Plantilla!AB10</f>
        <v>9.9499999999999993</v>
      </c>
      <c r="J4" s="49">
        <f>Plantilla!AC10</f>
        <v>3.95</v>
      </c>
      <c r="K4" s="49">
        <f>Plantilla!AD10</f>
        <v>16</v>
      </c>
      <c r="L4" s="262">
        <f>1/16</f>
        <v>6.25E-2</v>
      </c>
      <c r="M4" s="115">
        <f t="shared" ref="M4:M23" si="0">L4*0.5</f>
        <v>3.125E-2</v>
      </c>
      <c r="N4" s="115">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2">
        <f>U4</f>
        <v>5.50625E-2</v>
      </c>
      <c r="Z4" s="142">
        <f>U4</f>
        <v>5.50625E-2</v>
      </c>
      <c r="AA4" s="142">
        <f t="shared" ref="AA4:AA23" si="11">MAX(Z4,Y4)</f>
        <v>5.50625E-2</v>
      </c>
      <c r="AD4" t="s">
        <v>351</v>
      </c>
      <c r="AE4" s="275" t="s">
        <v>381</v>
      </c>
      <c r="AG4" t="s">
        <v>351</v>
      </c>
      <c r="AH4" s="275" t="str">
        <f>AE4</f>
        <v>B. Pinczehelyi</v>
      </c>
    </row>
    <row r="5" spans="1:34" x14ac:dyDescent="0.25">
      <c r="A5" s="86" t="str">
        <f>Plantilla!A25</f>
        <v>#5</v>
      </c>
      <c r="B5" s="52" t="str">
        <f>Plantilla!D25</f>
        <v>L. Bauman</v>
      </c>
      <c r="C5" s="86">
        <f>Plantilla!E25</f>
        <v>35</v>
      </c>
      <c r="D5" s="86">
        <f ca="1">Plantilla!F25</f>
        <v>64</v>
      </c>
      <c r="E5" s="49">
        <f>Plantilla!X25</f>
        <v>0</v>
      </c>
      <c r="F5" s="49">
        <f>Plantilla!Y25</f>
        <v>5.95</v>
      </c>
      <c r="G5" s="49">
        <f>Plantilla!Z25</f>
        <v>14.1</v>
      </c>
      <c r="H5" s="49">
        <f>Plantilla!AA25</f>
        <v>2.95</v>
      </c>
      <c r="I5" s="49">
        <f>Plantilla!AB25</f>
        <v>8.9499999999999993</v>
      </c>
      <c r="J5" s="49">
        <f>Plantilla!AC25</f>
        <v>5.95</v>
      </c>
      <c r="K5" s="49">
        <f>Plantilla!AD25</f>
        <v>16.95</v>
      </c>
      <c r="L5" s="262">
        <f>1/21</f>
        <v>4.7619047619047616E-2</v>
      </c>
      <c r="M5" s="115">
        <f t="shared" si="0"/>
        <v>2.3809523809523808E-2</v>
      </c>
      <c r="N5" s="115">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2">
        <f>T5</f>
        <v>4.7619047619047616E-2</v>
      </c>
      <c r="Z5" s="142">
        <f>W5</f>
        <v>1.9333333333333334E-2</v>
      </c>
      <c r="AA5" s="142">
        <f t="shared" si="11"/>
        <v>4.7619047619047616E-2</v>
      </c>
      <c r="AD5" t="s">
        <v>352</v>
      </c>
      <c r="AE5" t="s">
        <v>97</v>
      </c>
      <c r="AG5" t="s">
        <v>363</v>
      </c>
      <c r="AH5" t="s">
        <v>98</v>
      </c>
    </row>
    <row r="6" spans="1:34" x14ac:dyDescent="0.25">
      <c r="A6" s="86" t="str">
        <f>Plantilla!A26</f>
        <v>#9</v>
      </c>
      <c r="B6" s="52" t="str">
        <f>Plantilla!D26</f>
        <v>J. Limon</v>
      </c>
      <c r="C6" s="86">
        <f>Plantilla!E26</f>
        <v>34</v>
      </c>
      <c r="D6" s="86">
        <f ca="1">Plantilla!F26</f>
        <v>101</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5">
        <f>1/9</f>
        <v>0.1111111111111111</v>
      </c>
      <c r="M6" s="115">
        <f t="shared" si="0"/>
        <v>5.5555555555555552E-2</v>
      </c>
      <c r="N6" s="115">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2">
        <f>W6</f>
        <v>4.5111111111111109E-2</v>
      </c>
      <c r="Z6" s="142"/>
      <c r="AA6" s="142">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5">
        <f t="shared" si="0"/>
        <v>2.5000000000000001E-2</v>
      </c>
      <c r="N7" s="115">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2">
        <f>U7</f>
        <v>4.4050000000000006E-2</v>
      </c>
      <c r="Z7" s="142">
        <f>U7</f>
        <v>4.4050000000000006E-2</v>
      </c>
      <c r="AA7" s="142">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49</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2">
        <f>1/12</f>
        <v>8.3333333333333329E-2</v>
      </c>
      <c r="M8" s="115">
        <f t="shared" si="0"/>
        <v>4.1666666666666664E-2</v>
      </c>
      <c r="N8" s="115">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2">
        <f>V8</f>
        <v>3.7916666666666668E-2</v>
      </c>
      <c r="Z8" s="142">
        <f>V8</f>
        <v>3.7916666666666668E-2</v>
      </c>
      <c r="AA8" s="142">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2">
        <f>1/26</f>
        <v>3.8461538461538464E-2</v>
      </c>
      <c r="M9" s="115">
        <f t="shared" si="0"/>
        <v>1.9230769230769232E-2</v>
      </c>
      <c r="N9" s="115">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2">
        <f>U9</f>
        <v>3.3884615384615388E-2</v>
      </c>
      <c r="Z9" s="142">
        <f>U9</f>
        <v>3.3884615384615388E-2</v>
      </c>
      <c r="AA9" s="142">
        <f t="shared" si="11"/>
        <v>3.3884615384615388E-2</v>
      </c>
      <c r="AD9" t="s">
        <v>221</v>
      </c>
      <c r="AE9" t="s">
        <v>101</v>
      </c>
      <c r="AG9" t="s">
        <v>221</v>
      </c>
      <c r="AH9" t="s">
        <v>101</v>
      </c>
    </row>
    <row r="10" spans="1:34" x14ac:dyDescent="0.25">
      <c r="A10" s="86" t="str">
        <f>Plantilla!A24</f>
        <v>#10</v>
      </c>
      <c r="B10" s="301" t="str">
        <f>Plantilla!D24</f>
        <v>S. Zobbe</v>
      </c>
      <c r="C10" s="86">
        <f>Plantilla!E24</f>
        <v>32</v>
      </c>
      <c r="D10" s="86">
        <f ca="1">Plantilla!F24</f>
        <v>64</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2">
        <f>1/14</f>
        <v>7.1428571428571425E-2</v>
      </c>
      <c r="M10" s="115">
        <f t="shared" si="0"/>
        <v>3.5714285714285712E-2</v>
      </c>
      <c r="N10" s="115">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2">
        <f>V10</f>
        <v>3.2500000000000001E-2</v>
      </c>
      <c r="Z10" s="142">
        <f>V10</f>
        <v>3.2500000000000001E-2</v>
      </c>
      <c r="AA10" s="142">
        <f t="shared" si="11"/>
        <v>3.2500000000000001E-2</v>
      </c>
      <c r="AD10" t="s">
        <v>354</v>
      </c>
      <c r="AE10" t="s">
        <v>364</v>
      </c>
      <c r="AG10" t="s">
        <v>221</v>
      </c>
      <c r="AH10" t="s">
        <v>291</v>
      </c>
    </row>
    <row r="11" spans="1:34" x14ac:dyDescent="0.25">
      <c r="A11" s="86" t="str">
        <f>Plantilla!A9</f>
        <v>#7</v>
      </c>
      <c r="B11" s="301" t="str">
        <f>Plantilla!D9</f>
        <v>E. Romweber</v>
      </c>
      <c r="C11" s="86">
        <f>Plantilla!E9</f>
        <v>35</v>
      </c>
      <c r="D11" s="86">
        <f ca="1">Plantilla!F9</f>
        <v>102</v>
      </c>
      <c r="E11" s="49">
        <f>Plantilla!X9</f>
        <v>0</v>
      </c>
      <c r="F11" s="49">
        <f>Plantilla!Y9</f>
        <v>11.95</v>
      </c>
      <c r="G11" s="49">
        <f>Plantilla!Z9</f>
        <v>11.95</v>
      </c>
      <c r="H11" s="49">
        <f>Plantilla!AA9</f>
        <v>12.95</v>
      </c>
      <c r="I11" s="49">
        <f>Plantilla!AB9</f>
        <v>9.9499999999999993</v>
      </c>
      <c r="J11" s="49">
        <f>Plantilla!AC9</f>
        <v>5.95</v>
      </c>
      <c r="K11" s="49">
        <f>Plantilla!AD9</f>
        <v>17.529999999999998</v>
      </c>
      <c r="L11" s="262">
        <f>1/16</f>
        <v>6.25E-2</v>
      </c>
      <c r="M11" s="115">
        <f t="shared" si="0"/>
        <v>3.125E-2</v>
      </c>
      <c r="N11" s="115">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2">
        <f>V11</f>
        <v>2.8437500000000001E-2</v>
      </c>
      <c r="Z11" s="142">
        <f>V11</f>
        <v>2.8437500000000001E-2</v>
      </c>
      <c r="AA11" s="142">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2">
        <f>1/7</f>
        <v>0.14285714285714285</v>
      </c>
      <c r="M12" s="115">
        <f t="shared" si="0"/>
        <v>7.1428571428571425E-2</v>
      </c>
      <c r="N12" s="115">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2"/>
      <c r="Z12" s="142">
        <f>R12</f>
        <v>2.357142857142857E-2</v>
      </c>
      <c r="AA12" s="142">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13</v>
      </c>
      <c r="E13" s="49">
        <f>Plantilla!X7</f>
        <v>0</v>
      </c>
      <c r="F13" s="49">
        <f>Plantilla!Y7</f>
        <v>11.95</v>
      </c>
      <c r="G13" s="49">
        <f>Plantilla!Z7</f>
        <v>5.95</v>
      </c>
      <c r="H13" s="49">
        <f>Plantilla!AA7</f>
        <v>6.95</v>
      </c>
      <c r="I13" s="49">
        <f>Plantilla!AB7</f>
        <v>7.95</v>
      </c>
      <c r="J13" s="49">
        <f>Plantilla!AC7</f>
        <v>1.95</v>
      </c>
      <c r="K13" s="49">
        <f>Plantilla!AD7</f>
        <v>16</v>
      </c>
      <c r="L13" s="262">
        <f>1/8</f>
        <v>0.125</v>
      </c>
      <c r="M13" s="115">
        <f t="shared" si="0"/>
        <v>6.25E-2</v>
      </c>
      <c r="N13" s="115">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2"/>
      <c r="Z13" s="142">
        <f>S13</f>
        <v>2.0875000000000001E-2</v>
      </c>
      <c r="AA13" s="142">
        <f t="shared" si="11"/>
        <v>2.0875000000000001E-2</v>
      </c>
      <c r="AD13" t="s">
        <v>64</v>
      </c>
      <c r="AE13" t="s">
        <v>225</v>
      </c>
      <c r="AG13" t="s">
        <v>64</v>
      </c>
      <c r="AH13" t="s">
        <v>102</v>
      </c>
    </row>
    <row r="14" spans="1:34" x14ac:dyDescent="0.25">
      <c r="A14" s="86" t="str">
        <f>Plantilla!A6</f>
        <v>#2</v>
      </c>
      <c r="B14" s="301" t="str">
        <f>Plantilla!D6</f>
        <v>E. Toney</v>
      </c>
      <c r="C14" s="86">
        <f>Plantilla!E6</f>
        <v>36</v>
      </c>
      <c r="D14" s="86">
        <f ca="1">Plantilla!F6</f>
        <v>28</v>
      </c>
      <c r="E14" s="49">
        <f>Plantilla!X6</f>
        <v>0</v>
      </c>
      <c r="F14" s="49">
        <f>Plantilla!Y6</f>
        <v>11.95</v>
      </c>
      <c r="G14" s="49">
        <f>Plantilla!Z6</f>
        <v>12.95</v>
      </c>
      <c r="H14" s="49">
        <f>Plantilla!AA6</f>
        <v>8.9499999999999993</v>
      </c>
      <c r="I14" s="49">
        <f>Plantilla!AB6</f>
        <v>8.9499999999999993</v>
      </c>
      <c r="J14" s="49">
        <f>Plantilla!AC6</f>
        <v>0.95</v>
      </c>
      <c r="K14" s="49">
        <f>Plantilla!AD6</f>
        <v>17.177777777777774</v>
      </c>
      <c r="L14" s="262">
        <f>1/19</f>
        <v>5.2631578947368418E-2</v>
      </c>
      <c r="M14" s="115">
        <f t="shared" si="0"/>
        <v>2.6315789473684209E-2</v>
      </c>
      <c r="N14" s="115">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2">
        <f>P14</f>
        <v>1.2421052631578946E-2</v>
      </c>
      <c r="Z14" s="142">
        <f>Q14</f>
        <v>1.9105263157894736E-2</v>
      </c>
      <c r="AA14" s="142">
        <f t="shared" si="11"/>
        <v>1.9105263157894736E-2</v>
      </c>
    </row>
    <row r="15" spans="1:34" x14ac:dyDescent="0.25">
      <c r="A15" s="86" t="e">
        <f>Plantilla!#REF!</f>
        <v>#REF!</v>
      </c>
      <c r="B15" s="301"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2">
        <f>1/23</f>
        <v>4.3478260869565216E-2</v>
      </c>
      <c r="M15" s="115">
        <f t="shared" si="0"/>
        <v>2.1739130434782608E-2</v>
      </c>
      <c r="N15" s="115">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2">
        <f>W15</f>
        <v>1.7652173913043478E-2</v>
      </c>
      <c r="Z15" s="142">
        <f>W15</f>
        <v>1.7652173913043478E-2</v>
      </c>
      <c r="AA15" s="142">
        <f t="shared" si="11"/>
        <v>1.7652173913043478E-2</v>
      </c>
    </row>
    <row r="16" spans="1:34" x14ac:dyDescent="0.25">
      <c r="A16" s="86" t="str">
        <f>Plantilla!A11</f>
        <v>#12</v>
      </c>
      <c r="B16" s="62" t="str">
        <f>Plantilla!D11</f>
        <v>E. Gross</v>
      </c>
      <c r="C16" s="86">
        <f>Plantilla!E11</f>
        <v>35</v>
      </c>
      <c r="D16" s="86">
        <f ca="1">Plantilla!F11</f>
        <v>89</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2">
        <f>1/14</f>
        <v>7.1428571428571425E-2</v>
      </c>
      <c r="M16" s="115">
        <f t="shared" si="0"/>
        <v>3.5714285714285712E-2</v>
      </c>
      <c r="N16" s="115">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2">
        <f>P16</f>
        <v>1.6857142857142855E-2</v>
      </c>
      <c r="Z16" s="142">
        <f>P16</f>
        <v>1.6857142857142855E-2</v>
      </c>
      <c r="AA16" s="142">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2">
        <f>1/11</f>
        <v>9.0909090909090912E-2</v>
      </c>
      <c r="M17" s="115">
        <f t="shared" si="0"/>
        <v>4.5454545454545456E-2</v>
      </c>
      <c r="N17" s="115">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2">
        <f>S17</f>
        <v>1.5181818181818183E-2</v>
      </c>
      <c r="Z17" s="142">
        <f>S17</f>
        <v>1.5181818181818183E-2</v>
      </c>
      <c r="AA17" s="142">
        <f t="shared" si="11"/>
        <v>1.5181818181818183E-2</v>
      </c>
    </row>
    <row r="18" spans="1:27" x14ac:dyDescent="0.25">
      <c r="A18" s="86" t="str">
        <f>Plantilla!A27</f>
        <v>#15</v>
      </c>
      <c r="B18" s="86" t="str">
        <f>Plantilla!D27</f>
        <v>P .Trivadi</v>
      </c>
      <c r="C18" s="86">
        <f>Plantilla!E27</f>
        <v>32</v>
      </c>
      <c r="D18" s="86">
        <f ca="1">Plantilla!F27</f>
        <v>20</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2">
        <f>1/6</f>
        <v>0.16666666666666666</v>
      </c>
      <c r="M18" s="115">
        <f t="shared" si="0"/>
        <v>8.3333333333333329E-2</v>
      </c>
      <c r="N18" s="115">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2">
        <v>0</v>
      </c>
      <c r="Z18" s="142">
        <v>0</v>
      </c>
      <c r="AA18" s="142">
        <f t="shared" si="11"/>
        <v>0</v>
      </c>
    </row>
    <row r="19" spans="1:27" x14ac:dyDescent="0.25">
      <c r="A19" s="86" t="str">
        <f>Plantilla!A4</f>
        <v>#1</v>
      </c>
      <c r="B19" s="86" t="str">
        <f>Plantilla!D4</f>
        <v>D. Gehmacher</v>
      </c>
      <c r="C19" s="86">
        <f>Plantilla!E4</f>
        <v>35</v>
      </c>
      <c r="D19" s="86">
        <f ca="1">Plantilla!F4</f>
        <v>17</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2">
        <v>0</v>
      </c>
      <c r="M19" s="115">
        <f t="shared" si="0"/>
        <v>0</v>
      </c>
      <c r="N19" s="115">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2">
        <f>O19</f>
        <v>0</v>
      </c>
      <c r="Z19" s="142">
        <f>O19</f>
        <v>0</v>
      </c>
      <c r="AA19" s="142">
        <f t="shared" si="11"/>
        <v>0</v>
      </c>
    </row>
    <row r="20" spans="1:27" x14ac:dyDescent="0.25">
      <c r="A20" s="86" t="str">
        <f>Plantilla!A5</f>
        <v>#25</v>
      </c>
      <c r="B20" s="86" t="str">
        <f>Plantilla!D5</f>
        <v>T. Hammond</v>
      </c>
      <c r="C20" s="86">
        <f>Plantilla!E5</f>
        <v>39</v>
      </c>
      <c r="D20" s="86">
        <f ca="1">Plantilla!F5</f>
        <v>26</v>
      </c>
      <c r="E20" s="49">
        <f>Plantilla!X5</f>
        <v>7.95</v>
      </c>
      <c r="F20" s="49">
        <f>Plantilla!Y5</f>
        <v>6.95</v>
      </c>
      <c r="G20" s="49">
        <f>Plantilla!Z5</f>
        <v>0.95</v>
      </c>
      <c r="H20" s="49">
        <f>Plantilla!AA5</f>
        <v>0.95</v>
      </c>
      <c r="I20" s="49">
        <f>Plantilla!AB5</f>
        <v>1.95</v>
      </c>
      <c r="J20" s="49">
        <f>Plantilla!AC5</f>
        <v>0</v>
      </c>
      <c r="K20" s="49">
        <f>Plantilla!AD5</f>
        <v>14.95</v>
      </c>
      <c r="L20" s="262"/>
      <c r="M20" s="115">
        <f t="shared" si="0"/>
        <v>0</v>
      </c>
      <c r="N20" s="115">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2"/>
      <c r="Z20" s="142"/>
      <c r="AA20" s="142">
        <f t="shared" si="11"/>
        <v>0</v>
      </c>
    </row>
    <row r="21" spans="1:27" x14ac:dyDescent="0.25">
      <c r="A21" s="86" t="str">
        <f>Plantilla!A8</f>
        <v>#13</v>
      </c>
      <c r="B21" s="86" t="str">
        <f>Plantilla!D8</f>
        <v>F. Lasprilla</v>
      </c>
      <c r="C21" s="86">
        <f>Plantilla!E8</f>
        <v>32</v>
      </c>
      <c r="D21" s="86">
        <f ca="1">Plantilla!F8</f>
        <v>36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2"/>
      <c r="M21" s="115">
        <f t="shared" si="0"/>
        <v>0</v>
      </c>
      <c r="N21" s="115">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2"/>
      <c r="Z21" s="142"/>
      <c r="AA21" s="142">
        <f t="shared" si="11"/>
        <v>0</v>
      </c>
    </row>
    <row r="22" spans="1:27" x14ac:dyDescent="0.25">
      <c r="A22" s="86" t="str">
        <f>Plantilla!A12</f>
        <v>#23</v>
      </c>
      <c r="B22" s="86" t="str">
        <f>Plantilla!D12</f>
        <v>W. Gelifini</v>
      </c>
      <c r="C22" s="86">
        <f>Plantilla!E12</f>
        <v>34</v>
      </c>
      <c r="D22" s="86">
        <f ca="1">Plantilla!F12</f>
        <v>14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2"/>
      <c r="M22" s="115">
        <f t="shared" si="0"/>
        <v>0</v>
      </c>
      <c r="N22" s="115">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2"/>
      <c r="Z22" s="142"/>
      <c r="AA22" s="142">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5">
        <f t="shared" si="0"/>
        <v>0</v>
      </c>
      <c r="N23" s="115">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2"/>
      <c r="Z23" s="142"/>
      <c r="AA23" s="142">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4" bestFit="1" customWidth="1"/>
    <col min="13" max="13" width="6.5703125" style="264" customWidth="1"/>
    <col min="14" max="14" width="8.28515625" style="264" bestFit="1" customWidth="1"/>
    <col min="15" max="15" width="4.5703125" style="26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6">
        <f>SUM(Y4:Y22)</f>
        <v>0.24062111707736711</v>
      </c>
      <c r="Z2" s="266">
        <f>SUM(Z4:Z22)</f>
        <v>0.19504062465312466</v>
      </c>
      <c r="AA2" s="266"/>
      <c r="AD2" s="192" t="s">
        <v>100</v>
      </c>
      <c r="AE2" s="192" t="s">
        <v>71</v>
      </c>
      <c r="AG2" s="192" t="s">
        <v>100</v>
      </c>
      <c r="AH2" s="192"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9">
        <v>1</v>
      </c>
      <c r="M3" s="259">
        <v>0.5</v>
      </c>
      <c r="N3" s="94" t="s">
        <v>377</v>
      </c>
      <c r="O3" s="261" t="s">
        <v>1</v>
      </c>
      <c r="P3" s="261" t="s">
        <v>352</v>
      </c>
      <c r="Q3" s="260" t="s">
        <v>370</v>
      </c>
      <c r="R3" s="260" t="s">
        <v>376</v>
      </c>
      <c r="S3" s="260" t="s">
        <v>371</v>
      </c>
      <c r="T3" s="260" t="s">
        <v>353</v>
      </c>
      <c r="U3" s="260" t="s">
        <v>221</v>
      </c>
      <c r="V3" s="260" t="s">
        <v>375</v>
      </c>
      <c r="W3" s="261" t="s">
        <v>277</v>
      </c>
      <c r="X3" s="261" t="s">
        <v>64</v>
      </c>
      <c r="Y3" s="263" t="s">
        <v>373</v>
      </c>
      <c r="Z3" s="263" t="s">
        <v>374</v>
      </c>
      <c r="AA3" s="263" t="s">
        <v>378</v>
      </c>
      <c r="AD3" t="s">
        <v>1</v>
      </c>
      <c r="AE3" t="s">
        <v>344</v>
      </c>
      <c r="AG3" t="s">
        <v>1</v>
      </c>
      <c r="AH3" t="s">
        <v>344</v>
      </c>
    </row>
    <row r="4" spans="1:34" x14ac:dyDescent="0.25">
      <c r="A4" s="86" t="str">
        <f>Plantilla!A26</f>
        <v>#9</v>
      </c>
      <c r="B4" s="300" t="str">
        <f>Plantilla!D26</f>
        <v>J. Limon</v>
      </c>
      <c r="C4" s="86">
        <f>Plantilla!E26</f>
        <v>34</v>
      </c>
      <c r="D4" s="86">
        <f ca="1">Plantilla!F26</f>
        <v>101</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5">
        <f>1/8</f>
        <v>0.125</v>
      </c>
      <c r="M4" s="115"/>
      <c r="N4" s="115">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2">
        <f>W4</f>
        <v>4.7065340909090911E-2</v>
      </c>
      <c r="Z4" s="142"/>
      <c r="AA4" s="142">
        <f t="shared" ref="AA4:AA23" si="6">MAX(Z4,Y4)</f>
        <v>4.7065340909090911E-2</v>
      </c>
      <c r="AD4" t="s">
        <v>351</v>
      </c>
      <c r="AE4" s="275" t="s">
        <v>381</v>
      </c>
      <c r="AG4" t="s">
        <v>351</v>
      </c>
      <c r="AH4" s="275" t="str">
        <f>AE4</f>
        <v>B. Pinczehelyi</v>
      </c>
    </row>
    <row r="5" spans="1:34" x14ac:dyDescent="0.25">
      <c r="A5" s="86" t="str">
        <f>Plantilla!A25</f>
        <v>#5</v>
      </c>
      <c r="B5" s="300" t="str">
        <f>Plantilla!D25</f>
        <v>L. Bauman</v>
      </c>
      <c r="C5" s="86">
        <f>Plantilla!E25</f>
        <v>35</v>
      </c>
      <c r="D5" s="86">
        <f ca="1">Plantilla!F25</f>
        <v>64</v>
      </c>
      <c r="E5" s="49">
        <f>Plantilla!X25</f>
        <v>0</v>
      </c>
      <c r="F5" s="49">
        <f>Plantilla!Y25</f>
        <v>5.95</v>
      </c>
      <c r="G5" s="49">
        <f>Plantilla!Z25</f>
        <v>14.1</v>
      </c>
      <c r="H5" s="49">
        <f>Plantilla!AA25</f>
        <v>2.95</v>
      </c>
      <c r="I5" s="49">
        <f>Plantilla!AB25</f>
        <v>8.9499999999999993</v>
      </c>
      <c r="J5" s="49">
        <f>Plantilla!AC25</f>
        <v>5.95</v>
      </c>
      <c r="K5" s="49">
        <f>Plantilla!AD25</f>
        <v>16.95</v>
      </c>
      <c r="L5" s="115">
        <f>1/9</f>
        <v>0.1111111111111111</v>
      </c>
      <c r="M5" s="115"/>
      <c r="N5" s="115">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2">
        <f>T5</f>
        <v>4.0351010101010096E-2</v>
      </c>
      <c r="Z5" s="142">
        <f>W5</f>
        <v>4.183585858585858E-2</v>
      </c>
      <c r="AA5" s="142">
        <f t="shared" si="6"/>
        <v>4.183585858585858E-2</v>
      </c>
      <c r="AD5" t="s">
        <v>352</v>
      </c>
      <c r="AE5" t="s">
        <v>97</v>
      </c>
      <c r="AG5" t="s">
        <v>363</v>
      </c>
      <c r="AH5" t="s">
        <v>98</v>
      </c>
    </row>
    <row r="6" spans="1:34" x14ac:dyDescent="0.25">
      <c r="A6" s="86" t="str">
        <f>Plantilla!A10</f>
        <v>#6</v>
      </c>
      <c r="B6" s="300" t="str">
        <f>Plantilla!D10</f>
        <v>S. Buschelman</v>
      </c>
      <c r="C6" s="86">
        <f>Plantilla!E10</f>
        <v>34</v>
      </c>
      <c r="D6" s="86">
        <f ca="1">Plantilla!F10</f>
        <v>61</v>
      </c>
      <c r="E6" s="49">
        <f>Plantilla!X10</f>
        <v>0</v>
      </c>
      <c r="F6" s="49">
        <f>Plantilla!Y10</f>
        <v>9.3036666666666648</v>
      </c>
      <c r="G6" s="49">
        <f>Plantilla!Z10</f>
        <v>14</v>
      </c>
      <c r="H6" s="49">
        <f>Plantilla!AA10</f>
        <v>12.945</v>
      </c>
      <c r="I6" s="49">
        <f>Plantilla!AB10</f>
        <v>9.9499999999999993</v>
      </c>
      <c r="J6" s="49">
        <f>Plantilla!AC10</f>
        <v>3.95</v>
      </c>
      <c r="K6" s="49">
        <f>Plantilla!AD10</f>
        <v>16</v>
      </c>
      <c r="L6" s="115">
        <f>1/8</f>
        <v>0.125</v>
      </c>
      <c r="M6" s="115"/>
      <c r="N6" s="115">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2">
        <f>U6</f>
        <v>3.5380681818181818E-2</v>
      </c>
      <c r="Z6" s="142">
        <f>U6</f>
        <v>3.5380681818181818E-2</v>
      </c>
      <c r="AA6" s="142">
        <f t="shared" si="6"/>
        <v>3.5380681818181818E-2</v>
      </c>
      <c r="AD6" t="s">
        <v>351</v>
      </c>
      <c r="AE6" t="s">
        <v>95</v>
      </c>
      <c r="AG6" t="s">
        <v>362</v>
      </c>
      <c r="AH6" t="s">
        <v>95</v>
      </c>
    </row>
    <row r="7" spans="1:34" x14ac:dyDescent="0.25">
      <c r="A7" s="86" t="e">
        <f>Plantilla!#REF!</f>
        <v>#REF!</v>
      </c>
      <c r="B7" s="300"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5">
        <f>1/14</f>
        <v>7.1428571428571425E-2</v>
      </c>
      <c r="M7" s="115"/>
      <c r="N7" s="115">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2">
        <f>W7</f>
        <v>2.6894480519480523E-2</v>
      </c>
      <c r="Z7" s="142">
        <f>W7</f>
        <v>2.6894480519480523E-2</v>
      </c>
      <c r="AA7" s="142">
        <f t="shared" si="6"/>
        <v>2.6894480519480523E-2</v>
      </c>
      <c r="AD7" t="s">
        <v>221</v>
      </c>
      <c r="AE7" t="s">
        <v>291</v>
      </c>
      <c r="AG7" t="s">
        <v>363</v>
      </c>
      <c r="AH7" t="s">
        <v>99</v>
      </c>
    </row>
    <row r="8" spans="1:34" x14ac:dyDescent="0.25">
      <c r="A8" s="86" t="e">
        <f>Plantilla!#REF!</f>
        <v>#REF!</v>
      </c>
      <c r="B8" s="300"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5">
        <f>1/12</f>
        <v>8.3333333333333329E-2</v>
      </c>
      <c r="M8" s="115"/>
      <c r="N8" s="115">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2">
        <f>U8</f>
        <v>2.3587121212121212E-2</v>
      </c>
      <c r="Z8" s="142">
        <f>U8</f>
        <v>2.3587121212121212E-2</v>
      </c>
      <c r="AA8" s="142">
        <f t="shared" si="6"/>
        <v>2.3587121212121212E-2</v>
      </c>
      <c r="AD8" t="s">
        <v>353</v>
      </c>
      <c r="AE8" t="s">
        <v>169</v>
      </c>
      <c r="AG8" t="s">
        <v>351</v>
      </c>
      <c r="AH8" t="s">
        <v>364</v>
      </c>
    </row>
    <row r="9" spans="1:34" x14ac:dyDescent="0.25">
      <c r="A9" s="86" t="str">
        <f>Plantilla!A23</f>
        <v>#11</v>
      </c>
      <c r="B9" s="300" t="str">
        <f>Plantilla!D23</f>
        <v>K. Helms</v>
      </c>
      <c r="C9" s="86">
        <f>Plantilla!E23</f>
        <v>35</v>
      </c>
      <c r="D9" s="86">
        <f ca="1">Plantilla!F23</f>
        <v>49</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5">
        <f>1/10</f>
        <v>0.1</v>
      </c>
      <c r="M9" s="115"/>
      <c r="N9" s="115">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2">
        <f>V9</f>
        <v>1.9088636363636363E-2</v>
      </c>
      <c r="Z9" s="142">
        <f>V9</f>
        <v>1.9088636363636363E-2</v>
      </c>
      <c r="AA9" s="142">
        <f t="shared" si="6"/>
        <v>1.9088636363636363E-2</v>
      </c>
      <c r="AD9" t="s">
        <v>221</v>
      </c>
      <c r="AE9" t="s">
        <v>101</v>
      </c>
      <c r="AG9" t="s">
        <v>221</v>
      </c>
      <c r="AH9" t="s">
        <v>101</v>
      </c>
    </row>
    <row r="10" spans="1:34" x14ac:dyDescent="0.25">
      <c r="A10" s="86" t="str">
        <f>Plantilla!A24</f>
        <v>#10</v>
      </c>
      <c r="B10" s="300" t="str">
        <f>Plantilla!D24</f>
        <v>S. Zobbe</v>
      </c>
      <c r="C10" s="86">
        <f>Plantilla!E24</f>
        <v>32</v>
      </c>
      <c r="D10" s="86">
        <f ca="1">Plantilla!F24</f>
        <v>64</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5">
        <f>1/10</f>
        <v>0.1</v>
      </c>
      <c r="M10" s="115"/>
      <c r="N10" s="115">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2">
        <f>V10</f>
        <v>1.9088636363636363E-2</v>
      </c>
      <c r="Z10" s="142">
        <f>V10</f>
        <v>1.9088636363636363E-2</v>
      </c>
      <c r="AA10" s="142">
        <f t="shared" si="6"/>
        <v>1.9088636363636363E-2</v>
      </c>
      <c r="AD10" t="s">
        <v>354</v>
      </c>
      <c r="AE10" t="s">
        <v>364</v>
      </c>
      <c r="AG10" t="s">
        <v>221</v>
      </c>
      <c r="AH10" t="s">
        <v>291</v>
      </c>
    </row>
    <row r="11" spans="1:34" x14ac:dyDescent="0.25">
      <c r="A11" s="86" t="str">
        <f>Plantilla!A9</f>
        <v>#7</v>
      </c>
      <c r="B11" s="300" t="str">
        <f>Plantilla!D9</f>
        <v>E. Romweber</v>
      </c>
      <c r="C11" s="86">
        <f>Plantilla!E9</f>
        <v>35</v>
      </c>
      <c r="D11" s="86">
        <f ca="1">Plantilla!F9</f>
        <v>102</v>
      </c>
      <c r="E11" s="49">
        <f>Plantilla!X9</f>
        <v>0</v>
      </c>
      <c r="F11" s="49">
        <f>Plantilla!Y9</f>
        <v>11.95</v>
      </c>
      <c r="G11" s="49">
        <f>Plantilla!Z9</f>
        <v>11.95</v>
      </c>
      <c r="H11" s="49">
        <f>Plantilla!AA9</f>
        <v>12.95</v>
      </c>
      <c r="I11" s="49">
        <f>Plantilla!AB9</f>
        <v>9.9499999999999993</v>
      </c>
      <c r="J11" s="49">
        <f>Plantilla!AC9</f>
        <v>5.95</v>
      </c>
      <c r="K11" s="49">
        <f>Plantilla!AD9</f>
        <v>17.529999999999998</v>
      </c>
      <c r="L11" s="115">
        <f>1/13</f>
        <v>7.6923076923076927E-2</v>
      </c>
      <c r="M11" s="115"/>
      <c r="N11" s="115">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2">
        <f>V11</f>
        <v>1.4683566433566433E-2</v>
      </c>
      <c r="Z11" s="142">
        <f>V11</f>
        <v>1.4683566433566433E-2</v>
      </c>
      <c r="AA11" s="142">
        <f t="shared" si="6"/>
        <v>1.4683566433566433E-2</v>
      </c>
      <c r="AD11" t="s">
        <v>354</v>
      </c>
      <c r="AE11" t="s">
        <v>107</v>
      </c>
      <c r="AG11" t="s">
        <v>354</v>
      </c>
      <c r="AH11" t="s">
        <v>107</v>
      </c>
    </row>
    <row r="12" spans="1:34" x14ac:dyDescent="0.25">
      <c r="A12" s="86" t="e">
        <f>Plantilla!#REF!</f>
        <v>#REF!</v>
      </c>
      <c r="B12" s="300"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5">
        <f>1/26</f>
        <v>3.8461538461538464E-2</v>
      </c>
      <c r="M12" s="115"/>
      <c r="N12" s="115">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2">
        <f>W12</f>
        <v>1.448164335664336E-2</v>
      </c>
      <c r="Z12" s="142">
        <f>W12</f>
        <v>1.448164335664336E-2</v>
      </c>
      <c r="AA12" s="142">
        <f t="shared" si="6"/>
        <v>1.448164335664336E-2</v>
      </c>
      <c r="AD12" t="s">
        <v>64</v>
      </c>
      <c r="AE12" t="s">
        <v>102</v>
      </c>
      <c r="AG12" t="s">
        <v>354</v>
      </c>
      <c r="AH12" t="s">
        <v>225</v>
      </c>
    </row>
    <row r="13" spans="1:34" x14ac:dyDescent="0.25">
      <c r="A13" s="86" t="str">
        <f>Plantilla!A27</f>
        <v>#15</v>
      </c>
      <c r="B13" s="300" t="str">
        <f>Plantilla!D27</f>
        <v>P .Trivadi</v>
      </c>
      <c r="C13" s="86">
        <f>Plantilla!E27</f>
        <v>32</v>
      </c>
      <c r="D13" s="86">
        <f ca="1">Plantilla!F27</f>
        <v>20</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5">
        <f>1/9</f>
        <v>0.1111111111111111</v>
      </c>
      <c r="M13" s="115"/>
      <c r="N13" s="115">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2">
        <v>0</v>
      </c>
      <c r="Z13" s="142">
        <v>0</v>
      </c>
      <c r="AA13" s="142">
        <f t="shared" si="6"/>
        <v>0</v>
      </c>
      <c r="AD13" t="s">
        <v>64</v>
      </c>
      <c r="AE13" t="s">
        <v>225</v>
      </c>
      <c r="AG13" t="s">
        <v>64</v>
      </c>
      <c r="AH13" t="s">
        <v>102</v>
      </c>
    </row>
    <row r="14" spans="1:34" x14ac:dyDescent="0.25">
      <c r="A14" s="86" t="str">
        <f>Plantilla!A4</f>
        <v>#1</v>
      </c>
      <c r="B14" s="86" t="str">
        <f>Plantilla!D4</f>
        <v>D. Gehmacher</v>
      </c>
      <c r="C14" s="86">
        <f>Plantilla!E4</f>
        <v>35</v>
      </c>
      <c r="D14" s="86">
        <f ca="1">Plantilla!F4</f>
        <v>17</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5">
        <v>0</v>
      </c>
      <c r="M14" s="115"/>
      <c r="N14" s="115">
        <f t="shared" si="0"/>
        <v>0</v>
      </c>
      <c r="O14" s="49">
        <v>0</v>
      </c>
      <c r="P14" s="48">
        <v>0</v>
      </c>
      <c r="Q14" s="48">
        <v>0</v>
      </c>
      <c r="R14" s="48">
        <v>0</v>
      </c>
      <c r="S14" s="48">
        <v>0</v>
      </c>
      <c r="T14" s="48">
        <f t="shared" si="1"/>
        <v>0</v>
      </c>
      <c r="U14" s="48">
        <f t="shared" si="2"/>
        <v>0</v>
      </c>
      <c r="V14" s="48">
        <f t="shared" si="3"/>
        <v>0</v>
      </c>
      <c r="W14" s="48">
        <f t="shared" si="4"/>
        <v>0</v>
      </c>
      <c r="X14" s="48">
        <f t="shared" si="5"/>
        <v>0</v>
      </c>
      <c r="Y14" s="142">
        <f>L14</f>
        <v>0</v>
      </c>
      <c r="Z14" s="142">
        <f>L14</f>
        <v>0</v>
      </c>
      <c r="AA14" s="142">
        <f t="shared" si="6"/>
        <v>0</v>
      </c>
    </row>
    <row r="15" spans="1:34" x14ac:dyDescent="0.25">
      <c r="A15" s="86" t="e">
        <f>Plantilla!#REF!</f>
        <v>#REF!</v>
      </c>
      <c r="B15" s="300"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5">
        <f>1/10</f>
        <v>0.1</v>
      </c>
      <c r="M15" s="115"/>
      <c r="N15" s="115">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2">
        <v>0</v>
      </c>
      <c r="Z15" s="142">
        <v>0</v>
      </c>
      <c r="AA15" s="142">
        <f t="shared" si="6"/>
        <v>0</v>
      </c>
    </row>
    <row r="16" spans="1:34" x14ac:dyDescent="0.25">
      <c r="A16" s="86" t="e">
        <f>Plantilla!#REF!</f>
        <v>#REF!</v>
      </c>
      <c r="B16" s="300"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5">
        <f>1/8</f>
        <v>0.125</v>
      </c>
      <c r="M16" s="115"/>
      <c r="N16" s="115">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2">
        <v>0</v>
      </c>
      <c r="Z16" s="142">
        <v>0</v>
      </c>
      <c r="AA16" s="142">
        <f t="shared" si="6"/>
        <v>0</v>
      </c>
    </row>
    <row r="17" spans="1:27" x14ac:dyDescent="0.25">
      <c r="A17" s="86" t="str">
        <f>Plantilla!A6</f>
        <v>#2</v>
      </c>
      <c r="B17" s="300" t="str">
        <f>Plantilla!D6</f>
        <v>E. Toney</v>
      </c>
      <c r="C17" s="86">
        <f>Plantilla!E6</f>
        <v>36</v>
      </c>
      <c r="D17" s="86">
        <f ca="1">Plantilla!F6</f>
        <v>28</v>
      </c>
      <c r="E17" s="49">
        <f>Plantilla!X6</f>
        <v>0</v>
      </c>
      <c r="F17" s="49">
        <f>Plantilla!Y6</f>
        <v>11.95</v>
      </c>
      <c r="G17" s="49">
        <f>Plantilla!Z6</f>
        <v>12.95</v>
      </c>
      <c r="H17" s="49">
        <f>Plantilla!AA6</f>
        <v>8.9499999999999993</v>
      </c>
      <c r="I17" s="49">
        <f>Plantilla!AB6</f>
        <v>8.9499999999999993</v>
      </c>
      <c r="J17" s="49">
        <f>Plantilla!AC6</f>
        <v>0.95</v>
      </c>
      <c r="K17" s="49">
        <f>Plantilla!AD6</f>
        <v>17.177777777777774</v>
      </c>
      <c r="L17" s="115">
        <f>1/11</f>
        <v>9.0909090909090912E-2</v>
      </c>
      <c r="M17" s="115"/>
      <c r="N17" s="115">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2">
        <f>S17</f>
        <v>0</v>
      </c>
      <c r="Z17" s="142">
        <f>S17</f>
        <v>0</v>
      </c>
      <c r="AA17" s="142">
        <f t="shared" si="6"/>
        <v>0</v>
      </c>
    </row>
    <row r="18" spans="1:27" x14ac:dyDescent="0.25">
      <c r="A18" s="86" t="str">
        <f>Plantilla!A11</f>
        <v>#12</v>
      </c>
      <c r="B18" s="300" t="str">
        <f>Plantilla!D11</f>
        <v>E. Gross</v>
      </c>
      <c r="C18" s="86">
        <f>Plantilla!E11</f>
        <v>35</v>
      </c>
      <c r="D18" s="86">
        <f ca="1">Plantilla!F11</f>
        <v>89</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5">
        <f>1/10</f>
        <v>0.1</v>
      </c>
      <c r="M18" s="115"/>
      <c r="N18" s="115">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2">
        <v>0</v>
      </c>
      <c r="Z18" s="142">
        <v>0</v>
      </c>
      <c r="AA18" s="142">
        <f t="shared" si="6"/>
        <v>0</v>
      </c>
    </row>
    <row r="19" spans="1:27" x14ac:dyDescent="0.25">
      <c r="A19" s="86" t="str">
        <f>Plantilla!A7</f>
        <v>#24</v>
      </c>
      <c r="B19" s="300" t="str">
        <f>Plantilla!D7</f>
        <v>B. Bartolache</v>
      </c>
      <c r="C19" s="86">
        <f>Plantilla!E7</f>
        <v>36</v>
      </c>
      <c r="D19" s="86">
        <f ca="1">Plantilla!F7</f>
        <v>13</v>
      </c>
      <c r="E19" s="49">
        <f>Plantilla!X7</f>
        <v>0</v>
      </c>
      <c r="F19" s="49">
        <f>Plantilla!Y7</f>
        <v>11.95</v>
      </c>
      <c r="G19" s="49">
        <f>Plantilla!Z7</f>
        <v>5.95</v>
      </c>
      <c r="H19" s="49">
        <f>Plantilla!AA7</f>
        <v>6.95</v>
      </c>
      <c r="I19" s="49">
        <f>Plantilla!AB7</f>
        <v>7.95</v>
      </c>
      <c r="J19" s="49">
        <f>Plantilla!AC7</f>
        <v>1.95</v>
      </c>
      <c r="K19" s="49">
        <f>Plantilla!AD7</f>
        <v>16</v>
      </c>
      <c r="L19" s="115">
        <f>1/10</f>
        <v>0.1</v>
      </c>
      <c r="M19" s="115"/>
      <c r="N19" s="115">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2">
        <v>0</v>
      </c>
      <c r="Z19" s="142">
        <f>S19</f>
        <v>0</v>
      </c>
      <c r="AA19" s="142">
        <f t="shared" si="6"/>
        <v>0</v>
      </c>
    </row>
    <row r="20" spans="1:27" x14ac:dyDescent="0.25">
      <c r="A20" s="86" t="str">
        <f>Plantilla!A5</f>
        <v>#25</v>
      </c>
      <c r="B20" s="86" t="str">
        <f>Plantilla!D5</f>
        <v>T. Hammond</v>
      </c>
      <c r="C20" s="86">
        <f>Plantilla!E5</f>
        <v>39</v>
      </c>
      <c r="D20" s="86">
        <f ca="1">Plantilla!F5</f>
        <v>26</v>
      </c>
      <c r="E20" s="49">
        <f>Plantilla!X5</f>
        <v>7.95</v>
      </c>
      <c r="F20" s="49">
        <f>Plantilla!Y5</f>
        <v>6.95</v>
      </c>
      <c r="G20" s="49">
        <f>Plantilla!Z5</f>
        <v>0.95</v>
      </c>
      <c r="H20" s="49">
        <f>Plantilla!AA5</f>
        <v>0.95</v>
      </c>
      <c r="I20" s="49">
        <f>Plantilla!AB5</f>
        <v>1.95</v>
      </c>
      <c r="J20" s="49">
        <f>Plantilla!AC5</f>
        <v>0</v>
      </c>
      <c r="K20" s="49">
        <f>Plantilla!AD5</f>
        <v>14.95</v>
      </c>
      <c r="L20" s="115"/>
      <c r="M20" s="115"/>
      <c r="N20" s="115">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2"/>
      <c r="Z20" s="142"/>
      <c r="AA20" s="142">
        <f t="shared" si="6"/>
        <v>0</v>
      </c>
    </row>
    <row r="21" spans="1:27" x14ac:dyDescent="0.25">
      <c r="A21" s="86" t="str">
        <f>Plantilla!A8</f>
        <v>#13</v>
      </c>
      <c r="B21" s="86" t="str">
        <f>Plantilla!D8</f>
        <v>F. Lasprilla</v>
      </c>
      <c r="C21" s="86">
        <f>Plantilla!E8</f>
        <v>32</v>
      </c>
      <c r="D21" s="86">
        <f ca="1">Plantilla!F8</f>
        <v>36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5"/>
      <c r="M21" s="115"/>
      <c r="N21" s="115">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2"/>
      <c r="Z21" s="142"/>
      <c r="AA21" s="142">
        <f t="shared" si="6"/>
        <v>0</v>
      </c>
    </row>
    <row r="22" spans="1:27" x14ac:dyDescent="0.25">
      <c r="A22" s="86" t="str">
        <f>Plantilla!A12</f>
        <v>#23</v>
      </c>
      <c r="B22" s="86" t="str">
        <f>Plantilla!D12</f>
        <v>W. Gelifini</v>
      </c>
      <c r="C22" s="86">
        <f>Plantilla!E12</f>
        <v>34</v>
      </c>
      <c r="D22" s="86">
        <f ca="1">Plantilla!F12</f>
        <v>14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5"/>
      <c r="M22" s="115"/>
      <c r="N22" s="115">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2"/>
      <c r="Z22" s="142"/>
      <c r="AA22" s="142">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5"/>
      <c r="M23" s="115"/>
      <c r="N23" s="115">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2"/>
      <c r="Z23" s="142"/>
      <c r="AA23" s="142">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4" bestFit="1" customWidth="1"/>
    <col min="13" max="13" width="6.5703125" style="264" customWidth="1"/>
    <col min="14" max="14" width="8.28515625" style="264" bestFit="1" customWidth="1"/>
    <col min="15" max="15" width="4.5703125" style="26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6">
        <f>SUM(Y4:Y22)</f>
        <v>0.35961805555555554</v>
      </c>
      <c r="Z2" s="266">
        <f>SUM(Z4:Z22)</f>
        <v>0.49770896464646464</v>
      </c>
      <c r="AA2" s="266"/>
      <c r="AD2" s="192" t="s">
        <v>100</v>
      </c>
      <c r="AE2" s="192" t="s">
        <v>71</v>
      </c>
      <c r="AG2" s="192" t="s">
        <v>100</v>
      </c>
      <c r="AH2" s="192"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9">
        <v>1</v>
      </c>
      <c r="M3" s="259">
        <v>0.5</v>
      </c>
      <c r="N3" s="94" t="s">
        <v>377</v>
      </c>
      <c r="O3" s="261" t="s">
        <v>1</v>
      </c>
      <c r="P3" s="261" t="s">
        <v>352</v>
      </c>
      <c r="Q3" s="260" t="s">
        <v>370</v>
      </c>
      <c r="R3" s="260" t="s">
        <v>376</v>
      </c>
      <c r="S3" s="260" t="s">
        <v>371</v>
      </c>
      <c r="T3" s="260" t="s">
        <v>353</v>
      </c>
      <c r="U3" s="260" t="s">
        <v>221</v>
      </c>
      <c r="V3" s="260" t="s">
        <v>375</v>
      </c>
      <c r="W3" s="261" t="s">
        <v>277</v>
      </c>
      <c r="X3" s="261" t="s">
        <v>64</v>
      </c>
      <c r="Y3" s="263" t="s">
        <v>373</v>
      </c>
      <c r="Z3" s="263" t="s">
        <v>374</v>
      </c>
      <c r="AA3" s="263" t="s">
        <v>378</v>
      </c>
      <c r="AD3" t="s">
        <v>1</v>
      </c>
      <c r="AE3" t="s">
        <v>344</v>
      </c>
      <c r="AG3" t="s">
        <v>1</v>
      </c>
      <c r="AH3" t="s">
        <v>344</v>
      </c>
    </row>
    <row r="4" spans="1:34" x14ac:dyDescent="0.25">
      <c r="A4" s="86" t="e">
        <f>Plantilla!#REF!</f>
        <v>#REF!</v>
      </c>
      <c r="B4" s="300"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5">
        <f>1/4</f>
        <v>0.25</v>
      </c>
      <c r="M4" s="115">
        <f t="shared" ref="M4:M23" si="0">L4/2</f>
        <v>0.125</v>
      </c>
      <c r="N4" s="115">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2"/>
      <c r="Z4" s="142">
        <f>R4</f>
        <v>7.1499999999999994E-2</v>
      </c>
      <c r="AA4" s="142">
        <f t="shared" ref="AA4:AA23" si="8">MAX(Z4,Y4)</f>
        <v>7.1499999999999994E-2</v>
      </c>
      <c r="AD4" t="s">
        <v>351</v>
      </c>
      <c r="AE4" s="275" t="s">
        <v>381</v>
      </c>
      <c r="AG4" t="s">
        <v>351</v>
      </c>
      <c r="AH4" s="275" t="str">
        <f>AE4</f>
        <v>B. Pinczehelyi</v>
      </c>
    </row>
    <row r="5" spans="1:34" x14ac:dyDescent="0.25">
      <c r="A5" s="86" t="str">
        <f>Plantilla!A7</f>
        <v>#24</v>
      </c>
      <c r="B5" s="300" t="str">
        <f>Plantilla!D7</f>
        <v>B. Bartolache</v>
      </c>
      <c r="C5" s="86">
        <f>Plantilla!E7</f>
        <v>36</v>
      </c>
      <c r="D5" s="86">
        <f ca="1">Plantilla!F7</f>
        <v>13</v>
      </c>
      <c r="E5" s="49">
        <f>Plantilla!X7</f>
        <v>0</v>
      </c>
      <c r="F5" s="49">
        <f>Plantilla!Y7</f>
        <v>11.95</v>
      </c>
      <c r="G5" s="49">
        <f>Plantilla!Z7</f>
        <v>5.95</v>
      </c>
      <c r="H5" s="49">
        <f>Plantilla!AA7</f>
        <v>6.95</v>
      </c>
      <c r="I5" s="49">
        <f>Plantilla!AB7</f>
        <v>7.95</v>
      </c>
      <c r="J5" s="49">
        <f>Plantilla!AC7</f>
        <v>1.95</v>
      </c>
      <c r="K5" s="49">
        <f>Plantilla!AD7</f>
        <v>16</v>
      </c>
      <c r="L5" s="115">
        <f>1/6</f>
        <v>0.16666666666666666</v>
      </c>
      <c r="M5" s="115">
        <f t="shared" si="0"/>
        <v>8.3333333333333329E-2</v>
      </c>
      <c r="N5" s="115">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2"/>
      <c r="Z5" s="142">
        <f>S5</f>
        <v>5.5681818181818173E-2</v>
      </c>
      <c r="AA5" s="142">
        <f t="shared" si="8"/>
        <v>5.5681818181818173E-2</v>
      </c>
      <c r="AD5" t="s">
        <v>352</v>
      </c>
      <c r="AE5" t="s">
        <v>97</v>
      </c>
      <c r="AG5" t="s">
        <v>363</v>
      </c>
      <c r="AH5" t="s">
        <v>98</v>
      </c>
    </row>
    <row r="6" spans="1:34" x14ac:dyDescent="0.25">
      <c r="A6" s="86" t="str">
        <f>Plantilla!A24</f>
        <v>#10</v>
      </c>
      <c r="B6" s="300" t="str">
        <f>Plantilla!D24</f>
        <v>S. Zobbe</v>
      </c>
      <c r="C6" s="86">
        <f>Plantilla!E24</f>
        <v>32</v>
      </c>
      <c r="D6" s="86">
        <f ca="1">Plantilla!F24</f>
        <v>64</v>
      </c>
      <c r="E6" s="49">
        <f>Plantilla!X24</f>
        <v>0</v>
      </c>
      <c r="F6" s="49">
        <f>Plantilla!Y24</f>
        <v>8.3599999999999977</v>
      </c>
      <c r="G6" s="49">
        <f>Plantilla!Z24</f>
        <v>12.253412698412699</v>
      </c>
      <c r="H6" s="49">
        <f>Plantilla!AA24</f>
        <v>12.95</v>
      </c>
      <c r="I6" s="49">
        <f>Plantilla!AB24</f>
        <v>10.24</v>
      </c>
      <c r="J6" s="49">
        <f>Plantilla!AC24</f>
        <v>6.95</v>
      </c>
      <c r="K6" s="49">
        <f>Plantilla!AD24</f>
        <v>16</v>
      </c>
      <c r="L6" s="115">
        <f>1/9</f>
        <v>0.1111111111111111</v>
      </c>
      <c r="M6" s="115">
        <f t="shared" si="0"/>
        <v>5.5555555555555552E-2</v>
      </c>
      <c r="N6" s="115">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2">
        <f>V6</f>
        <v>5.4545454545454536E-2</v>
      </c>
      <c r="Z6" s="142">
        <f>V6</f>
        <v>5.4545454545454536E-2</v>
      </c>
      <c r="AA6" s="142">
        <f t="shared" si="8"/>
        <v>5.4545454545454536E-2</v>
      </c>
      <c r="AD6" t="s">
        <v>351</v>
      </c>
      <c r="AE6" t="s">
        <v>95</v>
      </c>
      <c r="AG6" t="s">
        <v>362</v>
      </c>
      <c r="AH6" t="s">
        <v>95</v>
      </c>
    </row>
    <row r="7" spans="1:34" x14ac:dyDescent="0.25">
      <c r="A7" s="86" t="str">
        <f>Plantilla!A6</f>
        <v>#2</v>
      </c>
      <c r="B7" s="300" t="str">
        <f>Plantilla!D6</f>
        <v>E. Toney</v>
      </c>
      <c r="C7" s="86">
        <f>Plantilla!E6</f>
        <v>36</v>
      </c>
      <c r="D7" s="86">
        <f ca="1">Plantilla!F6</f>
        <v>28</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5">
        <f>1/7</f>
        <v>0.14285714285714285</v>
      </c>
      <c r="M7" s="115">
        <f t="shared" si="0"/>
        <v>7.1428571428571425E-2</v>
      </c>
      <c r="N7" s="115">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2">
        <f>S7</f>
        <v>4.7727272727272722E-2</v>
      </c>
      <c r="Z7" s="142">
        <f>S7</f>
        <v>4.7727272727272722E-2</v>
      </c>
      <c r="AA7" s="142">
        <f t="shared" si="8"/>
        <v>4.7727272727272722E-2</v>
      </c>
      <c r="AD7" t="s">
        <v>221</v>
      </c>
      <c r="AE7" t="s">
        <v>291</v>
      </c>
      <c r="AG7" t="s">
        <v>363</v>
      </c>
      <c r="AH7" t="s">
        <v>99</v>
      </c>
    </row>
    <row r="8" spans="1:34" x14ac:dyDescent="0.25">
      <c r="A8" s="86" t="str">
        <f>Plantilla!A9</f>
        <v>#7</v>
      </c>
      <c r="B8" s="301" t="str">
        <f>Plantilla!D9</f>
        <v>E. Romweber</v>
      </c>
      <c r="C8" s="86">
        <f>Plantilla!E9</f>
        <v>35</v>
      </c>
      <c r="D8" s="86">
        <f ca="1">Plantilla!F9</f>
        <v>102</v>
      </c>
      <c r="E8" s="49">
        <f>Plantilla!X9</f>
        <v>0</v>
      </c>
      <c r="F8" s="49">
        <f>Plantilla!Y9</f>
        <v>11.95</v>
      </c>
      <c r="G8" s="49">
        <f>Plantilla!Z9</f>
        <v>11.95</v>
      </c>
      <c r="H8" s="49">
        <f>Plantilla!AA9</f>
        <v>12.95</v>
      </c>
      <c r="I8" s="49">
        <f>Plantilla!AB9</f>
        <v>9.9499999999999993</v>
      </c>
      <c r="J8" s="49">
        <f>Plantilla!AC9</f>
        <v>5.95</v>
      </c>
      <c r="K8" s="49">
        <f>Plantilla!AD9</f>
        <v>17.529999999999998</v>
      </c>
      <c r="L8" s="115">
        <f>1/12</f>
        <v>8.3333333333333329E-2</v>
      </c>
      <c r="M8" s="115">
        <f t="shared" si="0"/>
        <v>4.1666666666666664E-2</v>
      </c>
      <c r="N8" s="115">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2">
        <f>V8</f>
        <v>4.0909090909090909E-2</v>
      </c>
      <c r="Z8" s="142">
        <f>V8</f>
        <v>4.0909090909090909E-2</v>
      </c>
      <c r="AA8" s="142">
        <f t="shared" si="8"/>
        <v>4.0909090909090909E-2</v>
      </c>
      <c r="AD8" t="s">
        <v>353</v>
      </c>
      <c r="AE8" t="s">
        <v>169</v>
      </c>
      <c r="AG8" t="s">
        <v>351</v>
      </c>
      <c r="AH8" t="s">
        <v>364</v>
      </c>
    </row>
    <row r="9" spans="1:34" x14ac:dyDescent="0.25">
      <c r="A9" s="86" t="str">
        <f>Plantilla!A23</f>
        <v>#11</v>
      </c>
      <c r="B9" s="301" t="str">
        <f>Plantilla!D23</f>
        <v>K. Helms</v>
      </c>
      <c r="C9" s="86">
        <f>Plantilla!E23</f>
        <v>35</v>
      </c>
      <c r="D9" s="86">
        <f ca="1">Plantilla!F23</f>
        <v>49</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5">
        <f>1/12</f>
        <v>8.3333333333333329E-2</v>
      </c>
      <c r="M9" s="115">
        <f t="shared" si="0"/>
        <v>4.1666666666666664E-2</v>
      </c>
      <c r="N9" s="115">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2">
        <f>V9</f>
        <v>4.0909090909090909E-2</v>
      </c>
      <c r="Z9" s="142">
        <f>V9</f>
        <v>4.0909090909090909E-2</v>
      </c>
      <c r="AA9" s="142">
        <f t="shared" si="8"/>
        <v>4.0909090909090909E-2</v>
      </c>
      <c r="AD9" t="s">
        <v>221</v>
      </c>
      <c r="AE9" t="s">
        <v>101</v>
      </c>
      <c r="AG9" t="s">
        <v>221</v>
      </c>
      <c r="AH9" t="s">
        <v>101</v>
      </c>
    </row>
    <row r="10" spans="1:34" x14ac:dyDescent="0.25">
      <c r="A10" s="86" t="e">
        <f>Plantilla!#REF!</f>
        <v>#REF!</v>
      </c>
      <c r="B10" s="301"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5">
        <f>1/8</f>
        <v>0.125</v>
      </c>
      <c r="M10" s="115">
        <f t="shared" si="0"/>
        <v>6.25E-2</v>
      </c>
      <c r="N10" s="115">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2">
        <f>U10</f>
        <v>4.0767045454545452E-2</v>
      </c>
      <c r="Z10" s="142">
        <f>U10</f>
        <v>4.0767045454545452E-2</v>
      </c>
      <c r="AA10" s="142">
        <f t="shared" si="8"/>
        <v>4.0767045454545452E-2</v>
      </c>
      <c r="AD10" t="s">
        <v>354</v>
      </c>
      <c r="AE10" t="s">
        <v>364</v>
      </c>
      <c r="AG10" t="s">
        <v>221</v>
      </c>
      <c r="AH10" t="s">
        <v>291</v>
      </c>
    </row>
    <row r="11" spans="1:34" x14ac:dyDescent="0.25">
      <c r="A11" s="86" t="str">
        <f>Plantilla!A10</f>
        <v>#6</v>
      </c>
      <c r="B11" s="301" t="str">
        <f>Plantilla!D10</f>
        <v>S. Buschelman</v>
      </c>
      <c r="C11" s="86">
        <f>Plantilla!E10</f>
        <v>34</v>
      </c>
      <c r="D11" s="86">
        <f ca="1">Plantilla!F10</f>
        <v>61</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5">
        <f>1/9</f>
        <v>0.1111111111111111</v>
      </c>
      <c r="M11" s="115">
        <f t="shared" si="0"/>
        <v>5.5555555555555552E-2</v>
      </c>
      <c r="N11" s="115">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2">
        <f>U11</f>
        <v>3.6237373737373728E-2</v>
      </c>
      <c r="Z11" s="142">
        <f>U11</f>
        <v>3.6237373737373728E-2</v>
      </c>
      <c r="AA11" s="142">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5">
        <f>1/10</f>
        <v>0.1</v>
      </c>
      <c r="M12" s="115">
        <f t="shared" si="0"/>
        <v>0.05</v>
      </c>
      <c r="N12" s="115">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2">
        <f>U12</f>
        <v>3.2613636363636365E-2</v>
      </c>
      <c r="Z12" s="142">
        <f>U12</f>
        <v>3.2613636363636365E-2</v>
      </c>
      <c r="AA12" s="142">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5">
        <f>1/3</f>
        <v>0.33333333333333331</v>
      </c>
      <c r="M13" s="115">
        <f t="shared" si="0"/>
        <v>0.16666666666666666</v>
      </c>
      <c r="N13" s="115">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2">
        <f>W13</f>
        <v>2.7272727272727268E-2</v>
      </c>
      <c r="Z13" s="142">
        <f>W13</f>
        <v>2.7272727272727268E-2</v>
      </c>
      <c r="AA13" s="142">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64</v>
      </c>
      <c r="E14" s="49">
        <f>Plantilla!X25</f>
        <v>0</v>
      </c>
      <c r="F14" s="49">
        <f>Plantilla!Y25</f>
        <v>5.95</v>
      </c>
      <c r="G14" s="49">
        <f>Plantilla!Z25</f>
        <v>14.1</v>
      </c>
      <c r="H14" s="49">
        <f>Plantilla!AA25</f>
        <v>2.95</v>
      </c>
      <c r="I14" s="49">
        <f>Plantilla!AB25</f>
        <v>8.9499999999999993</v>
      </c>
      <c r="J14" s="49">
        <f>Plantilla!AC25</f>
        <v>5.95</v>
      </c>
      <c r="K14" s="49">
        <f>Plantilla!AD25</f>
        <v>16.95</v>
      </c>
      <c r="L14" s="115">
        <f>1/3</f>
        <v>0.33333333333333331</v>
      </c>
      <c r="M14" s="115">
        <f t="shared" si="0"/>
        <v>0.16666666666666666</v>
      </c>
      <c r="N14" s="115">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2">
        <f>T14</f>
        <v>0</v>
      </c>
      <c r="Z14" s="142">
        <f>W14</f>
        <v>2.7272727272727268E-2</v>
      </c>
      <c r="AA14" s="142">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5">
        <f>1/15</f>
        <v>6.6666666666666666E-2</v>
      </c>
      <c r="M15" s="115">
        <f t="shared" si="0"/>
        <v>3.3333333333333333E-2</v>
      </c>
      <c r="N15" s="115">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2">
        <f>S15</f>
        <v>2.227272727272727E-2</v>
      </c>
      <c r="Z15" s="142">
        <f>S15</f>
        <v>2.227272727272727E-2</v>
      </c>
      <c r="AA15" s="142">
        <f t="shared" si="8"/>
        <v>2.227272727272727E-2</v>
      </c>
    </row>
    <row r="16" spans="1:34" x14ac:dyDescent="0.25">
      <c r="A16" s="86" t="str">
        <f>Plantilla!A26</f>
        <v>#9</v>
      </c>
      <c r="B16" s="62" t="str">
        <f>Plantilla!D26</f>
        <v>J. Limon</v>
      </c>
      <c r="C16" s="86">
        <f>Plantilla!E26</f>
        <v>34</v>
      </c>
      <c r="D16" s="86">
        <f ca="1">Plantilla!F26</f>
        <v>101</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5">
        <f>1/5</f>
        <v>0.2</v>
      </c>
      <c r="M16" s="115">
        <f t="shared" si="0"/>
        <v>0.1</v>
      </c>
      <c r="N16" s="115">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2">
        <f>W16</f>
        <v>1.6363636363636361E-2</v>
      </c>
      <c r="Z16" s="142"/>
      <c r="AA16" s="142">
        <f t="shared" si="8"/>
        <v>1.6363636363636361E-2</v>
      </c>
    </row>
    <row r="17" spans="1:27" x14ac:dyDescent="0.25">
      <c r="A17" s="86" t="str">
        <f>Plantilla!A27</f>
        <v>#15</v>
      </c>
      <c r="B17" s="62" t="str">
        <f>Plantilla!D27</f>
        <v>P .Trivadi</v>
      </c>
      <c r="C17" s="86">
        <f>Plantilla!E27</f>
        <v>32</v>
      </c>
      <c r="D17" s="86">
        <f ca="1">Plantilla!F27</f>
        <v>20</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5">
        <f>1/5</f>
        <v>0.2</v>
      </c>
      <c r="M17" s="115">
        <f t="shared" si="0"/>
        <v>0.1</v>
      </c>
      <c r="N17" s="115">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2">
        <v>0</v>
      </c>
      <c r="Z17" s="142">
        <v>0</v>
      </c>
      <c r="AA17" s="142">
        <f t="shared" si="8"/>
        <v>0</v>
      </c>
    </row>
    <row r="18" spans="1:27" x14ac:dyDescent="0.25">
      <c r="A18" s="86" t="str">
        <f>Plantilla!A4</f>
        <v>#1</v>
      </c>
      <c r="B18" s="86" t="str">
        <f>Plantilla!D4</f>
        <v>D. Gehmacher</v>
      </c>
      <c r="C18" s="86">
        <f>Plantilla!E4</f>
        <v>35</v>
      </c>
      <c r="D18" s="86">
        <f ca="1">Plantilla!F4</f>
        <v>17</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5">
        <f>0</f>
        <v>0</v>
      </c>
      <c r="M18" s="115">
        <f t="shared" si="0"/>
        <v>0</v>
      </c>
      <c r="N18" s="115">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2">
        <f>L18</f>
        <v>0</v>
      </c>
      <c r="Z18" s="142">
        <f>L18</f>
        <v>0</v>
      </c>
      <c r="AA18" s="142">
        <f t="shared" si="8"/>
        <v>0</v>
      </c>
    </row>
    <row r="19" spans="1:27" x14ac:dyDescent="0.25">
      <c r="A19" s="86" t="str">
        <f>Plantilla!A11</f>
        <v>#12</v>
      </c>
      <c r="B19" s="86" t="str">
        <f>Plantilla!D11</f>
        <v>E. Gross</v>
      </c>
      <c r="C19" s="86">
        <f>Plantilla!E11</f>
        <v>35</v>
      </c>
      <c r="D19" s="86">
        <f ca="1">Plantilla!F11</f>
        <v>89</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5">
        <f>1/4</f>
        <v>0.25</v>
      </c>
      <c r="M19" s="115">
        <f t="shared" si="0"/>
        <v>0.125</v>
      </c>
      <c r="N19" s="115">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2">
        <v>0</v>
      </c>
      <c r="Z19" s="142">
        <v>0</v>
      </c>
      <c r="AA19" s="142">
        <f t="shared" si="8"/>
        <v>0</v>
      </c>
    </row>
    <row r="20" spans="1:27" x14ac:dyDescent="0.25">
      <c r="A20" s="86" t="str">
        <f>Plantilla!A5</f>
        <v>#25</v>
      </c>
      <c r="B20" s="86" t="str">
        <f>Plantilla!D5</f>
        <v>T. Hammond</v>
      </c>
      <c r="C20" s="86">
        <f>Plantilla!E5</f>
        <v>39</v>
      </c>
      <c r="D20" s="86">
        <f ca="1">Plantilla!F5</f>
        <v>26</v>
      </c>
      <c r="E20" s="49">
        <f>Plantilla!X5</f>
        <v>7.95</v>
      </c>
      <c r="F20" s="49">
        <f>Plantilla!Y5</f>
        <v>6.95</v>
      </c>
      <c r="G20" s="49">
        <f>Plantilla!Z5</f>
        <v>0.95</v>
      </c>
      <c r="H20" s="49">
        <f>Plantilla!AA5</f>
        <v>0.95</v>
      </c>
      <c r="I20" s="49">
        <f>Plantilla!AB5</f>
        <v>1.95</v>
      </c>
      <c r="J20" s="49">
        <f>Plantilla!AC5</f>
        <v>0</v>
      </c>
      <c r="K20" s="49">
        <f>Plantilla!AD5</f>
        <v>14.95</v>
      </c>
      <c r="L20" s="115"/>
      <c r="M20" s="115">
        <f t="shared" si="0"/>
        <v>0</v>
      </c>
      <c r="N20" s="115">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2"/>
      <c r="Z20" s="142"/>
      <c r="AA20" s="142">
        <f t="shared" si="8"/>
        <v>0</v>
      </c>
    </row>
    <row r="21" spans="1:27" x14ac:dyDescent="0.25">
      <c r="A21" s="86" t="str">
        <f>Plantilla!A8</f>
        <v>#13</v>
      </c>
      <c r="B21" s="86" t="str">
        <f>Plantilla!D8</f>
        <v>F. Lasprilla</v>
      </c>
      <c r="C21" s="86">
        <f>Plantilla!E8</f>
        <v>32</v>
      </c>
      <c r="D21" s="86">
        <f ca="1">Plantilla!F8</f>
        <v>36</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5"/>
      <c r="M21" s="115">
        <f t="shared" si="0"/>
        <v>0</v>
      </c>
      <c r="N21" s="115">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2"/>
      <c r="Z21" s="142"/>
      <c r="AA21" s="142">
        <f t="shared" si="8"/>
        <v>0</v>
      </c>
    </row>
    <row r="22" spans="1:27" x14ac:dyDescent="0.25">
      <c r="A22" s="86" t="str">
        <f>Plantilla!A12</f>
        <v>#23</v>
      </c>
      <c r="B22" s="86" t="str">
        <f>Plantilla!D12</f>
        <v>W. Gelifini</v>
      </c>
      <c r="C22" s="86">
        <f>Plantilla!E12</f>
        <v>34</v>
      </c>
      <c r="D22" s="86">
        <f ca="1">Plantilla!F12</f>
        <v>14</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5"/>
      <c r="M22" s="115">
        <f t="shared" si="0"/>
        <v>0</v>
      </c>
      <c r="N22" s="115">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2"/>
      <c r="Z22" s="142"/>
      <c r="AA22" s="142">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5"/>
      <c r="M23" s="115">
        <f t="shared" si="0"/>
        <v>0</v>
      </c>
      <c r="N23" s="115">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2"/>
      <c r="Z23" s="142"/>
      <c r="AA23" s="142">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9" t="s">
        <v>11</v>
      </c>
      <c r="E2" s="689"/>
      <c r="F2" s="690" t="s">
        <v>12</v>
      </c>
      <c r="G2" s="690"/>
      <c r="H2" s="691" t="s">
        <v>13</v>
      </c>
      <c r="I2" s="691"/>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40">
        <f>B18/B17</f>
        <v>0.5760921747479596</v>
      </c>
      <c r="C37" s="140">
        <f t="shared" ref="C37:P37" si="14">C18/C17</f>
        <v>0.57609217474795971</v>
      </c>
      <c r="D37" s="140">
        <f t="shared" si="14"/>
        <v>0.5760921747479596</v>
      </c>
      <c r="E37" s="140">
        <f t="shared" si="14"/>
        <v>0.57609217474795971</v>
      </c>
      <c r="F37" s="140">
        <f t="shared" si="14"/>
        <v>0.57609217474795971</v>
      </c>
      <c r="G37" s="140">
        <f t="shared" si="14"/>
        <v>0.57609217474795971</v>
      </c>
      <c r="H37" s="140">
        <f t="shared" si="14"/>
        <v>0.57609217474795982</v>
      </c>
      <c r="I37" s="140">
        <f t="shared" si="14"/>
        <v>0.5760921747479596</v>
      </c>
      <c r="J37" s="140">
        <f t="shared" si="14"/>
        <v>0.57609217474795971</v>
      </c>
      <c r="K37" s="140">
        <f t="shared" si="14"/>
        <v>0.5760921747479596</v>
      </c>
      <c r="L37" s="140">
        <f t="shared" si="14"/>
        <v>0.57609217474795971</v>
      </c>
      <c r="M37" s="140">
        <f t="shared" si="14"/>
        <v>0.57609217474795971</v>
      </c>
      <c r="N37" s="140">
        <f t="shared" si="14"/>
        <v>0.57609217474795971</v>
      </c>
      <c r="O37" s="140">
        <f t="shared" si="14"/>
        <v>0.57609217474795971</v>
      </c>
      <c r="P37" s="140">
        <f t="shared" si="14"/>
        <v>0.5760921747479596</v>
      </c>
    </row>
    <row r="38" spans="1:30" x14ac:dyDescent="0.25">
      <c r="B38" s="140">
        <f>B19/B17</f>
        <v>0.21747479596735478</v>
      </c>
      <c r="C38" s="140">
        <f t="shared" ref="C38:P38" si="15">C19/C17</f>
        <v>0.21747479596735481</v>
      </c>
      <c r="D38" s="140">
        <f t="shared" si="15"/>
        <v>0.21747479596735475</v>
      </c>
      <c r="E38" s="140">
        <f t="shared" si="15"/>
        <v>0.21747479596735481</v>
      </c>
      <c r="F38" s="140">
        <f t="shared" si="15"/>
        <v>0.21747479596735478</v>
      </c>
      <c r="G38" s="140">
        <f t="shared" si="15"/>
        <v>0.21747479596735478</v>
      </c>
      <c r="H38" s="140">
        <f t="shared" si="15"/>
        <v>0.21747479596735483</v>
      </c>
      <c r="I38" s="140">
        <f t="shared" si="15"/>
        <v>0.21747479596735475</v>
      </c>
      <c r="J38" s="140">
        <f t="shared" si="15"/>
        <v>0.21747479596735481</v>
      </c>
      <c r="K38" s="140">
        <f t="shared" si="15"/>
        <v>0.21747479596735478</v>
      </c>
      <c r="L38" s="140">
        <f t="shared" si="15"/>
        <v>0.21747479596735481</v>
      </c>
      <c r="M38" s="140">
        <f t="shared" si="15"/>
        <v>0.21747479596735481</v>
      </c>
      <c r="N38" s="140">
        <f t="shared" si="15"/>
        <v>0.21747479596735481</v>
      </c>
      <c r="O38" s="140">
        <f t="shared" si="15"/>
        <v>0.21747479596735478</v>
      </c>
      <c r="P38" s="140">
        <f t="shared" si="15"/>
        <v>0.21747479596735478</v>
      </c>
    </row>
    <row r="39" spans="1:30" x14ac:dyDescent="0.25">
      <c r="B39" s="140">
        <f>B20/B17</f>
        <v>0.18434949591934707</v>
      </c>
      <c r="C39" s="140">
        <f t="shared" ref="C39:P39" si="16">C20/C17</f>
        <v>0.1843494959193471</v>
      </c>
      <c r="D39" s="140">
        <f t="shared" si="16"/>
        <v>0.18434949591934707</v>
      </c>
      <c r="E39" s="140">
        <f t="shared" si="16"/>
        <v>0.1843494959193471</v>
      </c>
      <c r="F39" s="140">
        <f t="shared" si="16"/>
        <v>0.1843494959193471</v>
      </c>
      <c r="G39" s="140">
        <f t="shared" si="16"/>
        <v>0.1843494959193471</v>
      </c>
      <c r="H39" s="140">
        <f t="shared" si="16"/>
        <v>0.18434949591934713</v>
      </c>
      <c r="I39" s="140">
        <f t="shared" si="16"/>
        <v>0.18434949591934707</v>
      </c>
      <c r="J39" s="140">
        <f t="shared" si="16"/>
        <v>0.1843494959193471</v>
      </c>
      <c r="K39" s="140">
        <f t="shared" si="16"/>
        <v>0.18434949591934705</v>
      </c>
      <c r="L39" s="140">
        <f t="shared" si="16"/>
        <v>0.1843494959193471</v>
      </c>
      <c r="M39" s="140">
        <f t="shared" si="16"/>
        <v>0.1843494959193471</v>
      </c>
      <c r="N39" s="140">
        <f t="shared" si="16"/>
        <v>0.1843494959193471</v>
      </c>
      <c r="O39" s="140">
        <f t="shared" si="16"/>
        <v>0.18434949591934707</v>
      </c>
      <c r="P39" s="140">
        <f t="shared" si="16"/>
        <v>0.18434949591934707</v>
      </c>
    </row>
    <row r="40" spans="1:30" x14ac:dyDescent="0.25">
      <c r="B40" s="140">
        <f>B21/B17</f>
        <v>2.2083533365338453E-2</v>
      </c>
      <c r="C40" s="140">
        <f t="shared" ref="C40:P40" si="17">C21/C17</f>
        <v>2.2083533365338456E-2</v>
      </c>
      <c r="D40" s="140">
        <f t="shared" si="17"/>
        <v>2.2083533365338453E-2</v>
      </c>
      <c r="E40" s="140">
        <f t="shared" si="17"/>
        <v>2.2083533365338453E-2</v>
      </c>
      <c r="F40" s="140">
        <f t="shared" si="17"/>
        <v>2.2083533365338453E-2</v>
      </c>
      <c r="G40" s="140">
        <f t="shared" si="17"/>
        <v>2.2083533365338453E-2</v>
      </c>
      <c r="H40" s="140">
        <f t="shared" si="17"/>
        <v>2.208353336533846E-2</v>
      </c>
      <c r="I40" s="140">
        <f t="shared" si="17"/>
        <v>2.2083533365338453E-2</v>
      </c>
      <c r="J40" s="140">
        <f t="shared" si="17"/>
        <v>2.208353336533846E-2</v>
      </c>
      <c r="K40" s="140">
        <f t="shared" si="17"/>
        <v>2.2083533365338449E-2</v>
      </c>
      <c r="L40" s="140">
        <f t="shared" si="17"/>
        <v>2.2083533365338456E-2</v>
      </c>
      <c r="M40" s="140">
        <f t="shared" si="17"/>
        <v>2.2083533365338456E-2</v>
      </c>
      <c r="N40" s="140">
        <f t="shared" si="17"/>
        <v>2.2083533365338456E-2</v>
      </c>
      <c r="O40" s="140">
        <f t="shared" si="17"/>
        <v>2.2083533365338456E-2</v>
      </c>
      <c r="P40" s="140">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 priority="1" operator="lessThan">
      <formula>0</formula>
    </cfRule>
    <cfRule type="cellIs" dxfId="1"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V4" activePane="bottomRight" state="frozen"/>
      <selection pane="topRight" activeCell="J1" sqref="J1"/>
      <selection pane="bottomLeft" activeCell="A5" sqref="A5"/>
      <selection pane="bottomRight" activeCell="Z17" sqref="Z17"/>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8" bestFit="1" customWidth="1"/>
    <col min="15" max="15" width="10.42578125" style="303" bestFit="1" customWidth="1"/>
    <col min="16" max="16" width="5.5703125" style="303" bestFit="1" customWidth="1"/>
    <col min="17" max="17" width="4.140625" style="149" bestFit="1" customWidth="1"/>
    <col min="18" max="19" width="5.7109375" style="187"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85546875" bestFit="1" customWidth="1"/>
    <col min="34" max="34" width="6.5703125" style="47" bestFit="1" customWidth="1"/>
    <col min="35" max="35" width="7.5703125" style="47" bestFit="1" customWidth="1"/>
    <col min="36" max="36" width="7.5703125" bestFit="1" customWidth="1"/>
    <col min="37" max="38" width="6.5703125" style="47" bestFit="1" customWidth="1"/>
    <col min="39" max="40" width="7" style="47"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2"/>
      <c r="D1" s="118">
        <f ca="1">TODAY()</f>
        <v>43655</v>
      </c>
      <c r="E1" s="643">
        <v>41471</v>
      </c>
      <c r="F1" s="643"/>
      <c r="G1" s="643"/>
      <c r="H1" s="73"/>
      <c r="I1" s="73"/>
      <c r="J1" s="73"/>
      <c r="K1" s="74"/>
      <c r="L1" s="73"/>
      <c r="M1" s="74"/>
      <c r="N1" s="74"/>
      <c r="O1" s="74"/>
      <c r="P1" s="74"/>
      <c r="Q1" s="272"/>
      <c r="R1" s="74"/>
      <c r="S1" s="74"/>
      <c r="T1" s="73"/>
      <c r="U1" s="73"/>
      <c r="V1" s="73"/>
      <c r="W1" s="73"/>
      <c r="X1" s="104"/>
      <c r="Y1" s="73"/>
      <c r="Z1" s="73"/>
      <c r="AA1" s="73"/>
      <c r="AB1" s="73"/>
      <c r="AC1" s="73"/>
      <c r="AD1" s="73"/>
      <c r="AE1" s="104"/>
      <c r="AH1" s="104"/>
      <c r="AI1" s="104"/>
      <c r="AJ1" s="73"/>
      <c r="AK1" s="104"/>
      <c r="AL1" s="104"/>
      <c r="AM1" s="104"/>
      <c r="AN1" s="104"/>
      <c r="AO1" s="73"/>
      <c r="AP1" s="73"/>
      <c r="AQ1" s="73"/>
      <c r="AR1" s="73"/>
      <c r="AS1" s="73"/>
      <c r="AT1" s="73"/>
      <c r="AU1" s="73"/>
      <c r="AV1" s="73"/>
      <c r="AW1" s="73"/>
      <c r="AX1" s="73"/>
      <c r="AY1" s="73"/>
      <c r="AZ1" s="73"/>
      <c r="BA1" s="73"/>
      <c r="BB1" s="73"/>
      <c r="BC1" s="73"/>
      <c r="BD1" s="73"/>
      <c r="BE1" s="73"/>
      <c r="BF1" s="73"/>
    </row>
    <row r="2" spans="1:63" s="335" customFormat="1" x14ac:dyDescent="0.25">
      <c r="A2" s="335">
        <v>16</v>
      </c>
      <c r="B2" s="336"/>
      <c r="C2" s="337"/>
      <c r="D2" s="338"/>
      <c r="E2" s="339"/>
      <c r="F2" s="339"/>
      <c r="I2" s="340">
        <f>AVERAGE(I4:I27)</f>
        <v>8.091666666666665</v>
      </c>
      <c r="J2" s="339"/>
      <c r="K2" s="339"/>
      <c r="M2" s="340">
        <f>AVERAGE(M4:M27)</f>
        <v>5.1958333333333329</v>
      </c>
      <c r="N2" s="339"/>
      <c r="O2" s="339"/>
      <c r="P2" s="339"/>
      <c r="Q2" s="340">
        <f t="shared" ref="Q2:V2" si="0">AVERAGE(Q4:Q27)</f>
        <v>5.458333333333333</v>
      </c>
      <c r="R2" s="341">
        <f t="shared" si="0"/>
        <v>0.88033182093209916</v>
      </c>
      <c r="S2" s="341">
        <f t="shared" si="0"/>
        <v>0.94627800194641598</v>
      </c>
      <c r="T2" s="342">
        <f t="shared" si="0"/>
        <v>17230.833333333332</v>
      </c>
      <c r="U2" s="342">
        <f t="shared" si="0"/>
        <v>157.08333333333334</v>
      </c>
      <c r="V2" s="342">
        <f t="shared" si="0"/>
        <v>3524.25</v>
      </c>
      <c r="W2" s="343"/>
      <c r="X2" s="344">
        <f>(X4+X5)/2</f>
        <v>12.308333333333334</v>
      </c>
      <c r="Y2" s="344">
        <f>AVERAGE(Y4:Y12)</f>
        <v>9.9844320987654314</v>
      </c>
      <c r="Z2" s="344">
        <f>AVERAGE(Z13:Z18)</f>
        <v>7.8601851851851849</v>
      </c>
      <c r="AA2" s="344">
        <f>AVERAGE(AA19:AA22)</f>
        <v>7.25</v>
      </c>
      <c r="AB2" s="344">
        <f>AVERAGE(AB5:AB27)</f>
        <v>6.7631884057971003</v>
      </c>
      <c r="AC2" s="344">
        <f>AVERAGE(AC23:AC27)</f>
        <v>6.35</v>
      </c>
      <c r="AD2" s="344">
        <f>AVERAGE(AD4:AD27)</f>
        <v>10.803796296296296</v>
      </c>
      <c r="AE2" s="343"/>
      <c r="AH2" s="343"/>
      <c r="AI2" s="343"/>
      <c r="AJ2" s="343"/>
      <c r="AK2" s="343"/>
      <c r="AL2" s="343"/>
      <c r="AM2" s="343"/>
      <c r="AN2" s="343"/>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90" t="s">
        <v>317</v>
      </c>
      <c r="S3" s="190" t="s">
        <v>318</v>
      </c>
      <c r="T3" s="94" t="s">
        <v>73</v>
      </c>
      <c r="U3" s="94" t="s">
        <v>279</v>
      </c>
      <c r="V3" s="94" t="s">
        <v>90</v>
      </c>
      <c r="W3" s="94" t="s">
        <v>194</v>
      </c>
      <c r="X3" s="94" t="s">
        <v>106</v>
      </c>
      <c r="Y3" s="94" t="s">
        <v>77</v>
      </c>
      <c r="Z3" s="94" t="s">
        <v>78</v>
      </c>
      <c r="AA3" s="94" t="s">
        <v>79</v>
      </c>
      <c r="AB3" s="94" t="s">
        <v>80</v>
      </c>
      <c r="AC3" s="94" t="s">
        <v>81</v>
      </c>
      <c r="AD3" s="94" t="s">
        <v>74</v>
      </c>
      <c r="AE3" s="94" t="s">
        <v>212</v>
      </c>
      <c r="AF3" s="117" t="s">
        <v>419</v>
      </c>
      <c r="AG3" s="117" t="s">
        <v>420</v>
      </c>
      <c r="AH3" s="117" t="s">
        <v>366</v>
      </c>
      <c r="AI3" s="117" t="s">
        <v>367</v>
      </c>
      <c r="AJ3" s="117" t="s">
        <v>226</v>
      </c>
      <c r="AK3" s="117" t="s">
        <v>227</v>
      </c>
      <c r="AL3" s="117" t="s">
        <v>228</v>
      </c>
      <c r="AM3" s="117" t="s">
        <v>265</v>
      </c>
      <c r="AN3" s="117" t="s">
        <v>266</v>
      </c>
      <c r="AO3" s="94" t="s">
        <v>348</v>
      </c>
      <c r="AP3" s="94" t="s">
        <v>349</v>
      </c>
      <c r="AQ3" s="94" t="s">
        <v>350</v>
      </c>
      <c r="AR3" s="152" t="s">
        <v>407</v>
      </c>
      <c r="AS3" s="152" t="s">
        <v>417</v>
      </c>
      <c r="AT3" s="152" t="s">
        <v>408</v>
      </c>
      <c r="AU3" s="152" t="s">
        <v>409</v>
      </c>
      <c r="AV3" s="152" t="s">
        <v>410</v>
      </c>
      <c r="AW3" s="152" t="s">
        <v>411</v>
      </c>
      <c r="AX3" s="152" t="s">
        <v>362</v>
      </c>
      <c r="AY3" s="152" t="s">
        <v>412</v>
      </c>
      <c r="AZ3" s="152" t="s">
        <v>413</v>
      </c>
      <c r="BA3" s="152" t="s">
        <v>353</v>
      </c>
      <c r="BB3" s="152" t="s">
        <v>414</v>
      </c>
      <c r="BC3" s="152" t="s">
        <v>301</v>
      </c>
      <c r="BD3" s="152" t="s">
        <v>415</v>
      </c>
      <c r="BE3" s="152" t="s">
        <v>416</v>
      </c>
      <c r="BF3" s="152" t="s">
        <v>277</v>
      </c>
      <c r="BG3" s="152" t="s">
        <v>380</v>
      </c>
      <c r="BH3" s="318" t="s">
        <v>422</v>
      </c>
    </row>
    <row r="4" spans="1:63" x14ac:dyDescent="0.25">
      <c r="A4" s="132" t="s">
        <v>170</v>
      </c>
      <c r="B4" s="132" t="s">
        <v>1</v>
      </c>
      <c r="C4" s="133">
        <f ca="1">((34*112)-(E4*112)-(F4))/112</f>
        <v>-1.1517857142857142</v>
      </c>
      <c r="D4" s="642" t="s">
        <v>344</v>
      </c>
      <c r="E4" s="134">
        <v>35</v>
      </c>
      <c r="F4" s="139">
        <f ca="1">-42406+$D$1-112-112-112-112-112-112-112-112-112-112-112</f>
        <v>17</v>
      </c>
      <c r="G4" s="135"/>
      <c r="H4" s="311">
        <v>6</v>
      </c>
      <c r="I4" s="102">
        <v>23.7</v>
      </c>
      <c r="J4" s="186">
        <f>LOG(I4+1)*4/3</f>
        <v>1.8569292710128877</v>
      </c>
      <c r="K4" s="98">
        <f t="shared" ref="K4" si="1">(H4)*(H4)*(I4)</f>
        <v>853.19999999999993</v>
      </c>
      <c r="L4" s="98">
        <f t="shared" ref="L4" si="2">(H4+1)*(H4+1)*I4</f>
        <v>1161.3</v>
      </c>
      <c r="M4" s="136">
        <v>5.3</v>
      </c>
      <c r="N4" s="179">
        <f>M4*10+19</f>
        <v>72</v>
      </c>
      <c r="O4" s="305">
        <v>42468</v>
      </c>
      <c r="P4" s="306">
        <f ca="1">IF((TODAY()-O4)&gt;335,1,((TODAY()-O4)^0.64)/(336^0.64))</f>
        <v>1</v>
      </c>
      <c r="Q4" s="179">
        <v>5</v>
      </c>
      <c r="R4" s="200">
        <f>(Q4/7)^0.5</f>
        <v>0.84515425472851657</v>
      </c>
      <c r="S4" s="200">
        <f>IF(Q4=7,1,((Q4+0.99)/7)^0.5)</f>
        <v>0.92504826128926143</v>
      </c>
      <c r="T4" s="112">
        <v>42270</v>
      </c>
      <c r="U4" s="270">
        <f t="shared" ref="U4:U22" si="3">T4-BG4</f>
        <v>2480</v>
      </c>
      <c r="V4" s="112">
        <v>13512</v>
      </c>
      <c r="W4" s="109">
        <f t="shared" ref="W4:W28" si="4">T4/V4</f>
        <v>3.1283303730017762</v>
      </c>
      <c r="X4" s="185">
        <f>16+12/18</f>
        <v>16.666666666666668</v>
      </c>
      <c r="Y4" s="186">
        <v>11.95</v>
      </c>
      <c r="Z4" s="185">
        <f>2+0.01+0.01+0.01+0.01+0.01+0.01+0.01</f>
        <v>2.0699999999999985</v>
      </c>
      <c r="AA4" s="186">
        <f>1.94+0.03+0.03+0.03+0.03+0.03+0.03+0.02+0.01</f>
        <v>2.149999999999999</v>
      </c>
      <c r="AB4" s="185">
        <v>0.95</v>
      </c>
      <c r="AC4" s="186">
        <v>0</v>
      </c>
      <c r="AD4" s="185">
        <f>18+0.2</f>
        <v>18.2</v>
      </c>
      <c r="AE4" s="314">
        <v>1379</v>
      </c>
      <c r="AF4" s="252">
        <f ca="1">(Z4+P4+J4)*(Q4/7)^0.5</f>
        <v>4.1640152361430092</v>
      </c>
      <c r="AG4" s="252">
        <f ca="1">(Z4+P4+J4)*(IF(Q4=7, (Q4/7)^0.5, ((Q4+1)/7)^0.5))</f>
        <v>4.5614501492614545</v>
      </c>
      <c r="AH4" s="109">
        <f ca="1">(((Y4+P4+J4)+(AB4+P4+J4)*2)/8)*(Q4/7)^0.5</f>
        <v>2.3686280268193625</v>
      </c>
      <c r="AI4" s="109">
        <f ca="1">(1.66*(AC4+J4+P4)+0.55*(AD4+J4+P4)-7.6)*(Q4/7)^0.5</f>
        <v>7.3729682566652341</v>
      </c>
      <c r="AJ4" s="109">
        <f ca="1">((AD4+J4+P4)*0.7+(AC4+J4+P4)*0.3)*(Q4/7)^0.5</f>
        <v>13.18181113409628</v>
      </c>
      <c r="AK4" s="109">
        <f ca="1">(0.5*(AC4+P4+J4)+ 0.3*(AD4+P4+J4))/10</f>
        <v>0.77455434168103099</v>
      </c>
      <c r="AL4" s="109">
        <f ca="1">(0.4*(Y4+P4+J4)+0.3*(AD4+P4+J4))/10</f>
        <v>1.2239850489709021</v>
      </c>
      <c r="AM4" s="105">
        <f ca="1">(AD4+P4+(LOG(I4)*4/3))*(Q4/7)^0.5</f>
        <v>17.776127575869424</v>
      </c>
      <c r="AN4" s="105">
        <f ca="1">(AD4+P4+(LOG(I4)*4/3))*(IF(Q4=7, (Q4/7)^0.5, ((Q4+1)/7)^0.5))</f>
        <v>19.472772116786619</v>
      </c>
      <c r="AO4" s="179">
        <v>2</v>
      </c>
      <c r="AP4" s="179">
        <v>2</v>
      </c>
      <c r="AQ4" s="242">
        <f>IF(AO4=4,IF(AP4=0,0.137+0.0697,0.137+0.02),IF(AO4=3,IF(AP4=0,0.0958+0.0697,0.0958+0.02),IF(AO4=2,IF(AP4=0,0.0415+0.0697,0.0415+0.02),IF(AO4=1,IF(AP4=0,0.0294+0.0697,0.0294+0.02),IF(AO4=0,IF(AP4=0,0.0063+0.0697,0.0063+0.02))))))</f>
        <v>6.1499999999999999E-2</v>
      </c>
      <c r="AR4" s="316"/>
      <c r="AS4" s="316"/>
      <c r="AT4" s="316"/>
      <c r="AU4" s="316"/>
      <c r="AV4" s="242"/>
      <c r="AW4" s="242"/>
      <c r="AX4" s="242"/>
      <c r="AY4" s="242"/>
      <c r="AZ4" s="242"/>
      <c r="BA4" s="242"/>
      <c r="BB4" s="242"/>
      <c r="BC4" s="242"/>
      <c r="BD4" s="242"/>
      <c r="BE4" s="242"/>
      <c r="BF4" s="242"/>
      <c r="BG4" s="112">
        <v>39790</v>
      </c>
      <c r="BH4" s="319"/>
      <c r="BJ4" s="137"/>
      <c r="BK4" s="140"/>
    </row>
    <row r="5" spans="1:63" s="81" customFormat="1" x14ac:dyDescent="0.25">
      <c r="A5" s="132" t="s">
        <v>429</v>
      </c>
      <c r="B5" s="132" t="s">
        <v>1</v>
      </c>
      <c r="C5" s="133">
        <f ca="1">((34*112)-(E5*112)-(F5))/112</f>
        <v>-5.2321428571428568</v>
      </c>
      <c r="D5" s="642" t="s">
        <v>93</v>
      </c>
      <c r="E5" s="134">
        <v>39</v>
      </c>
      <c r="F5" s="139">
        <f ca="1">82-41471+$D$1-112-112-112-112-112-112-112-112-112-112-112-112-112-112-112-112-112-112-112-112</f>
        <v>26</v>
      </c>
      <c r="G5" s="135" t="s">
        <v>220</v>
      </c>
      <c r="H5" s="131">
        <v>3</v>
      </c>
      <c r="I5" s="102">
        <v>8.4</v>
      </c>
      <c r="J5" s="186">
        <f t="shared" ref="J5:J22" si="5">LOG(I5+1)*4/3</f>
        <v>1.2975038047995981</v>
      </c>
      <c r="K5" s="98">
        <f t="shared" ref="K5:K22" si="6">(H5)*(H5)*(I5)</f>
        <v>75.600000000000009</v>
      </c>
      <c r="L5" s="98">
        <f t="shared" ref="L5:L22" si="7">(H5+1)*(H5+1)*I5</f>
        <v>134.4</v>
      </c>
      <c r="M5" s="136">
        <v>3.5</v>
      </c>
      <c r="N5" s="179">
        <f t="shared" ref="N5:N22" si="8">M5*10+19</f>
        <v>54</v>
      </c>
      <c r="O5" s="179" t="s">
        <v>256</v>
      </c>
      <c r="P5" s="306">
        <v>1.5</v>
      </c>
      <c r="Q5" s="179">
        <v>4</v>
      </c>
      <c r="R5" s="200">
        <f t="shared" ref="R5:R22" si="9">(Q5/7)^0.5</f>
        <v>0.7559289460184544</v>
      </c>
      <c r="S5" s="200">
        <f t="shared" ref="S5:S22" si="10">IF(Q5=7,1,((Q5+0.99)/7)^0.5)</f>
        <v>0.84430867747355465</v>
      </c>
      <c r="T5" s="112">
        <v>610</v>
      </c>
      <c r="U5" s="270">
        <f t="shared" si="3"/>
        <v>-20</v>
      </c>
      <c r="V5" s="112">
        <v>450</v>
      </c>
      <c r="W5" s="109">
        <f t="shared" si="4"/>
        <v>1.3555555555555556</v>
      </c>
      <c r="X5" s="185">
        <v>7.95</v>
      </c>
      <c r="Y5" s="186">
        <v>6.95</v>
      </c>
      <c r="Z5" s="185">
        <v>0.95</v>
      </c>
      <c r="AA5" s="186">
        <v>0.95</v>
      </c>
      <c r="AB5" s="185">
        <v>1.95</v>
      </c>
      <c r="AC5" s="186">
        <v>0</v>
      </c>
      <c r="AD5" s="185">
        <v>14.95</v>
      </c>
      <c r="AE5" s="314">
        <v>449</v>
      </c>
      <c r="AF5" s="252">
        <f t="shared" ref="AF5:AF22" si="11">(Z5+P5+J5)*(Q5/7)^0.5</f>
        <v>2.8328466013623084</v>
      </c>
      <c r="AG5" s="252">
        <f t="shared" ref="AG5:AG22" si="12">(Z5+P5+J5)*(IF(Q5=7, (Q5/7)^0.5, ((Q5+1)/7)^0.5))</f>
        <v>3.1672187852376847</v>
      </c>
      <c r="AH5" s="109">
        <f t="shared" ref="AH5:AH22" si="13">(((Y5+P5+J5)+(AB5+P5+J5)*2)/8)*(Q5/7)^0.5</f>
        <v>1.8182464215293199</v>
      </c>
      <c r="AI5" s="109">
        <f t="shared" ref="AI5:AI22" si="14">(1.66*(AC5+J5+P5)+0.55*(AD5+J5+P5)-7.6)*(Q5/7)^0.5</f>
        <v>5.1440839357414436</v>
      </c>
      <c r="AJ5" s="109">
        <f t="shared" ref="AJ5:AJ22" si="15">((AD5+J5+P5)*0.7+(AC5+J5+P5)*0.3)*(Q5/7)^0.5</f>
        <v>10.025510522727901</v>
      </c>
      <c r="AK5" s="109">
        <f t="shared" ref="AK5:AK22" si="16">(0.5*(AC5+P5+J5)+ 0.3*(AD5+P5+J5))/10</f>
        <v>0.67230030438396782</v>
      </c>
      <c r="AL5" s="109">
        <f t="shared" ref="AL5:AL22" si="17">(0.4*(Y5+P5+J5)+0.3*(AD5+P5+J5))/10</f>
        <v>0.92232526633597178</v>
      </c>
      <c r="AM5" s="105">
        <f t="shared" ref="AM5:AM22" si="18">(AD5+P5+(LOG(I5)*4/3))*(Q5/7)^0.5</f>
        <v>13.366617117389504</v>
      </c>
      <c r="AN5" s="105">
        <f t="shared" ref="AN5:AN22" si="19">(AD5+P5+(LOG(I5)*4/3))*(IF(Q5=7, (Q5/7)^0.5, ((Q5+1)/7)^0.5))</f>
        <v>14.94433225184761</v>
      </c>
      <c r="AO5" s="179">
        <v>4</v>
      </c>
      <c r="AP5" s="179">
        <v>3</v>
      </c>
      <c r="AQ5" s="242">
        <f t="shared" ref="AQ5:AQ22" si="20">IF(AO5=4,IF(AP5=0,0.137+0.0697,0.137+0.02),IF(AO5=3,IF(AP5=0,0.0958+0.0697,0.0958+0.02),IF(AO5=2,IF(AP5=0,0.0415+0.0697,0.0415+0.02),IF(AO5=1,IF(AP5=0,0.0294+0.0697,0.0294+0.02),IF(AO5=0,IF(AP5=0,0.0063+0.0697,0.0063+0.02))))))</f>
        <v>0.157</v>
      </c>
      <c r="AR5" s="316"/>
      <c r="AS5" s="316"/>
      <c r="AT5" s="316"/>
      <c r="AU5" s="316"/>
      <c r="AV5" s="242"/>
      <c r="AW5" s="242"/>
      <c r="AX5" s="242"/>
      <c r="AY5" s="242"/>
      <c r="AZ5" s="242"/>
      <c r="BA5" s="242"/>
      <c r="BB5" s="242"/>
      <c r="BC5" s="242"/>
      <c r="BD5" s="242"/>
      <c r="BE5" s="242"/>
      <c r="BF5" s="242"/>
      <c r="BG5" s="112">
        <v>630</v>
      </c>
      <c r="BH5" s="319"/>
      <c r="BJ5" s="137"/>
      <c r="BK5" s="140"/>
    </row>
    <row r="6" spans="1:63" s="69" customFormat="1" x14ac:dyDescent="0.25">
      <c r="A6" s="132" t="s">
        <v>222</v>
      </c>
      <c r="B6" s="132" t="s">
        <v>2</v>
      </c>
      <c r="C6" s="133">
        <f t="shared" ref="C6:C22" ca="1" si="21">((34*112)-(E6*112)-(F6))/112</f>
        <v>-2.25</v>
      </c>
      <c r="D6" s="642" t="s">
        <v>95</v>
      </c>
      <c r="E6" s="134">
        <v>36</v>
      </c>
      <c r="F6" s="139">
        <f ca="1">84-41471+$D$1-112-112-112-112-112-112-112-112-112-112-112-112-112-112-112-112-112-112-112-112</f>
        <v>28</v>
      </c>
      <c r="G6" s="135"/>
      <c r="H6" s="138">
        <v>4</v>
      </c>
      <c r="I6" s="102">
        <v>18</v>
      </c>
      <c r="J6" s="186">
        <f t="shared" si="5"/>
        <v>1.7050048012704384</v>
      </c>
      <c r="K6" s="98">
        <f t="shared" si="6"/>
        <v>288</v>
      </c>
      <c r="L6" s="98">
        <f t="shared" si="7"/>
        <v>450</v>
      </c>
      <c r="M6" s="136">
        <v>4.5999999999999996</v>
      </c>
      <c r="N6" s="179">
        <f t="shared" si="8"/>
        <v>65</v>
      </c>
      <c r="O6" s="179" t="s">
        <v>256</v>
      </c>
      <c r="P6" s="306">
        <v>1.5</v>
      </c>
      <c r="Q6" s="179">
        <v>6</v>
      </c>
      <c r="R6" s="200">
        <f t="shared" si="9"/>
        <v>0.92582009977255142</v>
      </c>
      <c r="S6" s="200">
        <f t="shared" si="10"/>
        <v>0.99928545900129484</v>
      </c>
      <c r="T6" s="112">
        <v>13610</v>
      </c>
      <c r="U6" s="270">
        <f t="shared" si="3"/>
        <v>350</v>
      </c>
      <c r="V6" s="112">
        <v>2980</v>
      </c>
      <c r="W6" s="109">
        <f t="shared" si="4"/>
        <v>4.5671140939597317</v>
      </c>
      <c r="X6" s="185">
        <v>0</v>
      </c>
      <c r="Y6" s="186">
        <v>11.95</v>
      </c>
      <c r="Z6" s="185">
        <v>12.95</v>
      </c>
      <c r="AA6" s="186">
        <v>8.9499999999999993</v>
      </c>
      <c r="AB6" s="185">
        <v>8.9499999999999993</v>
      </c>
      <c r="AC6" s="186">
        <v>0.95</v>
      </c>
      <c r="AD6" s="185">
        <f>10.7+0.5+0.5*77/90+0.5+0.45+0.45+0.4+0.35+0.35+0.3+0.35+0.3+0.3+0.3+0.25+0.25+0.2+0.2+0.2+0.2+0.2</f>
        <v>17.177777777777774</v>
      </c>
      <c r="AE6" s="314">
        <v>1565</v>
      </c>
      <c r="AF6" s="252">
        <f t="shared" si="11"/>
        <v>14.956628156938242</v>
      </c>
      <c r="AG6" s="252">
        <f t="shared" si="12"/>
        <v>16.155004801270437</v>
      </c>
      <c r="AH6" s="109">
        <f t="shared" si="13"/>
        <v>4.5671879466077216</v>
      </c>
      <c r="AI6" s="109">
        <f t="shared" si="14"/>
        <v>9.7283679853140228</v>
      </c>
      <c r="AJ6" s="109">
        <f t="shared" si="15"/>
        <v>14.363588948583933</v>
      </c>
      <c r="AK6" s="109">
        <f t="shared" si="16"/>
        <v>0.8192337174349682</v>
      </c>
      <c r="AL6" s="109">
        <f t="shared" si="17"/>
        <v>1.2176836694222639</v>
      </c>
      <c r="AM6" s="105">
        <f t="shared" si="18"/>
        <v>18.84180410697374</v>
      </c>
      <c r="AN6" s="105">
        <f t="shared" si="19"/>
        <v>20.351474451248848</v>
      </c>
      <c r="AO6" s="179">
        <v>2</v>
      </c>
      <c r="AP6" s="179">
        <v>3</v>
      </c>
      <c r="AQ6" s="242">
        <f t="shared" si="20"/>
        <v>6.1499999999999999E-2</v>
      </c>
      <c r="AR6" s="316"/>
      <c r="AS6" s="316"/>
      <c r="AT6" s="316"/>
      <c r="AU6" s="316"/>
      <c r="AV6" s="242"/>
      <c r="AW6" s="242"/>
      <c r="AX6" s="242"/>
      <c r="AY6" s="242"/>
      <c r="AZ6" s="242"/>
      <c r="BA6" s="242"/>
      <c r="BB6" s="242"/>
      <c r="BC6" s="242"/>
      <c r="BD6" s="242"/>
      <c r="BE6" s="242"/>
      <c r="BF6" s="242"/>
      <c r="BG6" s="112">
        <v>13260</v>
      </c>
      <c r="BH6" s="319"/>
      <c r="BJ6" s="137"/>
      <c r="BK6" s="140"/>
    </row>
    <row r="7" spans="1:63" s="70" customFormat="1" x14ac:dyDescent="0.25">
      <c r="A7" s="132" t="s">
        <v>428</v>
      </c>
      <c r="B7" s="79" t="s">
        <v>2</v>
      </c>
      <c r="C7" s="133">
        <f t="shared" ca="1" si="21"/>
        <v>-2.1160714285714284</v>
      </c>
      <c r="D7" s="642" t="s">
        <v>98</v>
      </c>
      <c r="E7" s="57">
        <v>36</v>
      </c>
      <c r="F7" s="58">
        <f ca="1">69-41471+$D$1-112-112-112-112-112-112-112-112-112-112-112-112-112-112-112-112-112-112-112-112</f>
        <v>13</v>
      </c>
      <c r="G7" s="80"/>
      <c r="H7" s="131">
        <v>3</v>
      </c>
      <c r="I7" s="59">
        <v>11.8</v>
      </c>
      <c r="J7" s="186">
        <f t="shared" si="5"/>
        <v>1.4762799595304912</v>
      </c>
      <c r="K7" s="98">
        <f t="shared" si="6"/>
        <v>106.2</v>
      </c>
      <c r="L7" s="98">
        <f t="shared" si="7"/>
        <v>188.8</v>
      </c>
      <c r="M7" s="92">
        <v>4.7</v>
      </c>
      <c r="N7" s="179">
        <f t="shared" si="8"/>
        <v>66</v>
      </c>
      <c r="O7" s="179" t="s">
        <v>256</v>
      </c>
      <c r="P7" s="306">
        <v>1.5</v>
      </c>
      <c r="Q7" s="180">
        <v>7</v>
      </c>
      <c r="R7" s="200">
        <f t="shared" si="9"/>
        <v>1</v>
      </c>
      <c r="S7" s="200">
        <f t="shared" si="10"/>
        <v>1</v>
      </c>
      <c r="T7" s="112">
        <v>3940</v>
      </c>
      <c r="U7" s="270">
        <f t="shared" si="3"/>
        <v>-220</v>
      </c>
      <c r="V7" s="271">
        <v>1220</v>
      </c>
      <c r="W7" s="109">
        <f t="shared" si="4"/>
        <v>3.2295081967213113</v>
      </c>
      <c r="X7" s="185">
        <v>0</v>
      </c>
      <c r="Y7" s="186">
        <v>11.95</v>
      </c>
      <c r="Z7" s="185">
        <v>5.95</v>
      </c>
      <c r="AA7" s="186">
        <v>6.95</v>
      </c>
      <c r="AB7" s="185">
        <v>7.95</v>
      </c>
      <c r="AC7" s="186">
        <v>1.95</v>
      </c>
      <c r="AD7" s="185">
        <v>16</v>
      </c>
      <c r="AE7" s="314">
        <v>1072</v>
      </c>
      <c r="AF7" s="252">
        <f t="shared" si="11"/>
        <v>8.9262799595304916</v>
      </c>
      <c r="AG7" s="252">
        <f t="shared" si="12"/>
        <v>8.9262799595304916</v>
      </c>
      <c r="AH7" s="109">
        <f t="shared" si="13"/>
        <v>4.5973549848239337</v>
      </c>
      <c r="AI7" s="109">
        <f t="shared" si="14"/>
        <v>11.014578710562388</v>
      </c>
      <c r="AJ7" s="109">
        <f t="shared" si="15"/>
        <v>14.761279959530491</v>
      </c>
      <c r="AK7" s="109">
        <f t="shared" si="16"/>
        <v>0.81560239676243929</v>
      </c>
      <c r="AL7" s="109">
        <f t="shared" si="17"/>
        <v>1.1663395971671342</v>
      </c>
      <c r="AM7" s="105">
        <f t="shared" si="18"/>
        <v>18.9291760097415</v>
      </c>
      <c r="AN7" s="105">
        <f t="shared" si="19"/>
        <v>18.9291760097415</v>
      </c>
      <c r="AO7" s="180">
        <v>3</v>
      </c>
      <c r="AP7" s="180">
        <v>2</v>
      </c>
      <c r="AQ7" s="242">
        <f t="shared" si="20"/>
        <v>0.1158</v>
      </c>
      <c r="AR7" s="316"/>
      <c r="AS7" s="316"/>
      <c r="AT7" s="316"/>
      <c r="AU7" s="316"/>
      <c r="AV7" s="242"/>
      <c r="AW7" s="242"/>
      <c r="AX7" s="242"/>
      <c r="AY7" s="242"/>
      <c r="AZ7" s="242"/>
      <c r="BA7" s="242"/>
      <c r="BB7" s="242"/>
      <c r="BC7" s="242"/>
      <c r="BD7" s="242"/>
      <c r="BE7" s="242"/>
      <c r="BF7" s="242"/>
      <c r="BG7" s="112">
        <v>4160</v>
      </c>
      <c r="BH7" s="319"/>
      <c r="BJ7" s="137"/>
      <c r="BK7" s="140"/>
    </row>
    <row r="8" spans="1:63" s="82" customFormat="1" x14ac:dyDescent="0.25">
      <c r="A8" s="99" t="s">
        <v>216</v>
      </c>
      <c r="B8" s="79" t="s">
        <v>2</v>
      </c>
      <c r="C8" s="133">
        <f t="shared" ca="1" si="21"/>
        <v>1.6785714285714286</v>
      </c>
      <c r="D8" s="642" t="s">
        <v>258</v>
      </c>
      <c r="E8" s="57">
        <v>32</v>
      </c>
      <c r="F8" s="58">
        <f ca="1">75-41471+$D$1-24-112-10-112-112+6-112-112-112+45-112-112-112-112-112-112-112-112-112-112-112-112-112-112</f>
        <v>36</v>
      </c>
      <c r="G8" s="80"/>
      <c r="H8" s="138">
        <v>4</v>
      </c>
      <c r="I8" s="59">
        <v>6.3</v>
      </c>
      <c r="J8" s="186">
        <f t="shared" si="5"/>
        <v>1.1510971468272746</v>
      </c>
      <c r="K8" s="98">
        <f t="shared" si="6"/>
        <v>100.8</v>
      </c>
      <c r="L8" s="98">
        <f t="shared" si="7"/>
        <v>157.5</v>
      </c>
      <c r="M8" s="92">
        <v>5.9</v>
      </c>
      <c r="N8" s="179">
        <f t="shared" si="8"/>
        <v>78</v>
      </c>
      <c r="O8" s="179" t="s">
        <v>256</v>
      </c>
      <c r="P8" s="306">
        <v>1.5</v>
      </c>
      <c r="Q8" s="180">
        <v>5</v>
      </c>
      <c r="R8" s="200">
        <f t="shared" si="9"/>
        <v>0.84515425472851657</v>
      </c>
      <c r="S8" s="200">
        <f t="shared" si="10"/>
        <v>0.92504826128926143</v>
      </c>
      <c r="T8" s="271">
        <v>12090</v>
      </c>
      <c r="U8" s="270">
        <f t="shared" si="3"/>
        <v>-270</v>
      </c>
      <c r="V8" s="271">
        <v>1710</v>
      </c>
      <c r="W8" s="109">
        <f t="shared" si="4"/>
        <v>7.0701754385964914</v>
      </c>
      <c r="X8" s="185">
        <v>0</v>
      </c>
      <c r="Y8" s="186">
        <f>6.51+0.25+0.25+0.25+0.2+0.2+0.2+0.2+0.19+0.19+0.17+0.16+0.16+0.03+0.16+0.15*33/90+0.14+0.13+0.13*36/90+0.02+0.12*32/90+0.02+0.02+0.15*3/90</f>
        <v>9.6046666666666667</v>
      </c>
      <c r="Z8" s="185">
        <v>8</v>
      </c>
      <c r="AA8" s="186">
        <f>5.8+0.05+0.05+0.05+0.05+0.04+0.04+0.03+0.02+0.02+0.01</f>
        <v>6.1599999999999984</v>
      </c>
      <c r="AB8" s="185">
        <f>4.28+(0.4/3)+0.4+0.4+0.35+0.35+0.35+0.35+0.3+0.3+0.25+0.25+0.25+0.2+0.04+0.17+0.16+0.03+0.15+0.13+0.02</f>
        <v>8.8633333333333315</v>
      </c>
      <c r="AC8" s="186">
        <v>2.95</v>
      </c>
      <c r="AD8" s="185">
        <f>9+1*5/90+0.85+0.85*30/90+0.65+0.55+0.5+0.4+0.35+0.35+0.25+0.25*35/90</f>
        <v>13.33611111111111</v>
      </c>
      <c r="AE8" s="314">
        <v>1029</v>
      </c>
      <c r="AF8" s="252">
        <f t="shared" si="11"/>
        <v>9.0018200711678347</v>
      </c>
      <c r="AG8" s="252">
        <f t="shared" si="12"/>
        <v>9.8609998231627642</v>
      </c>
      <c r="AH8" s="109">
        <f t="shared" si="13"/>
        <v>3.7276188442611371</v>
      </c>
      <c r="AI8" s="109">
        <f t="shared" si="14"/>
        <v>8.8663322590478515</v>
      </c>
      <c r="AJ8" s="109">
        <f t="shared" si="15"/>
        <v>10.878297281735897</v>
      </c>
      <c r="AK8" s="109">
        <f t="shared" si="16"/>
        <v>0.7596711050795153</v>
      </c>
      <c r="AL8" s="109">
        <f t="shared" si="17"/>
        <v>0.96984680027790904</v>
      </c>
      <c r="AM8" s="105">
        <f t="shared" si="18"/>
        <v>13.439557184310875</v>
      </c>
      <c r="AN8" s="105">
        <f t="shared" si="19"/>
        <v>14.722297265455362</v>
      </c>
      <c r="AO8" s="180">
        <v>3</v>
      </c>
      <c r="AP8" s="180">
        <v>2</v>
      </c>
      <c r="AQ8" s="242">
        <f t="shared" si="20"/>
        <v>0.1158</v>
      </c>
      <c r="AR8" s="316"/>
      <c r="AS8" s="316"/>
      <c r="AT8" s="316"/>
      <c r="AU8" s="316"/>
      <c r="AV8" s="242"/>
      <c r="AW8" s="242"/>
      <c r="AX8" s="242"/>
      <c r="AY8" s="242"/>
      <c r="AZ8" s="242"/>
      <c r="BA8" s="242"/>
      <c r="BB8" s="242"/>
      <c r="BC8" s="242"/>
      <c r="BD8" s="242"/>
      <c r="BE8" s="242"/>
      <c r="BF8" s="242"/>
      <c r="BG8" s="271">
        <v>12360</v>
      </c>
      <c r="BH8" s="320"/>
      <c r="BJ8" s="137"/>
      <c r="BK8" s="140"/>
    </row>
    <row r="9" spans="1:63" s="82" customFormat="1" x14ac:dyDescent="0.25">
      <c r="A9" s="132" t="s">
        <v>175</v>
      </c>
      <c r="B9" s="132" t="s">
        <v>2</v>
      </c>
      <c r="C9" s="133">
        <f t="shared" ca="1" si="21"/>
        <v>-1.9107142857142858</v>
      </c>
      <c r="D9" s="642" t="s">
        <v>364</v>
      </c>
      <c r="E9" s="134">
        <v>35</v>
      </c>
      <c r="F9" s="58">
        <f ca="1">46-41471+$D$1-112-112-112-112-112-112-112-112-112-112-112-112-112-112-112-112-112-112-112</f>
        <v>102</v>
      </c>
      <c r="G9" s="135" t="s">
        <v>96</v>
      </c>
      <c r="H9" s="131">
        <v>0</v>
      </c>
      <c r="I9" s="102">
        <v>17.100000000000001</v>
      </c>
      <c r="J9" s="186">
        <f t="shared" si="5"/>
        <v>1.6769047664922461</v>
      </c>
      <c r="K9" s="98">
        <f t="shared" si="6"/>
        <v>0</v>
      </c>
      <c r="L9" s="98">
        <f t="shared" si="7"/>
        <v>17.100000000000001</v>
      </c>
      <c r="M9" s="136">
        <v>4.8</v>
      </c>
      <c r="N9" s="179">
        <f t="shared" si="8"/>
        <v>67</v>
      </c>
      <c r="O9" s="179" t="s">
        <v>256</v>
      </c>
      <c r="P9" s="306">
        <v>1.5</v>
      </c>
      <c r="Q9" s="179">
        <v>6</v>
      </c>
      <c r="R9" s="200">
        <f t="shared" si="9"/>
        <v>0.92582009977255142</v>
      </c>
      <c r="S9" s="200">
        <f t="shared" si="10"/>
        <v>0.99928545900129484</v>
      </c>
      <c r="T9" s="112">
        <v>24820</v>
      </c>
      <c r="U9" s="270">
        <f t="shared" si="3"/>
        <v>-1500</v>
      </c>
      <c r="V9" s="112">
        <v>5520</v>
      </c>
      <c r="W9" s="109">
        <f t="shared" si="4"/>
        <v>4.4963768115942031</v>
      </c>
      <c r="X9" s="185">
        <v>0</v>
      </c>
      <c r="Y9" s="186">
        <v>11.95</v>
      </c>
      <c r="Z9" s="185">
        <v>11.95</v>
      </c>
      <c r="AA9" s="186">
        <v>12.95</v>
      </c>
      <c r="AB9" s="185">
        <v>9.9499999999999993</v>
      </c>
      <c r="AC9" s="186">
        <v>5.95</v>
      </c>
      <c r="AD9" s="185">
        <f>10.8+0.67+0.55+0.55+0.45+0.45+0.4+0.4+0.35+0.35+0.33+0.33+0.3+0.3+0.25+0.25+0.2+0.2+0.2+0.2</f>
        <v>17.529999999999998</v>
      </c>
      <c r="AE9" s="314">
        <v>1828</v>
      </c>
      <c r="AF9" s="252">
        <f t="shared" si="11"/>
        <v>14.004792480163735</v>
      </c>
      <c r="AG9" s="252">
        <f t="shared" si="12"/>
        <v>15.126904766492245</v>
      </c>
      <c r="AH9" s="109">
        <f t="shared" si="13"/>
        <v>4.7888871301751248</v>
      </c>
      <c r="AI9" s="109">
        <f t="shared" si="14"/>
        <v>17.534532315357808</v>
      </c>
      <c r="AJ9" s="109">
        <f t="shared" si="15"/>
        <v>15.954569610284725</v>
      </c>
      <c r="AK9" s="109">
        <f t="shared" si="16"/>
        <v>1.0775523813193797</v>
      </c>
      <c r="AL9" s="109">
        <f t="shared" si="17"/>
        <v>1.226283333654457</v>
      </c>
      <c r="AM9" s="105">
        <f t="shared" si="18"/>
        <v>19.140399941261563</v>
      </c>
      <c r="AN9" s="105">
        <f t="shared" si="19"/>
        <v>20.673994813856204</v>
      </c>
      <c r="AO9" s="179">
        <v>1</v>
      </c>
      <c r="AP9" s="179">
        <v>2</v>
      </c>
      <c r="AQ9" s="242">
        <f t="shared" si="20"/>
        <v>4.9399999999999999E-2</v>
      </c>
      <c r="AR9" s="316"/>
      <c r="AS9" s="316"/>
      <c r="AT9" s="316"/>
      <c r="AU9" s="316"/>
      <c r="AV9" s="242"/>
      <c r="AW9" s="242"/>
      <c r="AX9" s="242"/>
      <c r="AY9" s="242"/>
      <c r="AZ9" s="242"/>
      <c r="BA9" s="242"/>
      <c r="BB9" s="242"/>
      <c r="BC9" s="242"/>
      <c r="BD9" s="242"/>
      <c r="BE9" s="242"/>
      <c r="BF9" s="242"/>
      <c r="BG9" s="112">
        <v>26320</v>
      </c>
      <c r="BH9" s="319"/>
      <c r="BJ9" s="137"/>
      <c r="BK9" s="140"/>
    </row>
    <row r="10" spans="1:63" s="82" customFormat="1" x14ac:dyDescent="0.25">
      <c r="A10" s="132" t="s">
        <v>173</v>
      </c>
      <c r="B10" s="79" t="s">
        <v>2</v>
      </c>
      <c r="C10" s="133">
        <f t="shared" ca="1" si="21"/>
        <v>-0.5446428571428571</v>
      </c>
      <c r="D10" s="642" t="s">
        <v>291</v>
      </c>
      <c r="E10" s="57">
        <v>34</v>
      </c>
      <c r="F10" s="58">
        <f ca="1">7-41471+$D$1-112-111-3-112-112-112-112-112-112-112-112-112-112-112-112-112-112-112-112-112</f>
        <v>61</v>
      </c>
      <c r="G10" s="135" t="s">
        <v>94</v>
      </c>
      <c r="H10" s="131">
        <v>3</v>
      </c>
      <c r="I10" s="59">
        <v>14.8</v>
      </c>
      <c r="J10" s="186">
        <f t="shared" si="5"/>
        <v>1.5982094492725636</v>
      </c>
      <c r="K10" s="98">
        <f t="shared" si="6"/>
        <v>133.20000000000002</v>
      </c>
      <c r="L10" s="98">
        <f t="shared" si="7"/>
        <v>236.8</v>
      </c>
      <c r="M10" s="92">
        <v>5.3</v>
      </c>
      <c r="N10" s="179">
        <f t="shared" si="8"/>
        <v>72</v>
      </c>
      <c r="O10" s="179" t="s">
        <v>256</v>
      </c>
      <c r="P10" s="306">
        <v>1.5</v>
      </c>
      <c r="Q10" s="180">
        <v>6</v>
      </c>
      <c r="R10" s="200">
        <f t="shared" si="9"/>
        <v>0.92582009977255142</v>
      </c>
      <c r="S10" s="200">
        <f t="shared" si="10"/>
        <v>0.99928545900129484</v>
      </c>
      <c r="T10" s="112">
        <v>29860</v>
      </c>
      <c r="U10" s="270">
        <f t="shared" si="3"/>
        <v>850</v>
      </c>
      <c r="V10" s="271">
        <v>12280</v>
      </c>
      <c r="W10" s="109">
        <f t="shared" si="4"/>
        <v>2.4315960912052117</v>
      </c>
      <c r="X10" s="185">
        <v>0</v>
      </c>
      <c r="Y10" s="186">
        <f>5.6+0.26+0.26+0.26+(0.26*23/90)+(0.05*(90-23)/90)+0.26+0.26+0.23+0.23+0.22+0.15+0.15+0.14+0.13+0.13+0.13+0.12+0.12+0.12+0.02+0.1+0.1+0.1+0.01+0.1</f>
        <v>9.3036666666666648</v>
      </c>
      <c r="Z10" s="185">
        <v>14</v>
      </c>
      <c r="AA10" s="186">
        <f>11.58+0.17+(0.17/2)+0.17+0.15+0.03+0.15+0.14+0.13+0.12+0.11+0.11</f>
        <v>12.945</v>
      </c>
      <c r="AB10" s="185">
        <v>9.9499999999999993</v>
      </c>
      <c r="AC10" s="186">
        <v>3.95</v>
      </c>
      <c r="AD10" s="185">
        <v>16</v>
      </c>
      <c r="AE10" s="314">
        <v>1856</v>
      </c>
      <c r="AF10" s="252">
        <f t="shared" si="11"/>
        <v>15.829865978257505</v>
      </c>
      <c r="AG10" s="252">
        <f t="shared" si="12"/>
        <v>17.098209449272563</v>
      </c>
      <c r="AH10" s="109">
        <f t="shared" si="13"/>
        <v>4.455311916422878</v>
      </c>
      <c r="AI10" s="109">
        <f t="shared" si="14"/>
        <v>13.520716438922031</v>
      </c>
      <c r="AJ10" s="109">
        <f t="shared" si="15"/>
        <v>14.334666517124836</v>
      </c>
      <c r="AK10" s="109">
        <f t="shared" si="16"/>
        <v>0.92535675594180522</v>
      </c>
      <c r="AL10" s="109">
        <f t="shared" si="17"/>
        <v>1.0690213281157459</v>
      </c>
      <c r="AM10" s="105">
        <f t="shared" si="18"/>
        <v>17.646454170162258</v>
      </c>
      <c r="AN10" s="105">
        <f t="shared" si="19"/>
        <v>19.060348953859943</v>
      </c>
      <c r="AO10" s="180">
        <v>3</v>
      </c>
      <c r="AP10" s="180">
        <v>3</v>
      </c>
      <c r="AQ10" s="242">
        <f t="shared" si="20"/>
        <v>0.1158</v>
      </c>
      <c r="AR10" s="316"/>
      <c r="AS10" s="316"/>
      <c r="AT10" s="316"/>
      <c r="AU10" s="316"/>
      <c r="AV10" s="242"/>
      <c r="AW10" s="242"/>
      <c r="AX10" s="242"/>
      <c r="AY10" s="242"/>
      <c r="AZ10" s="242"/>
      <c r="BA10" s="242"/>
      <c r="BB10" s="242"/>
      <c r="BC10" s="242"/>
      <c r="BD10" s="242"/>
      <c r="BE10" s="242"/>
      <c r="BF10" s="242"/>
      <c r="BG10" s="112">
        <v>29010</v>
      </c>
      <c r="BH10" s="319"/>
      <c r="BJ10" s="137"/>
      <c r="BK10" s="140"/>
    </row>
    <row r="11" spans="1:63" s="2" customFormat="1" x14ac:dyDescent="0.25">
      <c r="A11" s="132" t="s">
        <v>171</v>
      </c>
      <c r="B11" s="132" t="s">
        <v>2</v>
      </c>
      <c r="C11" s="133">
        <f t="shared" ca="1" si="21"/>
        <v>-1.7946428571428572</v>
      </c>
      <c r="D11" s="642" t="s">
        <v>97</v>
      </c>
      <c r="E11" s="134">
        <v>35</v>
      </c>
      <c r="F11" s="139">
        <f ca="1">33-41471+$D$1-112-112-112-112-112-112-112-112-112-112-112-112-112-112-112-112-112-112-112</f>
        <v>89</v>
      </c>
      <c r="G11" s="135"/>
      <c r="H11" s="131">
        <v>3</v>
      </c>
      <c r="I11" s="102">
        <v>13.1</v>
      </c>
      <c r="J11" s="186">
        <f t="shared" si="5"/>
        <v>1.5322921502071731</v>
      </c>
      <c r="K11" s="98">
        <f t="shared" si="6"/>
        <v>117.89999999999999</v>
      </c>
      <c r="L11" s="98">
        <f t="shared" si="7"/>
        <v>209.6</v>
      </c>
      <c r="M11" s="136">
        <v>4.8</v>
      </c>
      <c r="N11" s="179">
        <f t="shared" si="8"/>
        <v>67</v>
      </c>
      <c r="O11" s="179" t="s">
        <v>256</v>
      </c>
      <c r="P11" s="306">
        <v>1.5</v>
      </c>
      <c r="Q11" s="179">
        <v>7</v>
      </c>
      <c r="R11" s="200">
        <f t="shared" si="9"/>
        <v>1</v>
      </c>
      <c r="S11" s="200">
        <f t="shared" si="10"/>
        <v>1</v>
      </c>
      <c r="T11" s="112">
        <v>9360</v>
      </c>
      <c r="U11" s="270">
        <f t="shared" si="3"/>
        <v>-410</v>
      </c>
      <c r="V11" s="112">
        <v>4400</v>
      </c>
      <c r="W11" s="109">
        <f t="shared" si="4"/>
        <v>2.1272727272727274</v>
      </c>
      <c r="X11" s="185">
        <v>0</v>
      </c>
      <c r="Y11" s="186">
        <f>7.5+0.2+0.2+0.2+0.2+0.2+0.16+0.16+0.14+0.14+0.13+0.13+0.12+0.12+0.12+0.12+0.11+0.1+0.1+0.1+0.1+0.1+0.1</f>
        <v>10.549999999999995</v>
      </c>
      <c r="Z11" s="185">
        <v>12.95</v>
      </c>
      <c r="AA11" s="186">
        <v>3.95</v>
      </c>
      <c r="AB11" s="185">
        <v>8.9499999999999993</v>
      </c>
      <c r="AC11" s="186">
        <v>0.95</v>
      </c>
      <c r="AD11" s="185">
        <v>17.3</v>
      </c>
      <c r="AE11" s="314">
        <v>1364</v>
      </c>
      <c r="AF11" s="252">
        <f t="shared" si="11"/>
        <v>15.982292150207172</v>
      </c>
      <c r="AG11" s="252">
        <f t="shared" si="12"/>
        <v>15.982292150207172</v>
      </c>
      <c r="AH11" s="109">
        <f t="shared" si="13"/>
        <v>4.6933595563276889</v>
      </c>
      <c r="AI11" s="109">
        <f t="shared" si="14"/>
        <v>10.193365651957853</v>
      </c>
      <c r="AJ11" s="109">
        <f t="shared" si="15"/>
        <v>15.427292150207172</v>
      </c>
      <c r="AK11" s="109">
        <f t="shared" si="16"/>
        <v>0.80908337201657388</v>
      </c>
      <c r="AL11" s="109">
        <f t="shared" si="17"/>
        <v>1.1532604505145021</v>
      </c>
      <c r="AM11" s="105">
        <f t="shared" si="18"/>
        <v>20.289695060874354</v>
      </c>
      <c r="AN11" s="105">
        <f t="shared" si="19"/>
        <v>20.289695060874354</v>
      </c>
      <c r="AO11" s="179">
        <v>4</v>
      </c>
      <c r="AP11" s="179">
        <v>1</v>
      </c>
      <c r="AQ11" s="242">
        <f t="shared" si="20"/>
        <v>0.157</v>
      </c>
      <c r="AR11" s="316"/>
      <c r="AS11" s="316"/>
      <c r="AT11" s="316"/>
      <c r="AU11" s="316"/>
      <c r="AV11" s="242"/>
      <c r="AW11" s="242"/>
      <c r="AX11" s="242"/>
      <c r="AY11" s="242"/>
      <c r="AZ11" s="242"/>
      <c r="BA11" s="242"/>
      <c r="BB11" s="242"/>
      <c r="BC11" s="242"/>
      <c r="BD11" s="242"/>
      <c r="BE11" s="242"/>
      <c r="BF11" s="242"/>
      <c r="BG11" s="112">
        <v>9770</v>
      </c>
      <c r="BH11" s="319"/>
      <c r="BJ11" s="137"/>
      <c r="BK11" s="140"/>
    </row>
    <row r="12" spans="1:63" s="82" customFormat="1" ht="14.25" customHeight="1" x14ac:dyDescent="0.25">
      <c r="A12" s="100" t="s">
        <v>427</v>
      </c>
      <c r="B12" s="79" t="s">
        <v>2</v>
      </c>
      <c r="C12" s="133">
        <f t="shared" ca="1" si="21"/>
        <v>-0.125</v>
      </c>
      <c r="D12" s="642" t="s">
        <v>181</v>
      </c>
      <c r="E12" s="57">
        <v>34</v>
      </c>
      <c r="F12" s="58">
        <f ca="1">59-41471+$D$1-325-112-112-112-112-112-112-112-112-112-112-112-112-112-112-112-112-112</f>
        <v>14</v>
      </c>
      <c r="G12" s="80"/>
      <c r="H12" s="131">
        <v>2</v>
      </c>
      <c r="I12" s="59">
        <v>4.5</v>
      </c>
      <c r="J12" s="186">
        <f t="shared" si="5"/>
        <v>0.98715025265899181</v>
      </c>
      <c r="K12" s="98">
        <f t="shared" si="6"/>
        <v>18</v>
      </c>
      <c r="L12" s="98">
        <f t="shared" si="7"/>
        <v>40.5</v>
      </c>
      <c r="M12" s="92">
        <v>5.4</v>
      </c>
      <c r="N12" s="179">
        <f t="shared" si="8"/>
        <v>73</v>
      </c>
      <c r="O12" s="179" t="s">
        <v>256</v>
      </c>
      <c r="P12" s="306">
        <v>1.5</v>
      </c>
      <c r="Q12" s="180">
        <v>5</v>
      </c>
      <c r="R12" s="200">
        <f t="shared" si="9"/>
        <v>0.84515425472851657</v>
      </c>
      <c r="S12" s="200">
        <f t="shared" si="10"/>
        <v>0.92504826128926143</v>
      </c>
      <c r="T12" s="112">
        <v>2900</v>
      </c>
      <c r="U12" s="270">
        <f t="shared" si="3"/>
        <v>-160</v>
      </c>
      <c r="V12" s="271">
        <v>1190</v>
      </c>
      <c r="W12" s="109">
        <f t="shared" si="4"/>
        <v>2.4369747899159662</v>
      </c>
      <c r="X12" s="185">
        <v>0</v>
      </c>
      <c r="Y12" s="186">
        <f>4.45+0.06+0.2+0.06+0.06+(0.06*68/90)+0.06+0.06+0.06+0.04+(0.22*35/90)+0.04+0.04+0.04+0.04+0.04+0.04*0.5+0.2*66/90+0.02+0.12*33/90+0.02+0.02</f>
        <v>5.6515555555555519</v>
      </c>
      <c r="Z12" s="185">
        <v>9</v>
      </c>
      <c r="AA12" s="186">
        <v>6.95</v>
      </c>
      <c r="AB12" s="185">
        <v>8.9499999999999993</v>
      </c>
      <c r="AC12" s="186">
        <v>2.95</v>
      </c>
      <c r="AD12" s="185">
        <f>10+0.65+0.65+0.5+0.4+0.25+0.2+0.25*71/90</f>
        <v>12.847222222222223</v>
      </c>
      <c r="AE12" s="314">
        <v>864</v>
      </c>
      <c r="AF12" s="252">
        <f t="shared" si="11"/>
        <v>9.7084139107405019</v>
      </c>
      <c r="AG12" s="252">
        <f t="shared" si="12"/>
        <v>10.635034593019038</v>
      </c>
      <c r="AH12" s="109">
        <f t="shared" si="13"/>
        <v>3.2763467797255452</v>
      </c>
      <c r="AI12" s="109">
        <f t="shared" si="14"/>
        <v>8.3328611530597563</v>
      </c>
      <c r="AJ12" s="109">
        <f t="shared" si="15"/>
        <v>10.450506299406291</v>
      </c>
      <c r="AK12" s="109">
        <f t="shared" si="16"/>
        <v>0.73188868687938613</v>
      </c>
      <c r="AL12" s="109">
        <f t="shared" si="17"/>
        <v>0.78557940657501812</v>
      </c>
      <c r="AM12" s="105">
        <f t="shared" si="18"/>
        <v>12.861703018325491</v>
      </c>
      <c r="AN12" s="105">
        <f t="shared" si="19"/>
        <v>14.089289742138304</v>
      </c>
      <c r="AO12" s="180">
        <v>1</v>
      </c>
      <c r="AP12" s="180">
        <v>2</v>
      </c>
      <c r="AQ12" s="242">
        <f t="shared" si="20"/>
        <v>4.9399999999999999E-2</v>
      </c>
      <c r="AR12" s="316"/>
      <c r="AS12" s="316"/>
      <c r="AT12" s="316"/>
      <c r="AU12" s="316"/>
      <c r="AV12" s="242"/>
      <c r="AW12" s="242"/>
      <c r="AX12" s="242"/>
      <c r="AY12" s="242"/>
      <c r="AZ12" s="242"/>
      <c r="BA12" s="242"/>
      <c r="BB12" s="242"/>
      <c r="BC12" s="242"/>
      <c r="BD12" s="242"/>
      <c r="BE12" s="242"/>
      <c r="BF12" s="242"/>
      <c r="BG12" s="112">
        <v>3060</v>
      </c>
      <c r="BH12" s="319"/>
      <c r="BJ12" s="137"/>
      <c r="BK12" s="140"/>
    </row>
    <row r="13" spans="1:63" s="78" customFormat="1" x14ac:dyDescent="0.25">
      <c r="A13" s="132" t="s">
        <v>264</v>
      </c>
      <c r="B13" s="132" t="s">
        <v>62</v>
      </c>
      <c r="C13" s="133">
        <f t="shared" ca="1" si="21"/>
        <v>15.25</v>
      </c>
      <c r="D13" s="317" t="s">
        <v>404</v>
      </c>
      <c r="E13" s="134">
        <v>18</v>
      </c>
      <c r="F13" s="58">
        <f ca="1">-43571+$D$1</f>
        <v>84</v>
      </c>
      <c r="G13" s="135" t="s">
        <v>220</v>
      </c>
      <c r="H13" s="131">
        <v>4</v>
      </c>
      <c r="I13" s="102">
        <v>0.4</v>
      </c>
      <c r="J13" s="186">
        <f t="shared" si="5"/>
        <v>0.19483738090431735</v>
      </c>
      <c r="K13" s="98">
        <f t="shared" si="6"/>
        <v>6.4</v>
      </c>
      <c r="L13" s="98">
        <f t="shared" si="7"/>
        <v>10</v>
      </c>
      <c r="M13" s="136">
        <v>5.3</v>
      </c>
      <c r="N13" s="179">
        <f t="shared" si="8"/>
        <v>72</v>
      </c>
      <c r="O13" s="305">
        <v>43626</v>
      </c>
      <c r="P13" s="306">
        <f t="shared" ref="P13:P22" ca="1" si="22">IF((TODAY()-O13)&gt;335,1,((TODAY()-O13)^0.64)/(336^0.64))</f>
        <v>0.20848632838563147</v>
      </c>
      <c r="Q13" s="179">
        <v>5</v>
      </c>
      <c r="R13" s="200">
        <f t="shared" si="9"/>
        <v>0.84515425472851657</v>
      </c>
      <c r="S13" s="200">
        <f t="shared" si="10"/>
        <v>0.92504826128926143</v>
      </c>
      <c r="T13" s="112">
        <v>5990</v>
      </c>
      <c r="U13" s="270">
        <f t="shared" si="3"/>
        <v>220</v>
      </c>
      <c r="V13" s="112">
        <v>684</v>
      </c>
      <c r="W13" s="109">
        <f t="shared" si="4"/>
        <v>8.757309941520468</v>
      </c>
      <c r="X13" s="185">
        <v>0</v>
      </c>
      <c r="Y13" s="186">
        <v>4</v>
      </c>
      <c r="Z13" s="185">
        <f>7+4/5</f>
        <v>7.8</v>
      </c>
      <c r="AA13" s="186">
        <v>3</v>
      </c>
      <c r="AB13" s="185">
        <v>4</v>
      </c>
      <c r="AC13" s="186">
        <v>7</v>
      </c>
      <c r="AD13" s="185">
        <v>6</v>
      </c>
      <c r="AE13" s="314">
        <v>631</v>
      </c>
      <c r="AF13" s="252">
        <f t="shared" ca="1" si="11"/>
        <v>6.9330739358217164</v>
      </c>
      <c r="AG13" s="252">
        <f t="shared" ca="1" si="12"/>
        <v>7.5948019750013565</v>
      </c>
      <c r="AH13" s="109">
        <f t="shared" ca="1" si="13"/>
        <v>1.3955579129450075</v>
      </c>
      <c r="AI13" s="109">
        <f t="shared" ca="1" si="14"/>
        <v>6.9398534997685664</v>
      </c>
      <c r="AJ13" s="109">
        <f t="shared" ca="1" si="15"/>
        <v>5.6653425537289417</v>
      </c>
      <c r="AK13" s="109">
        <f t="shared" ca="1" si="16"/>
        <v>0.56226589674319594</v>
      </c>
      <c r="AL13" s="109">
        <f t="shared" ca="1" si="17"/>
        <v>0.36823265965029639</v>
      </c>
      <c r="AM13" s="105">
        <f t="shared" ca="1" si="18"/>
        <v>4.7987010472511091</v>
      </c>
      <c r="AN13" s="105">
        <f t="shared" ca="1" si="19"/>
        <v>5.2567136206061926</v>
      </c>
      <c r="AO13" s="179">
        <v>4</v>
      </c>
      <c r="AP13" s="179">
        <v>3</v>
      </c>
      <c r="AQ13" s="242">
        <f t="shared" si="20"/>
        <v>0.157</v>
      </c>
      <c r="AR13" s="323">
        <v>9</v>
      </c>
      <c r="AS13" s="323">
        <v>25</v>
      </c>
      <c r="AT13" s="323">
        <v>29</v>
      </c>
      <c r="AU13" s="323">
        <v>5</v>
      </c>
      <c r="AV13" s="323">
        <f>AR13*1+AS13*0.066</f>
        <v>10.65</v>
      </c>
      <c r="AW13" s="323">
        <f>AR13*0.919+AS13*0.167</f>
        <v>12.446000000000002</v>
      </c>
      <c r="AX13" s="323">
        <f>AR13*1+AS13*0.236</f>
        <v>14.899999999999999</v>
      </c>
      <c r="AY13" s="323">
        <f>AR13*0.75+AS13*0.165</f>
        <v>10.875</v>
      </c>
      <c r="AZ13" s="323">
        <f>AR13*0.73+AS13*0.38</f>
        <v>16.07</v>
      </c>
      <c r="BA13" s="323">
        <f>AR13*0.45+AS13*1</f>
        <v>29.05</v>
      </c>
      <c r="BB13" s="323">
        <f>AR13*0.65+AS13*0.95</f>
        <v>29.6</v>
      </c>
      <c r="BC13" s="323">
        <f>AR13*0.3+AS13*0.53</f>
        <v>15.95</v>
      </c>
      <c r="BD13" s="323">
        <f>AR13*0.4+AS13*0.44</f>
        <v>14.6</v>
      </c>
      <c r="BE13" s="323">
        <f>AR13*0.25+AS13*0.73</f>
        <v>20.5</v>
      </c>
      <c r="BF13" s="323">
        <f>AS13*0.46</f>
        <v>11.5</v>
      </c>
      <c r="BG13" s="112">
        <v>5770</v>
      </c>
      <c r="BH13" s="319">
        <v>2327</v>
      </c>
      <c r="BJ13" s="137"/>
      <c r="BK13" s="140"/>
    </row>
    <row r="14" spans="1:63" s="78" customFormat="1" x14ac:dyDescent="0.25">
      <c r="A14" s="132" t="s">
        <v>179</v>
      </c>
      <c r="B14" s="132" t="s">
        <v>62</v>
      </c>
      <c r="C14" s="133">
        <f t="shared" ca="1" si="21"/>
        <v>15.758928571428571</v>
      </c>
      <c r="D14" s="317" t="s">
        <v>424</v>
      </c>
      <c r="E14" s="134">
        <v>18</v>
      </c>
      <c r="F14" s="58">
        <f ca="1">-43628+$D$1</f>
        <v>27</v>
      </c>
      <c r="G14" s="135" t="s">
        <v>105</v>
      </c>
      <c r="H14" s="311">
        <v>6</v>
      </c>
      <c r="I14" s="102">
        <v>1.2</v>
      </c>
      <c r="J14" s="186">
        <f t="shared" si="5"/>
        <v>0.45656357442960838</v>
      </c>
      <c r="K14" s="98">
        <f t="shared" si="6"/>
        <v>43.199999999999996</v>
      </c>
      <c r="L14" s="98">
        <f t="shared" si="7"/>
        <v>58.8</v>
      </c>
      <c r="M14" s="136">
        <v>3.9</v>
      </c>
      <c r="N14" s="179">
        <f t="shared" si="8"/>
        <v>58</v>
      </c>
      <c r="O14" s="305">
        <v>43633</v>
      </c>
      <c r="P14" s="306">
        <f t="shared" ca="1" si="22"/>
        <v>0.17470019035584383</v>
      </c>
      <c r="Q14" s="179">
        <v>4</v>
      </c>
      <c r="R14" s="200">
        <f t="shared" si="9"/>
        <v>0.7559289460184544</v>
      </c>
      <c r="S14" s="200">
        <f t="shared" si="10"/>
        <v>0.84430867747355465</v>
      </c>
      <c r="T14" s="112">
        <v>8330</v>
      </c>
      <c r="U14" s="270">
        <f t="shared" si="3"/>
        <v>-220</v>
      </c>
      <c r="V14" s="112">
        <v>1490</v>
      </c>
      <c r="W14" s="109">
        <f t="shared" si="4"/>
        <v>5.5906040268456376</v>
      </c>
      <c r="X14" s="185">
        <v>0</v>
      </c>
      <c r="Y14" s="186">
        <v>3</v>
      </c>
      <c r="Z14" s="185">
        <f>6+1/4</f>
        <v>6.25</v>
      </c>
      <c r="AA14" s="186">
        <v>2</v>
      </c>
      <c r="AB14" s="185">
        <v>6</v>
      </c>
      <c r="AC14" s="186">
        <v>9</v>
      </c>
      <c r="AD14" s="185">
        <v>2</v>
      </c>
      <c r="AE14" s="314">
        <v>675</v>
      </c>
      <c r="AF14" s="252">
        <f t="shared" ref="AF14" ca="1" si="23">(Z14+P14+J14)*(Q14/7)^0.5</f>
        <v>5.201746464989248</v>
      </c>
      <c r="AG14" s="252">
        <f t="shared" ref="AG14" ca="1" si="24">(Z14+P14+J14)*(IF(Q14=7, (Q14/7)^0.5, ((Q14+1)/7)^0.5))</f>
        <v>5.8157293487175945</v>
      </c>
      <c r="AH14" s="109">
        <f t="shared" ca="1" si="13"/>
        <v>1.5963132309248174</v>
      </c>
      <c r="AI14" s="109">
        <f t="shared" ca="1" si="14"/>
        <v>7.4346314251420944</v>
      </c>
      <c r="AJ14" s="109">
        <f t="shared" ca="1" si="15"/>
        <v>3.576499231049572</v>
      </c>
      <c r="AK14" s="109">
        <f t="shared" ca="1" si="16"/>
        <v>0.56050110118283625</v>
      </c>
      <c r="AL14" s="109">
        <f t="shared" ca="1" si="17"/>
        <v>0.22418846353498165</v>
      </c>
      <c r="AM14" s="105">
        <f t="shared" ca="1" si="18"/>
        <v>1.7237260172941036</v>
      </c>
      <c r="AN14" s="105">
        <f t="shared" ca="1" si="19"/>
        <v>1.9271842746272971</v>
      </c>
      <c r="AO14" s="179">
        <v>4</v>
      </c>
      <c r="AP14" s="179">
        <v>2</v>
      </c>
      <c r="AQ14" s="242">
        <f t="shared" si="20"/>
        <v>0.157</v>
      </c>
      <c r="AR14" s="323">
        <v>6</v>
      </c>
      <c r="AS14" s="323">
        <v>17</v>
      </c>
      <c r="AT14" s="323">
        <v>32</v>
      </c>
      <c r="AU14" s="323">
        <v>1</v>
      </c>
      <c r="AV14" s="323">
        <f t="shared" ref="AV14:AV22" si="25">AR14*1+AS14*0.066</f>
        <v>7.1219999999999999</v>
      </c>
      <c r="AW14" s="323">
        <f t="shared" ref="AW14:AW22" si="26">AR14*0.919+AS14*0.167</f>
        <v>8.3529999999999998</v>
      </c>
      <c r="AX14" s="323">
        <f t="shared" ref="AX14:AX22" si="27">AR14*1+AS14*0.236</f>
        <v>10.012</v>
      </c>
      <c r="AY14" s="323">
        <f t="shared" ref="AY14:AY22" si="28">AR14*0.75+AS14*0.165</f>
        <v>7.3049999999999997</v>
      </c>
      <c r="AZ14" s="323">
        <f t="shared" ref="AZ14:AZ22" si="29">AR14*0.73+AS14*0.38</f>
        <v>10.84</v>
      </c>
      <c r="BA14" s="323">
        <f t="shared" ref="BA14:BA22" si="30">AR14*0.45+AS14*1</f>
        <v>19.7</v>
      </c>
      <c r="BB14" s="323">
        <f t="shared" ref="BB14:BB22" si="31">AR14*0.65+AS14*0.95</f>
        <v>20.049999999999997</v>
      </c>
      <c r="BC14" s="323">
        <f t="shared" ref="BC14:BC22" si="32">AR14*0.3+AS14*0.53</f>
        <v>10.809999999999999</v>
      </c>
      <c r="BD14" s="323">
        <f t="shared" ref="BD14:BD22" si="33">AR14*0.4+AS14*0.44</f>
        <v>9.8800000000000008</v>
      </c>
      <c r="BE14" s="323">
        <f t="shared" ref="BE14:BE22" si="34">AR14*0.25+AS14*0.73</f>
        <v>13.91</v>
      </c>
      <c r="BF14" s="323">
        <f t="shared" ref="BF14:BF22" si="35">AS14*0.46</f>
        <v>7.82</v>
      </c>
      <c r="BG14" s="112">
        <v>8550</v>
      </c>
      <c r="BH14" s="319">
        <v>4689</v>
      </c>
      <c r="BJ14" s="137"/>
      <c r="BK14" s="140"/>
    </row>
    <row r="15" spans="1:63" s="78" customFormat="1" x14ac:dyDescent="0.25">
      <c r="A15" s="132" t="s">
        <v>223</v>
      </c>
      <c r="B15" s="132" t="s">
        <v>62</v>
      </c>
      <c r="C15" s="133">
        <f ca="1">((34*112)-(E15*112)-(F15))/112</f>
        <v>15.107142857142858</v>
      </c>
      <c r="D15" s="317" t="s">
        <v>423</v>
      </c>
      <c r="E15" s="134">
        <v>18</v>
      </c>
      <c r="F15" s="58">
        <f ca="1">-43569+$D$1+14</f>
        <v>100</v>
      </c>
      <c r="G15" s="135" t="s">
        <v>96</v>
      </c>
      <c r="H15" s="131">
        <v>1</v>
      </c>
      <c r="I15" s="102">
        <v>1.8</v>
      </c>
      <c r="J15" s="186">
        <f>LOG(I15+1)*4/3</f>
        <v>0.59621070845629232</v>
      </c>
      <c r="K15" s="98">
        <f>(H15)*(H15)*(I15)</f>
        <v>1.8</v>
      </c>
      <c r="L15" s="98">
        <f>(H15+1)*(H15+1)*I15</f>
        <v>7.2</v>
      </c>
      <c r="M15" s="136">
        <v>4.0999999999999996</v>
      </c>
      <c r="N15" s="179">
        <f>M15*10+19</f>
        <v>60</v>
      </c>
      <c r="O15" s="305">
        <v>43630</v>
      </c>
      <c r="P15" s="306">
        <f ca="1">IF((TODAY()-O15)&gt;335,1,((TODAY()-O15)^0.64)/(336^0.64))</f>
        <v>0.1895939470598198</v>
      </c>
      <c r="Q15" s="179">
        <v>5</v>
      </c>
      <c r="R15" s="200">
        <f>(Q15/7)^0.5</f>
        <v>0.84515425472851657</v>
      </c>
      <c r="S15" s="200">
        <f>IF(Q15=7,1,((Q15+0.99)/7)^0.5)</f>
        <v>0.92504826128926143</v>
      </c>
      <c r="T15" s="112">
        <v>9080</v>
      </c>
      <c r="U15" s="270">
        <f>T15-BG15</f>
        <v>850</v>
      </c>
      <c r="V15" s="112">
        <v>1044</v>
      </c>
      <c r="W15" s="109">
        <f>T15/V15</f>
        <v>8.6973180076628349</v>
      </c>
      <c r="X15" s="185">
        <v>0</v>
      </c>
      <c r="Y15" s="186">
        <v>4</v>
      </c>
      <c r="Z15" s="185">
        <f>8+3/5</f>
        <v>8.6</v>
      </c>
      <c r="AA15" s="186">
        <v>3</v>
      </c>
      <c r="AB15" s="185">
        <v>2</v>
      </c>
      <c r="AC15" s="186">
        <v>8</v>
      </c>
      <c r="AD15" s="185">
        <v>0</v>
      </c>
      <c r="AE15" s="314">
        <v>644</v>
      </c>
      <c r="AF15" s="252">
        <f ca="1">(Z15+P15+J15)*(Q15/7)^0.5</f>
        <v>7.9324527386601602</v>
      </c>
      <c r="AG15" s="252">
        <f ca="1">(Z15+P15+J15)*(IF(Q15=7, (Q15/7)^0.5, ((Q15+1)/7)^0.5))</f>
        <v>8.6895666026156029</v>
      </c>
      <c r="AH15" s="109">
        <f ca="1">(((Y15+P15+J15)+(AB15+P15+J15)*2)/8)*(Q15/7)^0.5</f>
        <v>1.0942015602266109</v>
      </c>
      <c r="AI15" s="109">
        <f ca="1">(1.66*(AC15+J15+P15)+0.55*(AD15+J15+P15)-7.6)*(Q15/7)^0.5</f>
        <v>6.2681949539267432</v>
      </c>
      <c r="AJ15" s="109">
        <f ca="1">((AD15+J15+P15)*0.7+(AC15+J15+P15)*0.3)*(Q15/7)^0.5</f>
        <v>2.692496359343358</v>
      </c>
      <c r="AK15" s="109">
        <f ca="1">(0.5*(AC15+P15+J15)+ 0.3*(AD15+P15+J15))/10</f>
        <v>0.46286437244128892</v>
      </c>
      <c r="AL15" s="109">
        <f ca="1">(0.4*(Y15+P15+J15)+0.3*(AD15+P15+J15))/10</f>
        <v>0.21500632588612784</v>
      </c>
      <c r="AM15" s="105">
        <f ca="1">(AD15+P15+(LOG(I15)*4/3))*(Q15/7)^0.5</f>
        <v>0.44789565609940135</v>
      </c>
      <c r="AN15" s="105">
        <f ca="1">(AD15+P15+(LOG(I15)*4/3))*(IF(Q15=7, (Q15/7)^0.5, ((Q15+1)/7)^0.5))</f>
        <v>0.4906451085084369</v>
      </c>
      <c r="AO15" s="179">
        <v>3</v>
      </c>
      <c r="AP15" s="179">
        <v>0</v>
      </c>
      <c r="AQ15" s="242">
        <f>IF(AO15=4,IF(AP15=0,0.137+0.0697,0.137+0.02),IF(AO15=3,IF(AP15=0,0.0958+0.0697,0.0958+0.02),IF(AO15=2,IF(AP15=0,0.0415+0.0697,0.0415+0.02),IF(AO15=1,IF(AP15=0,0.0294+0.0697,0.0294+0.02),IF(AO15=0,IF(AP15=0,0.0063+0.0697,0.0063+0.02))))))</f>
        <v>0.16549999999999998</v>
      </c>
      <c r="AR15" s="323">
        <v>9</v>
      </c>
      <c r="AS15" s="323">
        <v>29</v>
      </c>
      <c r="AT15" s="323">
        <v>26</v>
      </c>
      <c r="AU15" s="323">
        <v>-1</v>
      </c>
      <c r="AV15" s="323">
        <f>AR15*1+AS15*0.066</f>
        <v>10.914</v>
      </c>
      <c r="AW15" s="323">
        <f>AR15*0.919+AS15*0.167</f>
        <v>13.114000000000001</v>
      </c>
      <c r="AX15" s="323">
        <f>AR15*1+AS15*0.236</f>
        <v>15.843999999999999</v>
      </c>
      <c r="AY15" s="323">
        <f>AR15*0.75+AS15*0.165</f>
        <v>11.535</v>
      </c>
      <c r="AZ15" s="323">
        <f>AR15*0.73+AS15*0.38</f>
        <v>17.59</v>
      </c>
      <c r="BA15" s="323">
        <f>AR15*0.45+AS15*1</f>
        <v>33.049999999999997</v>
      </c>
      <c r="BB15" s="323">
        <f>AR15*0.65+AS15*0.95</f>
        <v>33.4</v>
      </c>
      <c r="BC15" s="323">
        <f>AR15*0.3+AS15*0.53</f>
        <v>18.07</v>
      </c>
      <c r="BD15" s="323">
        <f>AR15*0.4+AS15*0.44</f>
        <v>16.36</v>
      </c>
      <c r="BE15" s="323">
        <f>AR15*0.25+AS15*0.73</f>
        <v>23.419999999999998</v>
      </c>
      <c r="BF15" s="323">
        <f>AS15*0.46</f>
        <v>13.34</v>
      </c>
      <c r="BG15" s="112">
        <v>8230</v>
      </c>
      <c r="BH15" s="319">
        <v>1887</v>
      </c>
      <c r="BJ15" s="137"/>
      <c r="BK15" s="140"/>
    </row>
    <row r="16" spans="1:63" s="78" customFormat="1" x14ac:dyDescent="0.25">
      <c r="A16" s="132" t="s">
        <v>172</v>
      </c>
      <c r="B16" s="132" t="s">
        <v>62</v>
      </c>
      <c r="C16" s="133">
        <f ca="1">((34*112)-(E16*112)-(F16))/112</f>
        <v>15.107142857142858</v>
      </c>
      <c r="D16" s="317" t="s">
        <v>418</v>
      </c>
      <c r="E16" s="134">
        <v>18</v>
      </c>
      <c r="F16" s="58">
        <f ca="1">-43569+$D$1+14</f>
        <v>100</v>
      </c>
      <c r="G16" s="135" t="s">
        <v>105</v>
      </c>
      <c r="H16" s="131">
        <v>1</v>
      </c>
      <c r="I16" s="102">
        <v>1.6</v>
      </c>
      <c r="J16" s="186">
        <f>LOG(I16+1)*4/3</f>
        <v>0.55329779729442397</v>
      </c>
      <c r="K16" s="98">
        <f>(H16)*(H16)*(I16)</f>
        <v>1.6</v>
      </c>
      <c r="L16" s="98">
        <f>(H16+1)*(H16+1)*I16</f>
        <v>6.4</v>
      </c>
      <c r="M16" s="136">
        <v>6.1</v>
      </c>
      <c r="N16" s="179">
        <f>M16*10+19</f>
        <v>80</v>
      </c>
      <c r="O16" s="305">
        <v>43627</v>
      </c>
      <c r="P16" s="306">
        <f ca="1">IF((TODAY()-O16)&gt;335,1,((TODAY()-O16)^0.64)/(336^0.64))</f>
        <v>0.20385623665224431</v>
      </c>
      <c r="Q16" s="179">
        <v>5</v>
      </c>
      <c r="R16" s="200">
        <f>(Q16/7)^0.5</f>
        <v>0.84515425472851657</v>
      </c>
      <c r="S16" s="200">
        <f>IF(Q16=7,1,((Q16+0.99)/7)^0.5)</f>
        <v>0.92504826128926143</v>
      </c>
      <c r="T16" s="112">
        <v>13720</v>
      </c>
      <c r="U16" s="270">
        <f>T16-BG16</f>
        <v>1770</v>
      </c>
      <c r="V16" s="112">
        <v>924</v>
      </c>
      <c r="W16" s="109">
        <f>T16/V16</f>
        <v>14.848484848484848</v>
      </c>
      <c r="X16" s="185">
        <v>0</v>
      </c>
      <c r="Y16" s="186">
        <v>2</v>
      </c>
      <c r="Z16" s="185">
        <f>8+4/5</f>
        <v>8.8000000000000007</v>
      </c>
      <c r="AA16" s="186">
        <v>5</v>
      </c>
      <c r="AB16" s="185">
        <v>4</v>
      </c>
      <c r="AC16" s="186">
        <v>8</v>
      </c>
      <c r="AD16" s="185">
        <v>6</v>
      </c>
      <c r="AE16" s="314">
        <v>696</v>
      </c>
      <c r="AF16" s="252">
        <f ca="1">(Z16+P16+J16)*(Q16/7)^0.5</f>
        <v>8.0772693948858336</v>
      </c>
      <c r="AG16" s="252">
        <f ca="1">(Z16+P16+J16)*(IF(Q16=7, (Q16/7)^0.5, ((Q16+1)/7)^0.5))</f>
        <v>8.8482053012501485</v>
      </c>
      <c r="AH16" s="109">
        <f ca="1">(((Y16+P16+J16)+(AB16+P16+J16)*2)/8)*(Q16/7)^0.5</f>
        <v>1.2964098008887281</v>
      </c>
      <c r="AI16" s="109">
        <f ca="1">(1.66*(AC16+J16+P16)+0.55*(AD16+J16+P16)-7.6)*(Q16/7)^0.5</f>
        <v>9.0036906241995762</v>
      </c>
      <c r="AJ16" s="109">
        <f ca="1">((AD16+J16+P16)*0.7+(AC16+J16+P16)*0.3)*(Q16/7)^0.5</f>
        <v>6.2179300344830946</v>
      </c>
      <c r="AK16" s="109">
        <f ca="1">(0.5*(AC16+P16+J16)+ 0.3*(AD16+P16+J16))/10</f>
        <v>0.6405723227157335</v>
      </c>
      <c r="AL16" s="109">
        <f ca="1">(0.4*(Y16+P16+J16)+0.3*(AD16+P16+J16))/10</f>
        <v>0.31300078237626677</v>
      </c>
      <c r="AM16" s="105">
        <f ca="1">(AD16+P16+(LOG(I16)*4/3))*(Q16/7)^0.5</f>
        <v>5.4732326565530416</v>
      </c>
      <c r="AN16" s="105">
        <f ca="1">(AD16+P16+(LOG(I16)*4/3))*(IF(Q16=7, (Q16/7)^0.5, ((Q16+1)/7)^0.5))</f>
        <v>5.9956259769360525</v>
      </c>
      <c r="AO16" s="179">
        <v>4</v>
      </c>
      <c r="AP16" s="179">
        <v>2</v>
      </c>
      <c r="AQ16" s="242">
        <f>IF(AO16=4,IF(AP16=0,0.137+0.0697,0.137+0.02),IF(AO16=3,IF(AP16=0,0.0958+0.0697,0.0958+0.02),IF(AO16=2,IF(AP16=0,0.0415+0.0697,0.0415+0.02),IF(AO16=1,IF(AP16=0,0.0294+0.0697,0.0294+0.02),IF(AO16=0,IF(AP16=0,0.0063+0.0697,0.0063+0.02))))))</f>
        <v>0.157</v>
      </c>
      <c r="AR16" s="323">
        <v>3</v>
      </c>
      <c r="AS16" s="323">
        <v>30</v>
      </c>
      <c r="AT16" s="323">
        <v>26</v>
      </c>
      <c r="AU16" s="323">
        <v>5</v>
      </c>
      <c r="AV16" s="323">
        <f>AR16*1+AS16*0.066</f>
        <v>4.9800000000000004</v>
      </c>
      <c r="AW16" s="323">
        <f>AR16*0.919+AS16*0.167</f>
        <v>7.7670000000000012</v>
      </c>
      <c r="AX16" s="323">
        <f>AR16*1+AS16*0.236</f>
        <v>10.08</v>
      </c>
      <c r="AY16" s="323">
        <f>AR16*0.75+AS16*0.165</f>
        <v>7.2</v>
      </c>
      <c r="AZ16" s="323">
        <f>AR16*0.73+AS16*0.38</f>
        <v>13.59</v>
      </c>
      <c r="BA16" s="323">
        <f>AR16*0.45+AS16*1</f>
        <v>31.35</v>
      </c>
      <c r="BB16" s="323">
        <f>AR16*0.65+AS16*0.95</f>
        <v>30.45</v>
      </c>
      <c r="BC16" s="323">
        <f>AR16*0.3+AS16*0.53</f>
        <v>16.8</v>
      </c>
      <c r="BD16" s="323">
        <f>AR16*0.4+AS16*0.44</f>
        <v>14.399999999999999</v>
      </c>
      <c r="BE16" s="323">
        <f>AR16*0.25+AS16*0.73</f>
        <v>22.65</v>
      </c>
      <c r="BF16" s="323">
        <f>AS16*0.46</f>
        <v>13.8</v>
      </c>
      <c r="BG16" s="112">
        <v>11950</v>
      </c>
      <c r="BH16" s="319">
        <v>3853</v>
      </c>
      <c r="BJ16" s="137"/>
      <c r="BK16" s="140"/>
    </row>
    <row r="17" spans="1:63" s="78" customFormat="1" x14ac:dyDescent="0.25">
      <c r="A17" s="132" t="s">
        <v>259</v>
      </c>
      <c r="B17" s="132" t="s">
        <v>62</v>
      </c>
      <c r="C17" s="133">
        <f ca="1">((34*112)-(E17*112)-(F17))/112</f>
        <v>14.696428571428571</v>
      </c>
      <c r="D17" s="317" t="s">
        <v>421</v>
      </c>
      <c r="E17" s="134">
        <v>19</v>
      </c>
      <c r="F17" s="58">
        <f ca="1">-43626+$D$1+5</f>
        <v>34</v>
      </c>
      <c r="G17" s="135" t="s">
        <v>220</v>
      </c>
      <c r="H17" s="131">
        <v>4</v>
      </c>
      <c r="I17" s="102">
        <v>0.3</v>
      </c>
      <c r="J17" s="186">
        <f>LOG(I17+1)*4/3</f>
        <v>0.15192446974244905</v>
      </c>
      <c r="K17" s="98">
        <f>(H17)*(H17)*(I17)</f>
        <v>4.8</v>
      </c>
      <c r="L17" s="98">
        <f>(H17+1)*(H17+1)*I17</f>
        <v>7.5</v>
      </c>
      <c r="M17" s="136">
        <v>4.9000000000000004</v>
      </c>
      <c r="N17" s="179">
        <f>M17*10+19</f>
        <v>68</v>
      </c>
      <c r="O17" s="305">
        <v>43628</v>
      </c>
      <c r="P17" s="306">
        <f ca="1">IF((TODAY()-O17)&gt;335,1,((TODAY()-O17)^0.64)/(336^0.64))</f>
        <v>0.199166215696265</v>
      </c>
      <c r="Q17" s="179">
        <v>5</v>
      </c>
      <c r="R17" s="200">
        <f>(Q17/7)^0.5</f>
        <v>0.84515425472851657</v>
      </c>
      <c r="S17" s="200">
        <f>IF(Q17=7,1,((Q17+0.99)/7)^0.5)</f>
        <v>0.92504826128926143</v>
      </c>
      <c r="T17" s="112">
        <v>8900</v>
      </c>
      <c r="U17" s="270">
        <f>T17-BG17</f>
        <v>1190</v>
      </c>
      <c r="V17" s="112">
        <v>948</v>
      </c>
      <c r="W17" s="109">
        <f>T17/V17</f>
        <v>9.3881856540084385</v>
      </c>
      <c r="X17" s="185">
        <v>0</v>
      </c>
      <c r="Y17" s="186">
        <v>7</v>
      </c>
      <c r="Z17" s="185">
        <f>7+1/9+3/5</f>
        <v>7.7111111111111104</v>
      </c>
      <c r="AA17" s="186">
        <v>1</v>
      </c>
      <c r="AB17" s="185">
        <v>1</v>
      </c>
      <c r="AC17" s="186">
        <v>6</v>
      </c>
      <c r="AD17" s="185">
        <v>1</v>
      </c>
      <c r="AE17" s="314">
        <v>597</v>
      </c>
      <c r="AF17" s="252">
        <f ca="1">(Z17+P17+J17)*(Q17/7)^0.5</f>
        <v>6.8138041508339748</v>
      </c>
      <c r="AG17" s="252">
        <f ca="1">(Z17+P17+J17)*(IF(Q17=7, (Q17/7)^0.5, ((Q17+1)/7)^0.5))</f>
        <v>7.4641484716682021</v>
      </c>
      <c r="AH17" s="109">
        <f ca="1">(((Y17+P17+J17)+(AB17+P17+J17)*2)/8)*(Q17/7)^0.5</f>
        <v>1.0620707065423614</v>
      </c>
      <c r="AI17" s="109">
        <f ca="1">(1.66*(AC17+J17+P17)+0.55*(AD17+J17+P17)-7.6)*(Q17/7)^0.5</f>
        <v>3.115162869632901</v>
      </c>
      <c r="AJ17" s="109">
        <f ca="1">((AD17+J17+P17)*0.7+(AC17+J17+P17)*0.3)*(Q17/7)^0.5</f>
        <v>2.4096114234153716</v>
      </c>
      <c r="AK17" s="109">
        <f ca="1">(0.5*(AC17+P17+J17)+ 0.3*(AD17+P17+J17))/10</f>
        <v>0.35808725483509712</v>
      </c>
      <c r="AL17" s="109">
        <f ca="1">(0.4*(Y17+P17+J17)+0.3*(AD17+P17+J17))/10</f>
        <v>0.33457634798071001</v>
      </c>
      <c r="AM17" s="105">
        <f ca="1">(AD17+P17+(LOG(I17)*4/3))*(Q17/7)^0.5</f>
        <v>0.42426283428134492</v>
      </c>
      <c r="AN17" s="105">
        <f ca="1">(AD17+P17+(LOG(I17)*4/3))*(IF(Q17=7, (Q17/7)^0.5, ((Q17+1)/7)^0.5))</f>
        <v>0.4647566492939374</v>
      </c>
      <c r="AO17" s="179">
        <v>4</v>
      </c>
      <c r="AP17" s="179">
        <v>2</v>
      </c>
      <c r="AQ17" s="242">
        <f>IF(AO17=4,IF(AP17=0,0.137+0.0697,0.137+0.02),IF(AO17=3,IF(AP17=0,0.0958+0.0697,0.0958+0.02),IF(AO17=2,IF(AP17=0,0.0415+0.0697,0.0415+0.02),IF(AO17=1,IF(AP17=0,0.0294+0.0697,0.0294+0.02),IF(AO17=0,IF(AP17=0,0.0063+0.0697,0.0063+0.02))))))</f>
        <v>0.157</v>
      </c>
      <c r="AR17" s="323">
        <v>23</v>
      </c>
      <c r="AS17" s="323">
        <f>21.5+1+1+1</f>
        <v>24.5</v>
      </c>
      <c r="AT17" s="323">
        <v>16</v>
      </c>
      <c r="AU17" s="323">
        <v>0</v>
      </c>
      <c r="AV17" s="323">
        <f>AR17*1+AS17*0.066</f>
        <v>24.617000000000001</v>
      </c>
      <c r="AW17" s="323">
        <f>AR17*0.919+AS17*0.167</f>
        <v>25.2285</v>
      </c>
      <c r="AX17" s="323">
        <f>AR17*1+AS17*0.236</f>
        <v>28.782</v>
      </c>
      <c r="AY17" s="323">
        <f>AR17*0.75+AS17*0.165</f>
        <v>21.2925</v>
      </c>
      <c r="AZ17" s="323">
        <f>AR17*0.73+AS17*0.38</f>
        <v>26.1</v>
      </c>
      <c r="BA17" s="323">
        <f>AR17*0.45+AS17*1</f>
        <v>34.85</v>
      </c>
      <c r="BB17" s="323">
        <f>AR17*0.65+AS17*0.95</f>
        <v>38.225000000000001</v>
      </c>
      <c r="BC17" s="323">
        <f>AR17*0.3+AS17*0.53</f>
        <v>19.885000000000002</v>
      </c>
      <c r="BD17" s="323">
        <f>AR17*0.4+AS17*0.44</f>
        <v>19.98</v>
      </c>
      <c r="BE17" s="323">
        <f>AR17*0.25+AS17*0.73</f>
        <v>23.634999999999998</v>
      </c>
      <c r="BF17" s="323">
        <f>AS17*0.46</f>
        <v>11.270000000000001</v>
      </c>
      <c r="BG17" s="112">
        <v>7710</v>
      </c>
      <c r="BH17" s="319">
        <v>740</v>
      </c>
      <c r="BJ17" s="137"/>
      <c r="BK17" s="140"/>
    </row>
    <row r="18" spans="1:63" s="78" customFormat="1" x14ac:dyDescent="0.25">
      <c r="A18" s="132" t="s">
        <v>213</v>
      </c>
      <c r="B18" s="132" t="s">
        <v>62</v>
      </c>
      <c r="C18" s="133">
        <f ca="1">((34*112)-(E18*112)-(F18))/112</f>
        <v>14.741071428571429</v>
      </c>
      <c r="D18" s="317" t="s">
        <v>406</v>
      </c>
      <c r="E18" s="134">
        <v>19</v>
      </c>
      <c r="F18" s="58">
        <f ca="1">-43626+$D$1</f>
        <v>29</v>
      </c>
      <c r="G18" s="135" t="s">
        <v>67</v>
      </c>
      <c r="H18" s="131">
        <v>4</v>
      </c>
      <c r="I18" s="102">
        <v>1.8</v>
      </c>
      <c r="J18" s="186">
        <f>LOG(I18+1)*4/3</f>
        <v>0.59621070845629232</v>
      </c>
      <c r="K18" s="98">
        <f>(H18)*(H18)*(I18)</f>
        <v>28.8</v>
      </c>
      <c r="L18" s="98">
        <f>(H18+1)*(H18+1)*I18</f>
        <v>45</v>
      </c>
      <c r="M18" s="136">
        <v>3.6</v>
      </c>
      <c r="N18" s="179">
        <f>M18*10+19</f>
        <v>55</v>
      </c>
      <c r="O18" s="305">
        <v>43626</v>
      </c>
      <c r="P18" s="306">
        <f ca="1">IF((TODAY()-O18)&gt;335,1,((TODAY()-O18)^0.64)/(336^0.64))</f>
        <v>0.20848632838563147</v>
      </c>
      <c r="Q18" s="179">
        <v>5</v>
      </c>
      <c r="R18" s="200">
        <f>(Q18/7)^0.5</f>
        <v>0.84515425472851657</v>
      </c>
      <c r="S18" s="200">
        <f>IF(Q18=7,1,((Q18+0.99)/7)^0.5)</f>
        <v>0.92504826128926143</v>
      </c>
      <c r="T18" s="112">
        <v>8290</v>
      </c>
      <c r="U18" s="270">
        <f>T18-BG18</f>
        <v>610</v>
      </c>
      <c r="V18" s="112">
        <v>870</v>
      </c>
      <c r="W18" s="109">
        <f>T18/V18</f>
        <v>9.5287356321839081</v>
      </c>
      <c r="X18" s="185">
        <v>0</v>
      </c>
      <c r="Y18" s="186">
        <v>7</v>
      </c>
      <c r="Z18" s="185">
        <v>8</v>
      </c>
      <c r="AA18" s="186">
        <v>2</v>
      </c>
      <c r="AB18" s="185">
        <v>4</v>
      </c>
      <c r="AC18" s="186">
        <v>6</v>
      </c>
      <c r="AD18" s="185">
        <v>2</v>
      </c>
      <c r="AE18" s="314">
        <v>731</v>
      </c>
      <c r="AF18" s="252">
        <f ca="1">(Z18+P18+J18)*(Q18/7)^0.5</f>
        <v>7.4413271622825148</v>
      </c>
      <c r="AG18" s="252">
        <f ca="1">(Z18+P18+J18)*(IF(Q18=7, (Q18/7)^0.5, ((Q18+1)/7)^0.5))</f>
        <v>8.1515654891160789</v>
      </c>
      <c r="AH18" s="109">
        <f ca="1">(((Y18+P18+J18)+(AB18+P18+J18)*2)/8)*(Q18/7)^0.5</f>
        <v>1.8396991492863617</v>
      </c>
      <c r="AI18" s="109">
        <f ca="1">(1.66*(AC18+J18+P18)+0.55*(AD18+J18+P18)-7.6)*(Q18/7)^0.5</f>
        <v>4.4272395264048505</v>
      </c>
      <c r="AJ18" s="109">
        <f ca="1">((AD18+J18+P18)*0.7+(AC18+J18+P18)*0.3)*(Q18/7)^0.5</f>
        <v>3.3845867395856346</v>
      </c>
      <c r="AK18" s="109">
        <f ca="1">(0.5*(AC18+P18+J18)+ 0.3*(AD18+P18+J18))/10</f>
        <v>0.42437576294735385</v>
      </c>
      <c r="AL18" s="109">
        <f ca="1">(0.4*(Y18+P18+J18)+0.3*(AD18+P18+J18))/10</f>
        <v>0.39632879257893461</v>
      </c>
      <c r="AM18" s="105">
        <f ca="1">(AD18+P18+(LOG(I18)*4/3))*(Q18/7)^0.5</f>
        <v>2.1541711420158975</v>
      </c>
      <c r="AN18" s="105">
        <f ca="1">(AD18+P18+(LOG(I18)*4/3))*(IF(Q18=7, (Q18/7)^0.5, ((Q18+1)/7)^0.5))</f>
        <v>2.3597762544175436</v>
      </c>
      <c r="AO18" s="179">
        <v>3</v>
      </c>
      <c r="AP18" s="179">
        <v>3</v>
      </c>
      <c r="AQ18" s="242">
        <f>IF(AO18=4,IF(AP18=0,0.137+0.0697,0.137+0.02),IF(AO18=3,IF(AP18=0,0.0958+0.0697,0.0958+0.02),IF(AO18=2,IF(AP18=0,0.0415+0.0697,0.0415+0.02),IF(AO18=1,IF(AP18=0,0.0294+0.0697,0.0294+0.02),IF(AO18=0,IF(AP18=0,0.0063+0.0697,0.0063+0.02))))))</f>
        <v>0.1158</v>
      </c>
      <c r="AR18" s="323">
        <v>23</v>
      </c>
      <c r="AS18" s="323">
        <v>26</v>
      </c>
      <c r="AT18" s="323">
        <v>16</v>
      </c>
      <c r="AU18" s="323">
        <v>1</v>
      </c>
      <c r="AV18" s="323">
        <f>AR18*1+AS18*0.066</f>
        <v>24.716000000000001</v>
      </c>
      <c r="AW18" s="323">
        <f>AR18*0.919+AS18*0.167</f>
        <v>25.478999999999999</v>
      </c>
      <c r="AX18" s="323">
        <f>AR18*1+AS18*0.236</f>
        <v>29.135999999999999</v>
      </c>
      <c r="AY18" s="323">
        <f>AR18*0.75+AS18*0.165</f>
        <v>21.54</v>
      </c>
      <c r="AZ18" s="323">
        <f>AR18*0.73+AS18*0.38</f>
        <v>26.67</v>
      </c>
      <c r="BA18" s="323">
        <f>AR18*0.45+AS18*1</f>
        <v>36.35</v>
      </c>
      <c r="BB18" s="323">
        <f>AR18*0.65+AS18*0.95</f>
        <v>39.65</v>
      </c>
      <c r="BC18" s="323">
        <f>AR18*0.3+AS18*0.53</f>
        <v>20.68</v>
      </c>
      <c r="BD18" s="323">
        <f>AR18*0.4+AS18*0.44</f>
        <v>20.64</v>
      </c>
      <c r="BE18" s="323">
        <f>AR18*0.25+AS18*0.73</f>
        <v>24.73</v>
      </c>
      <c r="BF18" s="323">
        <f>AS18*0.46</f>
        <v>11.96</v>
      </c>
      <c r="BG18" s="112">
        <v>7680</v>
      </c>
      <c r="BH18" s="319">
        <v>1308</v>
      </c>
      <c r="BJ18" s="137"/>
      <c r="BK18" s="140"/>
    </row>
    <row r="19" spans="1:63" s="78" customFormat="1" x14ac:dyDescent="0.25">
      <c r="A19" s="132" t="s">
        <v>426</v>
      </c>
      <c r="B19" s="132" t="s">
        <v>63</v>
      </c>
      <c r="C19" s="133">
        <f t="shared" ca="1" si="21"/>
        <v>11.116071428571429</v>
      </c>
      <c r="D19" s="345" t="s">
        <v>676</v>
      </c>
      <c r="E19" s="134">
        <v>22</v>
      </c>
      <c r="F19" s="58">
        <f ca="1">-43571+$D$1+15</f>
        <v>99</v>
      </c>
      <c r="G19" s="135" t="s">
        <v>220</v>
      </c>
      <c r="H19" s="131">
        <v>5</v>
      </c>
      <c r="I19" s="102">
        <v>1.6</v>
      </c>
      <c r="J19" s="186">
        <f t="shared" si="5"/>
        <v>0.55329779729442397</v>
      </c>
      <c r="K19" s="98">
        <f t="shared" si="6"/>
        <v>40</v>
      </c>
      <c r="L19" s="98">
        <f t="shared" si="7"/>
        <v>57.6</v>
      </c>
      <c r="M19" s="136">
        <v>6</v>
      </c>
      <c r="N19" s="179">
        <f t="shared" si="8"/>
        <v>79</v>
      </c>
      <c r="O19" s="305">
        <v>43650</v>
      </c>
      <c r="P19" s="306">
        <f ca="1">IF((TODAY()-O19)&gt;335,1,((TODAY()-O19)^0.64)/(336^0.64))</f>
        <v>6.7683633516304187E-2</v>
      </c>
      <c r="Q19" s="179">
        <v>6</v>
      </c>
      <c r="R19" s="200">
        <f t="shared" si="9"/>
        <v>0.92582009977255142</v>
      </c>
      <c r="S19" s="200">
        <f t="shared" si="10"/>
        <v>0.99928545900129484</v>
      </c>
      <c r="T19" s="112">
        <v>17880</v>
      </c>
      <c r="U19" s="270">
        <f>T19-BG19</f>
        <v>0</v>
      </c>
      <c r="V19" s="112">
        <v>1884</v>
      </c>
      <c r="W19" s="109">
        <f t="shared" si="4"/>
        <v>9.4904458598726116</v>
      </c>
      <c r="X19" s="185">
        <v>0</v>
      </c>
      <c r="Y19" s="186">
        <v>3</v>
      </c>
      <c r="Z19" s="185">
        <v>8</v>
      </c>
      <c r="AA19" s="186">
        <v>9</v>
      </c>
      <c r="AB19" s="185">
        <v>6</v>
      </c>
      <c r="AC19" s="186">
        <v>3</v>
      </c>
      <c r="AD19" s="185">
        <v>3</v>
      </c>
      <c r="AE19" s="314">
        <v>698</v>
      </c>
      <c r="AF19" s="252">
        <f t="shared" ca="1" si="11"/>
        <v>7.9814778884105033</v>
      </c>
      <c r="AG19" s="252">
        <f t="shared" ca="1" si="12"/>
        <v>8.6209814308107298</v>
      </c>
      <c r="AH19" s="109">
        <f t="shared" ca="1" si="13"/>
        <v>1.9515065959098175</v>
      </c>
      <c r="AI19" s="109">
        <f t="shared" ca="1" si="14"/>
        <v>0.3725212726291236</v>
      </c>
      <c r="AJ19" s="109">
        <f t="shared" ca="1" si="15"/>
        <v>3.352377389547744</v>
      </c>
      <c r="AK19" s="109">
        <f t="shared" ca="1" si="16"/>
        <v>0.28967851446485826</v>
      </c>
      <c r="AL19" s="109">
        <f t="shared" ca="1" si="17"/>
        <v>0.25346870015675094</v>
      </c>
      <c r="AM19" s="105">
        <f t="shared" ca="1" si="18"/>
        <v>3.0920943445967941</v>
      </c>
      <c r="AN19" s="105">
        <f t="shared" ca="1" si="19"/>
        <v>3.3398436103908704</v>
      </c>
      <c r="AO19" s="179">
        <v>1</v>
      </c>
      <c r="AP19" s="179">
        <v>2</v>
      </c>
      <c r="AQ19" s="242">
        <f t="shared" si="20"/>
        <v>4.9399999999999999E-2</v>
      </c>
      <c r="AR19" s="323">
        <v>3</v>
      </c>
      <c r="AS19" s="323">
        <v>21</v>
      </c>
      <c r="AT19" s="323">
        <v>2</v>
      </c>
      <c r="AU19" s="323">
        <v>1</v>
      </c>
      <c r="AV19" s="323">
        <f t="shared" si="25"/>
        <v>4.3860000000000001</v>
      </c>
      <c r="AW19" s="323">
        <f t="shared" si="26"/>
        <v>6.2640000000000002</v>
      </c>
      <c r="AX19" s="323">
        <f t="shared" si="27"/>
        <v>7.9559999999999995</v>
      </c>
      <c r="AY19" s="323">
        <f t="shared" si="28"/>
        <v>5.7149999999999999</v>
      </c>
      <c r="AZ19" s="323">
        <f t="shared" si="29"/>
        <v>10.17</v>
      </c>
      <c r="BA19" s="323">
        <f t="shared" si="30"/>
        <v>22.35</v>
      </c>
      <c r="BB19" s="323">
        <f t="shared" si="31"/>
        <v>21.9</v>
      </c>
      <c r="BC19" s="323">
        <f t="shared" si="32"/>
        <v>12.030000000000001</v>
      </c>
      <c r="BD19" s="323">
        <f t="shared" si="33"/>
        <v>10.440000000000001</v>
      </c>
      <c r="BE19" s="323">
        <f t="shared" si="34"/>
        <v>16.079999999999998</v>
      </c>
      <c r="BF19" s="323">
        <f t="shared" si="35"/>
        <v>9.66</v>
      </c>
      <c r="BG19" s="112">
        <v>17880</v>
      </c>
      <c r="BH19" s="319">
        <v>2017</v>
      </c>
      <c r="BJ19" s="137"/>
      <c r="BK19" s="140"/>
    </row>
    <row r="20" spans="1:63" s="78" customFormat="1" x14ac:dyDescent="0.25">
      <c r="A20" s="132" t="s">
        <v>292</v>
      </c>
      <c r="B20" s="132" t="s">
        <v>63</v>
      </c>
      <c r="C20" s="133">
        <f t="shared" ca="1" si="21"/>
        <v>8.0625</v>
      </c>
      <c r="D20" s="345" t="s">
        <v>442</v>
      </c>
      <c r="E20" s="134">
        <v>25</v>
      </c>
      <c r="F20" s="58">
        <f ca="1">-43570+$D$1+20</f>
        <v>105</v>
      </c>
      <c r="G20" s="135"/>
      <c r="H20" s="131">
        <v>5</v>
      </c>
      <c r="I20" s="102">
        <v>4.5</v>
      </c>
      <c r="J20" s="186">
        <f t="shared" si="5"/>
        <v>0.98715025265899181</v>
      </c>
      <c r="K20" s="98">
        <f t="shared" si="6"/>
        <v>112.5</v>
      </c>
      <c r="L20" s="98">
        <f t="shared" si="7"/>
        <v>162</v>
      </c>
      <c r="M20" s="136">
        <v>6.4</v>
      </c>
      <c r="N20" s="179">
        <f t="shared" si="8"/>
        <v>83</v>
      </c>
      <c r="O20" s="305">
        <v>43639</v>
      </c>
      <c r="P20" s="306">
        <f t="shared" ca="1" si="22"/>
        <v>0.14248844644448036</v>
      </c>
      <c r="Q20" s="179">
        <v>7</v>
      </c>
      <c r="R20" s="200">
        <f t="shared" si="9"/>
        <v>1</v>
      </c>
      <c r="S20" s="200">
        <f t="shared" si="10"/>
        <v>1</v>
      </c>
      <c r="T20" s="112">
        <v>22790</v>
      </c>
      <c r="U20" s="270">
        <f t="shared" si="3"/>
        <v>670</v>
      </c>
      <c r="V20" s="112">
        <v>2484</v>
      </c>
      <c r="W20" s="109">
        <f t="shared" si="4"/>
        <v>9.1747181964573272</v>
      </c>
      <c r="X20" s="185">
        <v>0</v>
      </c>
      <c r="Y20" s="186">
        <v>3</v>
      </c>
      <c r="Z20" s="185">
        <f>9+2/13</f>
        <v>9.1538461538461533</v>
      </c>
      <c r="AA20" s="186">
        <v>9</v>
      </c>
      <c r="AB20" s="185">
        <v>5</v>
      </c>
      <c r="AC20" s="186">
        <v>5</v>
      </c>
      <c r="AD20" s="185">
        <v>1</v>
      </c>
      <c r="AE20" s="314">
        <v>778</v>
      </c>
      <c r="AF20" s="252">
        <f t="shared" ca="1" si="11"/>
        <v>10.283484852949625</v>
      </c>
      <c r="AG20" s="252">
        <f t="shared" ca="1" si="12"/>
        <v>10.283484852949625</v>
      </c>
      <c r="AH20" s="109">
        <f t="shared" ca="1" si="13"/>
        <v>2.0486145121638022</v>
      </c>
      <c r="AI20" s="109">
        <f t="shared" ca="1" si="14"/>
        <v>3.7465015250186742</v>
      </c>
      <c r="AJ20" s="109">
        <f t="shared" ca="1" si="15"/>
        <v>3.3296386991034721</v>
      </c>
      <c r="AK20" s="109">
        <f t="shared" ca="1" si="16"/>
        <v>0.37037109592827783</v>
      </c>
      <c r="AL20" s="109">
        <f t="shared" ca="1" si="17"/>
        <v>0.22907470893724305</v>
      </c>
      <c r="AM20" s="105">
        <f t="shared" ca="1" si="18"/>
        <v>2.0134384648116055</v>
      </c>
      <c r="AN20" s="105">
        <f t="shared" ca="1" si="19"/>
        <v>2.0134384648116055</v>
      </c>
      <c r="AO20" s="179">
        <v>3</v>
      </c>
      <c r="AP20" s="179">
        <v>2</v>
      </c>
      <c r="AQ20" s="242">
        <f t="shared" si="20"/>
        <v>0.1158</v>
      </c>
      <c r="AR20" s="323">
        <v>6</v>
      </c>
      <c r="AS20" s="323">
        <f>26+0.5+0.5</f>
        <v>27</v>
      </c>
      <c r="AT20" s="323">
        <v>8</v>
      </c>
      <c r="AU20" s="323">
        <v>0</v>
      </c>
      <c r="AV20" s="323">
        <f t="shared" si="25"/>
        <v>7.782</v>
      </c>
      <c r="AW20" s="323">
        <f t="shared" si="26"/>
        <v>10.023</v>
      </c>
      <c r="AX20" s="323">
        <f t="shared" si="27"/>
        <v>12.372</v>
      </c>
      <c r="AY20" s="323">
        <f t="shared" si="28"/>
        <v>8.9550000000000001</v>
      </c>
      <c r="AZ20" s="323">
        <f t="shared" si="29"/>
        <v>14.64</v>
      </c>
      <c r="BA20" s="323">
        <f t="shared" si="30"/>
        <v>29.7</v>
      </c>
      <c r="BB20" s="323">
        <f t="shared" si="31"/>
        <v>29.549999999999997</v>
      </c>
      <c r="BC20" s="323">
        <f t="shared" si="32"/>
        <v>16.11</v>
      </c>
      <c r="BD20" s="323">
        <f t="shared" si="33"/>
        <v>14.280000000000001</v>
      </c>
      <c r="BE20" s="323">
        <f t="shared" si="34"/>
        <v>21.21</v>
      </c>
      <c r="BF20" s="323">
        <f t="shared" si="35"/>
        <v>12.42</v>
      </c>
      <c r="BG20" s="112">
        <v>22120</v>
      </c>
      <c r="BH20" s="319">
        <v>1486</v>
      </c>
      <c r="BJ20" s="137"/>
      <c r="BK20" s="140"/>
    </row>
    <row r="21" spans="1:63" s="78" customFormat="1" x14ac:dyDescent="0.25">
      <c r="A21" s="132" t="s">
        <v>425</v>
      </c>
      <c r="B21" s="132" t="s">
        <v>63</v>
      </c>
      <c r="C21" s="133">
        <f t="shared" ca="1" si="21"/>
        <v>15.232142857142858</v>
      </c>
      <c r="D21" s="345" t="s">
        <v>405</v>
      </c>
      <c r="E21" s="134">
        <v>18</v>
      </c>
      <c r="F21" s="58">
        <f ca="1">-43569+$D$1</f>
        <v>86</v>
      </c>
      <c r="G21" s="135" t="s">
        <v>220</v>
      </c>
      <c r="H21" s="131">
        <v>4</v>
      </c>
      <c r="I21" s="102">
        <v>0.6</v>
      </c>
      <c r="J21" s="186">
        <f t="shared" si="5"/>
        <v>0.27215997687456639</v>
      </c>
      <c r="K21" s="98">
        <f t="shared" si="6"/>
        <v>9.6</v>
      </c>
      <c r="L21" s="98">
        <f t="shared" si="7"/>
        <v>15</v>
      </c>
      <c r="M21" s="136">
        <v>5.5</v>
      </c>
      <c r="N21" s="179">
        <f t="shared" si="8"/>
        <v>74</v>
      </c>
      <c r="O21" s="305">
        <v>43626</v>
      </c>
      <c r="P21" s="306">
        <f t="shared" ca="1" si="22"/>
        <v>0.20848632838563147</v>
      </c>
      <c r="Q21" s="179">
        <v>5</v>
      </c>
      <c r="R21" s="200">
        <f t="shared" si="9"/>
        <v>0.84515425472851657</v>
      </c>
      <c r="S21" s="200">
        <f t="shared" si="10"/>
        <v>0.92504826128926143</v>
      </c>
      <c r="T21" s="112">
        <v>5920</v>
      </c>
      <c r="U21" s="270">
        <f t="shared" si="3"/>
        <v>-150</v>
      </c>
      <c r="V21" s="112">
        <v>660</v>
      </c>
      <c r="W21" s="109">
        <f t="shared" si="4"/>
        <v>8.9696969696969688</v>
      </c>
      <c r="X21" s="185">
        <v>0</v>
      </c>
      <c r="Y21" s="186">
        <v>6</v>
      </c>
      <c r="Z21" s="185">
        <f>6+1/30+3/8</f>
        <v>6.4083333333333332</v>
      </c>
      <c r="AA21" s="186">
        <v>2</v>
      </c>
      <c r="AB21" s="185">
        <v>3</v>
      </c>
      <c r="AC21" s="186">
        <v>6</v>
      </c>
      <c r="AD21" s="185">
        <v>8</v>
      </c>
      <c r="AE21" s="314">
        <v>605</v>
      </c>
      <c r="AF21" s="252">
        <f t="shared" ca="1" si="11"/>
        <v>5.8222504522954415</v>
      </c>
      <c r="AG21" s="252">
        <f t="shared" ca="1" si="12"/>
        <v>6.3779558163337384</v>
      </c>
      <c r="AH21" s="109">
        <f t="shared" ca="1" si="13"/>
        <v>1.4200639833090989</v>
      </c>
      <c r="AI21" s="109">
        <f t="shared" ca="1" si="14"/>
        <v>6.6109895584663079</v>
      </c>
      <c r="AJ21" s="109">
        <f t="shared" ca="1" si="15"/>
        <v>6.6603617549012206</v>
      </c>
      <c r="AK21" s="109">
        <f t="shared" ca="1" si="16"/>
        <v>0.57845170442081584</v>
      </c>
      <c r="AL21" s="109">
        <f t="shared" ca="1" si="17"/>
        <v>0.51364524136821388</v>
      </c>
      <c r="AM21" s="105">
        <f t="shared" ca="1" si="18"/>
        <v>6.6874419257900231</v>
      </c>
      <c r="AN21" s="105">
        <f t="shared" ca="1" si="19"/>
        <v>7.3257255895219693</v>
      </c>
      <c r="AO21" s="179">
        <v>2</v>
      </c>
      <c r="AP21" s="179">
        <v>3</v>
      </c>
      <c r="AQ21" s="242">
        <f t="shared" si="20"/>
        <v>6.1499999999999999E-2</v>
      </c>
      <c r="AR21" s="323">
        <v>18</v>
      </c>
      <c r="AS21" s="323">
        <f>16+0.16+0.5+0.5+0.5</f>
        <v>17.66</v>
      </c>
      <c r="AT21" s="323">
        <v>16</v>
      </c>
      <c r="AU21" s="323">
        <v>8</v>
      </c>
      <c r="AV21" s="323">
        <f t="shared" si="25"/>
        <v>19.165559999999999</v>
      </c>
      <c r="AW21" s="323">
        <f t="shared" si="26"/>
        <v>19.491220000000002</v>
      </c>
      <c r="AX21" s="323">
        <f t="shared" si="27"/>
        <v>22.167760000000001</v>
      </c>
      <c r="AY21" s="323">
        <f t="shared" si="28"/>
        <v>16.413900000000002</v>
      </c>
      <c r="AZ21" s="323">
        <f t="shared" si="29"/>
        <v>19.8508</v>
      </c>
      <c r="BA21" s="323">
        <f t="shared" si="30"/>
        <v>25.759999999999998</v>
      </c>
      <c r="BB21" s="323">
        <f t="shared" si="31"/>
        <v>28.477000000000004</v>
      </c>
      <c r="BC21" s="323">
        <f t="shared" si="32"/>
        <v>14.759799999999998</v>
      </c>
      <c r="BD21" s="323">
        <f t="shared" si="33"/>
        <v>14.970400000000001</v>
      </c>
      <c r="BE21" s="323">
        <f t="shared" si="34"/>
        <v>17.3918</v>
      </c>
      <c r="BF21" s="323">
        <f t="shared" si="35"/>
        <v>8.1235999999999997</v>
      </c>
      <c r="BG21" s="112">
        <v>6070</v>
      </c>
      <c r="BH21" s="319">
        <v>1548</v>
      </c>
      <c r="BJ21" s="137"/>
      <c r="BK21" s="140"/>
    </row>
    <row r="22" spans="1:63" s="78" customFormat="1" x14ac:dyDescent="0.25">
      <c r="A22" s="132" t="s">
        <v>259</v>
      </c>
      <c r="B22" s="132" t="s">
        <v>63</v>
      </c>
      <c r="C22" s="133">
        <f t="shared" ca="1" si="21"/>
        <v>10.098214285714286</v>
      </c>
      <c r="D22" s="345" t="s">
        <v>675</v>
      </c>
      <c r="E22" s="134">
        <v>23</v>
      </c>
      <c r="F22" s="58">
        <f ca="1">-43570+$D$1+33-17</f>
        <v>101</v>
      </c>
      <c r="G22" s="135" t="s">
        <v>96</v>
      </c>
      <c r="H22" s="131">
        <v>3</v>
      </c>
      <c r="I22" s="102">
        <v>3.7</v>
      </c>
      <c r="J22" s="186">
        <f t="shared" si="5"/>
        <v>0.8961304772476234</v>
      </c>
      <c r="K22" s="98">
        <f t="shared" si="6"/>
        <v>33.300000000000004</v>
      </c>
      <c r="L22" s="98">
        <f t="shared" si="7"/>
        <v>59.2</v>
      </c>
      <c r="M22" s="136">
        <v>8</v>
      </c>
      <c r="N22" s="179">
        <f t="shared" si="8"/>
        <v>99</v>
      </c>
      <c r="O22" s="305">
        <v>43650</v>
      </c>
      <c r="P22" s="306">
        <f t="shared" ca="1" si="22"/>
        <v>6.7683633516304187E-2</v>
      </c>
      <c r="Q22" s="179">
        <v>6</v>
      </c>
      <c r="R22" s="200">
        <f t="shared" si="9"/>
        <v>0.92582009977255142</v>
      </c>
      <c r="S22" s="200">
        <f t="shared" si="10"/>
        <v>0.99928545900129484</v>
      </c>
      <c r="T22" s="112">
        <v>46830</v>
      </c>
      <c r="U22" s="270">
        <f t="shared" si="3"/>
        <v>-2090</v>
      </c>
      <c r="V22" s="112">
        <v>3132</v>
      </c>
      <c r="W22" s="109">
        <f t="shared" si="4"/>
        <v>14.952107279693486</v>
      </c>
      <c r="X22" s="185">
        <v>0</v>
      </c>
      <c r="Y22" s="186">
        <v>9</v>
      </c>
      <c r="Z22" s="185">
        <v>8</v>
      </c>
      <c r="AA22" s="186">
        <v>9</v>
      </c>
      <c r="AB22" s="185">
        <v>5</v>
      </c>
      <c r="AC22" s="186">
        <v>5</v>
      </c>
      <c r="AD22" s="185">
        <v>3</v>
      </c>
      <c r="AE22" s="314">
        <v>990</v>
      </c>
      <c r="AF22" s="252">
        <f t="shared" ca="1" si="11"/>
        <v>8.2988792743700657</v>
      </c>
      <c r="AG22" s="252">
        <f t="shared" ca="1" si="12"/>
        <v>8.9638141107639289</v>
      </c>
      <c r="AH22" s="109">
        <f t="shared" ca="1" si="13"/>
        <v>2.5334421655309289</v>
      </c>
      <c r="AI22" s="109">
        <f t="shared" ca="1" si="14"/>
        <v>4.1477010668446264</v>
      </c>
      <c r="AJ22" s="109">
        <f t="shared" ca="1" si="15"/>
        <v>4.2252708353708366</v>
      </c>
      <c r="AK22" s="109">
        <f t="shared" ca="1" si="16"/>
        <v>0.41710512886111417</v>
      </c>
      <c r="AL22" s="109">
        <f t="shared" ca="1" si="17"/>
        <v>0.51746698775347499</v>
      </c>
      <c r="AM22" s="105">
        <f t="shared" ca="1" si="18"/>
        <v>3.5415266034748756</v>
      </c>
      <c r="AN22" s="105">
        <f t="shared" ca="1" si="19"/>
        <v>3.8252859322722972</v>
      </c>
      <c r="AO22" s="179">
        <v>1</v>
      </c>
      <c r="AP22" s="179">
        <v>1</v>
      </c>
      <c r="AQ22" s="242">
        <f t="shared" si="20"/>
        <v>4.9399999999999999E-2</v>
      </c>
      <c r="AR22" s="323">
        <v>30</v>
      </c>
      <c r="AS22" s="323">
        <v>21</v>
      </c>
      <c r="AT22" s="323">
        <v>8</v>
      </c>
      <c r="AU22" s="323">
        <v>1</v>
      </c>
      <c r="AV22" s="323">
        <f t="shared" si="25"/>
        <v>31.385999999999999</v>
      </c>
      <c r="AW22" s="323">
        <f t="shared" si="26"/>
        <v>31.077000000000002</v>
      </c>
      <c r="AX22" s="323">
        <f t="shared" si="27"/>
        <v>34.956000000000003</v>
      </c>
      <c r="AY22" s="323">
        <f t="shared" si="28"/>
        <v>25.965</v>
      </c>
      <c r="AZ22" s="323">
        <f t="shared" si="29"/>
        <v>29.88</v>
      </c>
      <c r="BA22" s="323">
        <f t="shared" si="30"/>
        <v>34.5</v>
      </c>
      <c r="BB22" s="323">
        <f t="shared" si="31"/>
        <v>39.450000000000003</v>
      </c>
      <c r="BC22" s="323">
        <f t="shared" si="32"/>
        <v>20.130000000000003</v>
      </c>
      <c r="BD22" s="323">
        <f t="shared" si="33"/>
        <v>21.240000000000002</v>
      </c>
      <c r="BE22" s="323">
        <f t="shared" si="34"/>
        <v>22.83</v>
      </c>
      <c r="BF22" s="323">
        <f t="shared" si="35"/>
        <v>9.66</v>
      </c>
      <c r="BG22" s="112">
        <v>48920</v>
      </c>
      <c r="BH22" s="319">
        <v>3600</v>
      </c>
      <c r="BJ22" s="137"/>
      <c r="BK22" s="140"/>
    </row>
    <row r="23" spans="1:63" s="75" customFormat="1" x14ac:dyDescent="0.25">
      <c r="A23" s="132" t="s">
        <v>177</v>
      </c>
      <c r="B23" s="132" t="s">
        <v>64</v>
      </c>
      <c r="C23" s="133">
        <f ca="1">((34*112)-(E23*112)-(F23))/112</f>
        <v>-1.4375</v>
      </c>
      <c r="D23" s="642" t="s">
        <v>107</v>
      </c>
      <c r="E23" s="134">
        <v>35</v>
      </c>
      <c r="F23" s="139">
        <f ca="1">75-41471+$D$1-24-112-10-112-40-8-112-112-112-112-112-112-112-112-112-112-112-112-112-112-112-112-112</f>
        <v>49</v>
      </c>
      <c r="G23" s="135" t="s">
        <v>94</v>
      </c>
      <c r="H23" s="131">
        <v>2</v>
      </c>
      <c r="I23" s="102">
        <v>13.5</v>
      </c>
      <c r="J23" s="186">
        <f>LOG(I23+1)*4/3</f>
        <v>1.5484906696466332</v>
      </c>
      <c r="K23" s="98">
        <f>(H23)*(H23)*(I23)</f>
        <v>54</v>
      </c>
      <c r="L23" s="98">
        <f>(H23+1)*(H23+1)*I23</f>
        <v>121.5</v>
      </c>
      <c r="M23" s="136">
        <v>4.8</v>
      </c>
      <c r="N23" s="179">
        <f>M23*10+19</f>
        <v>67</v>
      </c>
      <c r="O23" s="179" t="s">
        <v>256</v>
      </c>
      <c r="P23" s="306">
        <v>1.5</v>
      </c>
      <c r="Q23" s="179">
        <v>7</v>
      </c>
      <c r="R23" s="200">
        <f>(Q23/7)^0.5</f>
        <v>1</v>
      </c>
      <c r="S23" s="200">
        <f>IF(Q23=7,1,((Q23+0.99)/7)^0.5)</f>
        <v>1</v>
      </c>
      <c r="T23" s="315">
        <v>13470</v>
      </c>
      <c r="U23" s="270">
        <f>T23-BG23</f>
        <v>-620</v>
      </c>
      <c r="V23" s="112">
        <v>3410</v>
      </c>
      <c r="W23" s="109">
        <f>T23/V23</f>
        <v>3.9501466275659824</v>
      </c>
      <c r="X23" s="185">
        <v>0</v>
      </c>
      <c r="Y23" s="186">
        <f>7+0.11+0.11+1/33</f>
        <v>7.2503030303030309</v>
      </c>
      <c r="Z23" s="185">
        <f>10+0.1*0.5+0.1*0.5+0.1*0.5+0.1*0.5+0.1*0.5+0.1+0.1+0.1*0.5+0.1*0.5+0.1*0.5</f>
        <v>10.600000000000005</v>
      </c>
      <c r="AA23" s="186">
        <v>12.95</v>
      </c>
      <c r="AB23" s="185">
        <v>9.9499999999999993</v>
      </c>
      <c r="AC23" s="186">
        <v>3.95</v>
      </c>
      <c r="AD23" s="185">
        <v>18</v>
      </c>
      <c r="AE23" s="314">
        <v>1470</v>
      </c>
      <c r="AF23" s="252">
        <f>(Z23+P23+J23)*(Q23/7)^0.5</f>
        <v>13.648490669646637</v>
      </c>
      <c r="AG23" s="252">
        <f>(Z23+P23+J23)*(IF(Q23=7, (Q23/7)^0.5, ((Q23+1)/7)^0.5))</f>
        <v>13.648490669646637</v>
      </c>
      <c r="AH23" s="109">
        <f>(((Y23+P23+J23)+(AB23+P23+J23)*2)/8)*(Q23/7)^0.5</f>
        <v>4.5369718799053658</v>
      </c>
      <c r="AI23" s="109">
        <f>(1.66*(AC23+J23+P23)+0.55*(AD23+J23+P23)-7.6)*(Q23/7)^0.5</f>
        <v>15.594164379919059</v>
      </c>
      <c r="AJ23" s="109">
        <f>((AD23+J23+P23)*0.7+(AC23+J23+P23)*0.3)*(Q23/7)^0.5</f>
        <v>16.833490669646633</v>
      </c>
      <c r="AK23" s="109">
        <f>(0.5*(AC23+P23+J23)+ 0.3*(AD23+P23+J23))/10</f>
        <v>0.98137925357173061</v>
      </c>
      <c r="AL23" s="109">
        <f>(0.4*(Y23+P23+J23)+0.3*(AD23+P23+J23))/10</f>
        <v>1.0434064680873854</v>
      </c>
      <c r="AM23" s="105">
        <f>(AD23+P23+(LOG(I23)*4/3))*(Q23/7)^0.5</f>
        <v>21.007111691326674</v>
      </c>
      <c r="AN23" s="105">
        <f>(AD23+P23+(LOG(I23)*4/3))*(IF(Q23=7, (Q23/7)^0.5, ((Q23+1)/7)^0.5))</f>
        <v>21.007111691326674</v>
      </c>
      <c r="AO23" s="179">
        <v>4</v>
      </c>
      <c r="AP23" s="179">
        <v>4</v>
      </c>
      <c r="AQ23" s="242">
        <f>IF(AO23=4,IF(AP23=0,0.137+0.0697,0.137+0.02),IF(AO23=3,IF(AP23=0,0.0958+0.0697,0.0958+0.02),IF(AO23=2,IF(AP23=0,0.0415+0.0697,0.0415+0.02),IF(AO23=1,IF(AP23=0,0.0294+0.0697,0.0294+0.02),IF(AO23=0,IF(AP23=0,0.0063+0.0697,0.0063+0.02))))))</f>
        <v>0.157</v>
      </c>
      <c r="AR23" s="316"/>
      <c r="AS23" s="316"/>
      <c r="AT23" s="316"/>
      <c r="AU23" s="316"/>
      <c r="AV23" s="242"/>
      <c r="AW23" s="242"/>
      <c r="AX23" s="242"/>
      <c r="AY23" s="242"/>
      <c r="AZ23" s="242"/>
      <c r="BA23" s="242"/>
      <c r="BB23" s="242"/>
      <c r="BC23" s="242"/>
      <c r="BD23" s="242"/>
      <c r="BE23" s="242"/>
      <c r="BF23" s="242"/>
      <c r="BG23" s="315">
        <v>14090</v>
      </c>
      <c r="BH23" s="321"/>
      <c r="BJ23" s="137"/>
      <c r="BK23" s="140"/>
    </row>
    <row r="24" spans="1:63" s="81" customFormat="1" x14ac:dyDescent="0.25">
      <c r="A24" s="132" t="s">
        <v>176</v>
      </c>
      <c r="B24" s="132" t="s">
        <v>64</v>
      </c>
      <c r="C24" s="133">
        <f ca="1">((34*112)-(E24*112)-(F24))/112</f>
        <v>1.4285714285714286</v>
      </c>
      <c r="D24" s="642" t="s">
        <v>225</v>
      </c>
      <c r="E24" s="134">
        <v>32</v>
      </c>
      <c r="F24" s="58">
        <f ca="1">7-41471+$D$1-112-111-112+4-112-116-112-112-112-112-112-112-112-112-112-112-112-112-112-112</f>
        <v>64</v>
      </c>
      <c r="G24" s="135" t="s">
        <v>220</v>
      </c>
      <c r="H24" s="131">
        <v>2</v>
      </c>
      <c r="I24" s="102">
        <v>13</v>
      </c>
      <c r="J24" s="186">
        <f>LOG(I24+1)*4/3</f>
        <v>1.5281707142376506</v>
      </c>
      <c r="K24" s="98">
        <f>(H24)*(H24)*(I24)</f>
        <v>52</v>
      </c>
      <c r="L24" s="98">
        <f>(H24+1)*(H24+1)*I24</f>
        <v>117</v>
      </c>
      <c r="M24" s="136">
        <v>5.8</v>
      </c>
      <c r="N24" s="179">
        <f>M24*10+19</f>
        <v>77</v>
      </c>
      <c r="O24" s="179" t="s">
        <v>256</v>
      </c>
      <c r="P24" s="306">
        <v>1.5</v>
      </c>
      <c r="Q24" s="179">
        <v>5</v>
      </c>
      <c r="R24" s="200">
        <f>(Q24/7)^0.5</f>
        <v>0.84515425472851657</v>
      </c>
      <c r="S24" s="200">
        <f>IF(Q24=7,1,((Q24+0.99)/7)^0.5)</f>
        <v>0.92504826128926143</v>
      </c>
      <c r="T24" s="112">
        <v>87920</v>
      </c>
      <c r="U24" s="270">
        <f>T24-BG24</f>
        <v>-3390</v>
      </c>
      <c r="V24" s="112">
        <v>12210</v>
      </c>
      <c r="W24" s="109">
        <f>T24/V24</f>
        <v>7.2006552006552003</v>
      </c>
      <c r="X24" s="185">
        <v>0</v>
      </c>
      <c r="Y24" s="186">
        <f>8+0.12+0.12+0.12</f>
        <v>8.3599999999999977</v>
      </c>
      <c r="Z24" s="185">
        <f>8.4+0.22+0.22+(0.22*75/90)+(0.05*15/90)+0.17+0.17+0.17+0.17+0.17+1/7+0.16+0.16+0.16+0.125+0.16+0.16+0.14+0.14+0.05*61/90+0.11+0.11*0.5+0.11+0.11+0.11+0.1+0.1+0.1*0.5+0.1*0.5+0.1+0.1*0.5+0.09*0.5</f>
        <v>12.253412698412699</v>
      </c>
      <c r="AA24" s="186">
        <v>12.95</v>
      </c>
      <c r="AB24" s="185">
        <f>6+0.33+0.33+0.33+0.3+0.25+0.25+0.24+0.24+0.23+0.2+0.2+0.18+0.15+0.15+0.15+0.15+0.13+0.13+0.12+0.1+0.08</f>
        <v>10.24</v>
      </c>
      <c r="AC24" s="186">
        <v>6.95</v>
      </c>
      <c r="AD24" s="185">
        <v>16</v>
      </c>
      <c r="AE24" s="314">
        <v>1760</v>
      </c>
      <c r="AF24" s="252">
        <f>(Z24+P24+J24)*(Q24/7)^0.5</f>
        <v>12.915295240190167</v>
      </c>
      <c r="AG24" s="252">
        <f>(Z24+P24+J24)*(IF(Q24=7, (Q24/7)^0.5, ((Q24+1)/7)^0.5))</f>
        <v>14.147997079782513</v>
      </c>
      <c r="AH24" s="109">
        <f>(((Y24+P24+J24)+(AB24+P24+J24)*2)/8)*(Q24/7)^0.5</f>
        <v>4.0065078494896431</v>
      </c>
      <c r="AI24" s="109">
        <f>(1.66*(AC24+J24+P24)+0.55*(AD24+J24+P24)-7.6)*(Q24/7)^0.5</f>
        <v>16.420719455109868</v>
      </c>
      <c r="AJ24" s="109">
        <f>((AD24+J24+P24)*0.7+(AC24+J24+P24)*0.3)*(Q24/7)^0.5</f>
        <v>13.787145637250584</v>
      </c>
      <c r="AK24" s="109">
        <f>(0.5*(AC24+P24+J24)+ 0.3*(AD24+P24+J24))/10</f>
        <v>1.069753657139012</v>
      </c>
      <c r="AL24" s="109">
        <f>(0.4*(Y24+P24+J24)+0.3*(AD24+P24+J24))/10</f>
        <v>1.0263719499966355</v>
      </c>
      <c r="AM24" s="105">
        <f>(AD24+P24+(LOG(I24)*4/3))*(Q24/7)^0.5</f>
        <v>16.045471409387268</v>
      </c>
      <c r="AN24" s="105">
        <f>(AD24+P24+(LOG(I24)*4/3))*(IF(Q24=7, (Q24/7)^0.5, ((Q24+1)/7)^0.5))</f>
        <v>17.576933273451232</v>
      </c>
      <c r="AO24" s="179">
        <v>3</v>
      </c>
      <c r="AP24" s="179">
        <v>2</v>
      </c>
      <c r="AQ24" s="242">
        <f>IF(AO24=4,IF(AP24=0,0.137+0.0697,0.137+0.02),IF(AO24=3,IF(AP24=0,0.0958+0.0697,0.0958+0.02),IF(AO24=2,IF(AP24=0,0.0415+0.0697,0.0415+0.02),IF(AO24=1,IF(AP24=0,0.0294+0.0697,0.0294+0.02),IF(AO24=0,IF(AP24=0,0.0063+0.0697,0.0063+0.02))))))</f>
        <v>0.1158</v>
      </c>
      <c r="AR24" s="316"/>
      <c r="AS24" s="316"/>
      <c r="AT24" s="316"/>
      <c r="AU24" s="316"/>
      <c r="AV24" s="242"/>
      <c r="AW24" s="242"/>
      <c r="AX24" s="242"/>
      <c r="AY24" s="242"/>
      <c r="AZ24" s="242"/>
      <c r="BA24" s="242"/>
      <c r="BB24" s="242"/>
      <c r="BC24" s="242"/>
      <c r="BD24" s="242"/>
      <c r="BE24" s="242"/>
      <c r="BF24" s="242"/>
      <c r="BG24" s="112">
        <v>91310</v>
      </c>
      <c r="BH24" s="319"/>
      <c r="BJ24" s="137"/>
      <c r="BK24" s="140"/>
    </row>
    <row r="25" spans="1:63" s="81" customFormat="1" x14ac:dyDescent="0.25">
      <c r="A25" s="100" t="s">
        <v>178</v>
      </c>
      <c r="B25" s="79" t="s">
        <v>64</v>
      </c>
      <c r="C25" s="133">
        <f ca="1">((34*112)-(E25*112)-(F25))/112</f>
        <v>-1.5714285714285714</v>
      </c>
      <c r="D25" s="642" t="s">
        <v>169</v>
      </c>
      <c r="E25" s="57">
        <v>35</v>
      </c>
      <c r="F25" s="58">
        <f ca="1">7-41471+$D$1-112-111-112-112-112-112-112-112-112-112-112-112-112-112-112-112-112-112-112</f>
        <v>64</v>
      </c>
      <c r="G25" s="80"/>
      <c r="H25" s="131">
        <v>0</v>
      </c>
      <c r="I25" s="59">
        <v>12</v>
      </c>
      <c r="J25" s="186">
        <f>LOG(I25+1)*4/3</f>
        <v>1.4852578030757824</v>
      </c>
      <c r="K25" s="98">
        <f>(H25)*(H25)*(I25)</f>
        <v>0</v>
      </c>
      <c r="L25" s="98">
        <f>(H25+1)*(H25+1)*I25</f>
        <v>12</v>
      </c>
      <c r="M25" s="92">
        <v>4.8</v>
      </c>
      <c r="N25" s="179">
        <f>M25*10+19</f>
        <v>67</v>
      </c>
      <c r="O25" s="179" t="s">
        <v>256</v>
      </c>
      <c r="P25" s="306">
        <v>1.5</v>
      </c>
      <c r="Q25" s="180">
        <v>5</v>
      </c>
      <c r="R25" s="200">
        <f>(Q25/7)^0.5</f>
        <v>0.84515425472851657</v>
      </c>
      <c r="S25" s="200">
        <f>IF(Q25=7,1,((Q25+0.99)/7)^0.5)</f>
        <v>0.92504826128926143</v>
      </c>
      <c r="T25" s="112">
        <v>9500</v>
      </c>
      <c r="U25" s="270">
        <f>T25-BG25</f>
        <v>-410</v>
      </c>
      <c r="V25" s="271">
        <v>8340</v>
      </c>
      <c r="W25" s="109">
        <f>T25/V25</f>
        <v>1.1390887290167866</v>
      </c>
      <c r="X25" s="185">
        <v>0</v>
      </c>
      <c r="Y25" s="186">
        <v>5.95</v>
      </c>
      <c r="Z25" s="185">
        <v>14.1</v>
      </c>
      <c r="AA25" s="186">
        <v>2.95</v>
      </c>
      <c r="AB25" s="185">
        <v>8.9499999999999993</v>
      </c>
      <c r="AC25" s="186">
        <v>5.95</v>
      </c>
      <c r="AD25" s="185">
        <v>16.95</v>
      </c>
      <c r="AE25" s="314">
        <v>1357</v>
      </c>
      <c r="AF25" s="252">
        <f>(Z25+P25+J25)*(Q25/7)^0.5</f>
        <v>14.439678325403083</v>
      </c>
      <c r="AG25" s="252">
        <f>(Z25+P25+J25)*(IF(Q25=7, (Q25/7)^0.5, ((Q25+1)/7)^0.5))</f>
        <v>15.817875083883381</v>
      </c>
      <c r="AH25" s="109">
        <f>(((Y25+P25+J25)+(AB25+P25+J25)*2)/8)*(Q25/7)^0.5</f>
        <v>3.4657423720585152</v>
      </c>
      <c r="AI25" s="109">
        <f>(1.66*(AC25+J25+P25)+0.55*(AD25+J25+P25)-7.6)*(Q25/7)^0.5</f>
        <v>15.37920414526894</v>
      </c>
      <c r="AJ25" s="109">
        <f>((AD25+J25+P25)*0.7+(AC25+J25+P25)*0.3)*(Q25/7)^0.5</f>
        <v>14.059358910775252</v>
      </c>
      <c r="AK25" s="109">
        <f>(0.5*(AC25+P25+J25)+ 0.3*(AD25+P25+J25))/10</f>
        <v>1.0448206242460625</v>
      </c>
      <c r="AL25" s="109">
        <f>(0.4*(Y25+P25+J25)+0.3*(AD25+P25+J25))/10</f>
        <v>0.95546804621530479</v>
      </c>
      <c r="AM25" s="105">
        <f>(AD25+P25+(LOG(I25)*4/3))*(Q25/7)^0.5</f>
        <v>16.809195495368293</v>
      </c>
      <c r="AN25" s="105">
        <f>(AD25+P25+(LOG(I25)*4/3))*(IF(Q25=7, (Q25/7)^0.5, ((Q25+1)/7)^0.5))</f>
        <v>18.413551092654878</v>
      </c>
      <c r="AO25" s="180">
        <v>2</v>
      </c>
      <c r="AP25" s="180">
        <v>1</v>
      </c>
      <c r="AQ25" s="242">
        <f>IF(AO25=4,IF(AP25=0,0.137+0.0697,0.137+0.02),IF(AO25=3,IF(AP25=0,0.0958+0.0697,0.0958+0.02),IF(AO25=2,IF(AP25=0,0.0415+0.0697,0.0415+0.02),IF(AO25=1,IF(AP25=0,0.0294+0.0697,0.0294+0.02),IF(AO25=0,IF(AP25=0,0.0063+0.0697,0.0063+0.02))))))</f>
        <v>6.1499999999999999E-2</v>
      </c>
      <c r="AR25" s="316"/>
      <c r="AS25" s="316"/>
      <c r="AT25" s="316"/>
      <c r="AU25" s="316"/>
      <c r="AV25" s="242"/>
      <c r="AW25" s="242"/>
      <c r="AX25" s="242"/>
      <c r="AY25" s="242"/>
      <c r="AZ25" s="242"/>
      <c r="BA25" s="242"/>
      <c r="BB25" s="242"/>
      <c r="BC25" s="242"/>
      <c r="BD25" s="242"/>
      <c r="BE25" s="242"/>
      <c r="BF25" s="242"/>
      <c r="BG25" s="112">
        <v>9910</v>
      </c>
      <c r="BH25" s="319"/>
      <c r="BJ25" s="137"/>
      <c r="BK25" s="140"/>
    </row>
    <row r="26" spans="1:63" s="75" customFormat="1" x14ac:dyDescent="0.25">
      <c r="A26" s="132" t="s">
        <v>224</v>
      </c>
      <c r="B26" s="132" t="s">
        <v>64</v>
      </c>
      <c r="C26" s="133">
        <f ca="1">((34*112)-(E26*112)-(F26))/112</f>
        <v>-0.9017857142857143</v>
      </c>
      <c r="D26" s="642" t="s">
        <v>102</v>
      </c>
      <c r="E26" s="134">
        <v>34</v>
      </c>
      <c r="F26" s="139">
        <f ca="1">74-41471+$D$1-112-112-29-112-112-112-112-112-112-112-112-112-112-112-112-112-112-112-112-112</f>
        <v>101</v>
      </c>
      <c r="G26" s="135" t="s">
        <v>105</v>
      </c>
      <c r="H26" s="131">
        <v>3</v>
      </c>
      <c r="I26" s="102">
        <v>14.3</v>
      </c>
      <c r="J26" s="186">
        <f>LOG(I26+1)*4/3</f>
        <v>1.5795885744234652</v>
      </c>
      <c r="K26" s="98">
        <f>(H26)*(H26)*(I26)</f>
        <v>128.70000000000002</v>
      </c>
      <c r="L26" s="98">
        <f>(H26+1)*(H26+1)*I26</f>
        <v>228.8</v>
      </c>
      <c r="M26" s="136">
        <v>5.2</v>
      </c>
      <c r="N26" s="179">
        <f>M26*10+19</f>
        <v>71</v>
      </c>
      <c r="O26" s="179" t="s">
        <v>256</v>
      </c>
      <c r="P26" s="306">
        <v>1.5</v>
      </c>
      <c r="Q26" s="179">
        <v>5</v>
      </c>
      <c r="R26" s="200">
        <f>(Q26/7)^0.5</f>
        <v>0.84515425472851657</v>
      </c>
      <c r="S26" s="200">
        <f>IF(Q26=7,1,((Q26+0.99)/7)^0.5)</f>
        <v>0.92504826128926143</v>
      </c>
      <c r="T26" s="112">
        <v>4320</v>
      </c>
      <c r="U26" s="270">
        <f>T26-BG26</f>
        <v>3230</v>
      </c>
      <c r="V26" s="112">
        <v>1200</v>
      </c>
      <c r="W26" s="109">
        <f>T26/V26</f>
        <v>3.6</v>
      </c>
      <c r="X26" s="185">
        <v>0</v>
      </c>
      <c r="Y26" s="186">
        <f>5+(5/7)+0.07+0.21+0.07+0.07+0.07+0.07+0.07+0.07+0.06+0.03+0.03+0.03+0.03+0.03+0.2*33/90+0.03+0.03+0.02+0.02+0.01+0.01+0.01+0.01</f>
        <v>6.8376190476190493</v>
      </c>
      <c r="Z26" s="185">
        <v>8.9499999999999993</v>
      </c>
      <c r="AA26" s="186">
        <f>7.9+0.165+0.165+0.21+0.13+0.03+0.03+0.03+0.02+0.02+0.02+0.01+0.01</f>
        <v>8.7399999999999967</v>
      </c>
      <c r="AB26" s="185">
        <v>9.9499999999999993</v>
      </c>
      <c r="AC26" s="186">
        <v>6.95</v>
      </c>
      <c r="AD26" s="185">
        <f>17.99+0.2+0.15+0.15+0.15+0.15+0.11+0.1</f>
        <v>18.999999999999993</v>
      </c>
      <c r="AE26" s="314">
        <v>1271</v>
      </c>
      <c r="AF26" s="252">
        <f>(Z26+P26+J26)*(Q26/7)^0.5</f>
        <v>10.166857966307541</v>
      </c>
      <c r="AG26" s="252">
        <f>(Z26+P26+J26)*(IF(Q26=7, (Q26/7)^0.5, ((Q26+1)/7)^0.5))</f>
        <v>11.137234894195476</v>
      </c>
      <c r="AH26" s="109">
        <f>(((Y26+P26+J26)+(AB26+P26+J26)*2)/8)*(Q26/7)^0.5</f>
        <v>3.8006993323584273</v>
      </c>
      <c r="AI26" s="109">
        <f>(1.66*(AC26+J26+P26)+0.55*(AD26+J26+P26)-7.6)*(Q26/7)^0.5</f>
        <v>17.911261786916143</v>
      </c>
      <c r="AJ26" s="109">
        <f>((AD26+J26+P26)*0.7+(AC26+J26+P26)*0.3)*(Q26/7)^0.5</f>
        <v>15.60542559548554</v>
      </c>
      <c r="AK26" s="109">
        <f>(0.5*(AC26+P26+J26)+ 0.3*(AD26+P26+J26))/10</f>
        <v>1.1638670859538771</v>
      </c>
      <c r="AL26" s="109">
        <f>(0.4*(Y26+P26+J26)+0.3*(AD26+P26+J26))/10</f>
        <v>1.0590759621144044</v>
      </c>
      <c r="AM26" s="105">
        <f>(AD26+P26+(LOG(I26)*4/3))*(Q26/7)^0.5</f>
        <v>18.627578445540959</v>
      </c>
      <c r="AN26" s="105">
        <f>(AD26+P26+(LOG(I26)*4/3))*(IF(Q26=7, (Q26/7)^0.5, ((Q26+1)/7)^0.5))</f>
        <v>20.405489812639601</v>
      </c>
      <c r="AO26" s="179">
        <v>4</v>
      </c>
      <c r="AP26" s="179">
        <v>2</v>
      </c>
      <c r="AQ26" s="242">
        <f>IF(AO26=4,IF(AP26=0,0.137+0.0697,0.137+0.02),IF(AO26=3,IF(AP26=0,0.0958+0.0697,0.0958+0.02),IF(AO26=2,IF(AP26=0,0.0415+0.0697,0.0415+0.02),IF(AO26=1,IF(AP26=0,0.0294+0.0697,0.0294+0.02),IF(AO26=0,IF(AP26=0,0.0063+0.0697,0.0063+0.02))))))</f>
        <v>0.157</v>
      </c>
      <c r="AR26" s="316"/>
      <c r="AS26" s="316"/>
      <c r="AT26" s="316"/>
      <c r="AU26" s="316"/>
      <c r="AV26" s="242"/>
      <c r="AW26" s="242"/>
      <c r="AX26" s="242"/>
      <c r="AY26" s="242"/>
      <c r="AZ26" s="242"/>
      <c r="BA26" s="242"/>
      <c r="BB26" s="242"/>
      <c r="BC26" s="242"/>
      <c r="BD26" s="242"/>
      <c r="BE26" s="242"/>
      <c r="BF26" s="242"/>
      <c r="BG26" s="112">
        <v>1090</v>
      </c>
      <c r="BH26" s="319"/>
      <c r="BJ26" s="137"/>
      <c r="BK26" s="140"/>
    </row>
    <row r="27" spans="1:63" s="82" customFormat="1" x14ac:dyDescent="0.25">
      <c r="A27" s="132" t="s">
        <v>250</v>
      </c>
      <c r="B27" s="132" t="s">
        <v>64</v>
      </c>
      <c r="C27" s="133">
        <f ca="1">((34*112)-(E27*112)-(F27))/112</f>
        <v>1.8214285714285714</v>
      </c>
      <c r="D27" s="642" t="s">
        <v>251</v>
      </c>
      <c r="E27" s="57">
        <v>32</v>
      </c>
      <c r="F27" s="58">
        <f ca="1">7-41471+$D$1-112-111-43-112-112-1-112-112-112-112-112-112-112-112-112-112-112-112-112-112-112</f>
        <v>20</v>
      </c>
      <c r="G27" s="80"/>
      <c r="H27" s="312">
        <v>5</v>
      </c>
      <c r="I27" s="59">
        <v>6.2</v>
      </c>
      <c r="J27" s="186">
        <f>LOG(I27+1)*4/3</f>
        <v>1.1431099952416914</v>
      </c>
      <c r="K27" s="98">
        <f>(H27)*(H27)*(I27)</f>
        <v>155</v>
      </c>
      <c r="L27" s="98">
        <f>(H27+1)*(H27+1)*I27</f>
        <v>223.20000000000002</v>
      </c>
      <c r="M27" s="92">
        <v>6</v>
      </c>
      <c r="N27" s="179">
        <f>M27*10+19</f>
        <v>79</v>
      </c>
      <c r="O27" s="179" t="s">
        <v>256</v>
      </c>
      <c r="P27" s="306">
        <v>1.5</v>
      </c>
      <c r="Q27" s="180">
        <v>5</v>
      </c>
      <c r="R27" s="200">
        <f>(Q27/7)^0.5</f>
        <v>0.84515425472851657</v>
      </c>
      <c r="S27" s="200">
        <f>IF(Q27=7,1,((Q27+0.99)/7)^0.5)</f>
        <v>0.92504826128926143</v>
      </c>
      <c r="T27" s="271">
        <v>11140</v>
      </c>
      <c r="U27" s="270">
        <f>T27-BG27</f>
        <v>1010</v>
      </c>
      <c r="V27" s="271">
        <v>2040</v>
      </c>
      <c r="W27" s="109">
        <f>T27/V27</f>
        <v>5.4607843137254903</v>
      </c>
      <c r="X27" s="185">
        <v>0</v>
      </c>
      <c r="Y27" s="186">
        <f>4+0.01+0.01</f>
        <v>4.0199999999999996</v>
      </c>
      <c r="Z27" s="185">
        <v>6</v>
      </c>
      <c r="AA27" s="186">
        <f>4.9+0.25+0.05+0.05+0.05+0.04+0.03+0.03+0.03+0.02+0.02+0.02+0.02</f>
        <v>5.5099999999999989</v>
      </c>
      <c r="AB27" s="185">
        <v>10.95</v>
      </c>
      <c r="AC27" s="186">
        <v>7.95</v>
      </c>
      <c r="AD27" s="185">
        <v>14</v>
      </c>
      <c r="AE27" s="314">
        <v>974</v>
      </c>
      <c r="AF27" s="252">
        <f>(Z27+P27+J27)*(Q27/7)^0.5</f>
        <v>7.3047611865650834</v>
      </c>
      <c r="AG27" s="252">
        <f>(Z27+P27+J27)*(IF(Q27=7, (Q27/7)^0.5, ((Q27+1)/7)^0.5))</f>
        <v>8.0019649581397978</v>
      </c>
      <c r="AH27" s="109">
        <f>(((Y27+P27+J27)+(AB27+P27+J27)*2)/8)*(Q27/7)^0.5</f>
        <v>3.5759881571431378</v>
      </c>
      <c r="AI27" s="109">
        <f>(1.66*(AC27+J27+P27)+0.55*(AD27+J27+P27)-7.6)*(Q27/7)^0.5</f>
        <v>16.17479292973379</v>
      </c>
      <c r="AJ27" s="109">
        <f>((AD27+J27+P27)*0.7+(AC27+J27+P27)*0.3)*(Q27/7)^0.5</f>
        <v>12.532040252060957</v>
      </c>
      <c r="AK27" s="109">
        <f>(0.5*(AC27+P27+J27)+ 0.3*(AD27+P27+J27))/10</f>
        <v>1.0289487996193352</v>
      </c>
      <c r="AL27" s="109">
        <f>(0.4*(Y27+P27+J27)+0.3*(AD27+P27+J27))/10</f>
        <v>0.76581769966691837</v>
      </c>
      <c r="AM27" s="105">
        <f>(AD27+P27+(LOG(I27)*4/3))*(Q27/7)^0.5</f>
        <v>13.992815225346629</v>
      </c>
      <c r="AN27" s="105">
        <f>(AD27+P27+(LOG(I27)*4/3))*(IF(Q27=7, (Q27/7)^0.5, ((Q27+1)/7)^0.5))</f>
        <v>15.328361083848163</v>
      </c>
      <c r="AO27" s="180">
        <v>2</v>
      </c>
      <c r="AP27" s="180">
        <v>1</v>
      </c>
      <c r="AQ27" s="242">
        <f>IF(AO27=4,IF(AP27=0,0.137+0.0697,0.137+0.02),IF(AO27=3,IF(AP27=0,0.0958+0.0697,0.0958+0.02),IF(AO27=2,IF(AP27=0,0.0415+0.0697,0.0415+0.02),IF(AO27=1,IF(AP27=0,0.0294+0.0697,0.0294+0.02),IF(AO27=0,IF(AP27=0,0.0063+0.0697,0.0063+0.02))))))</f>
        <v>6.1499999999999999E-2</v>
      </c>
      <c r="AR27" s="316"/>
      <c r="AS27" s="316"/>
      <c r="AT27" s="316"/>
      <c r="AU27" s="316"/>
      <c r="AV27" s="242"/>
      <c r="AW27" s="242"/>
      <c r="AX27" s="242"/>
      <c r="AY27" s="242"/>
      <c r="AZ27" s="242"/>
      <c r="BA27" s="242"/>
      <c r="BB27" s="242"/>
      <c r="BC27" s="242"/>
      <c r="BD27" s="242"/>
      <c r="BE27" s="242"/>
      <c r="BF27" s="242"/>
      <c r="BG27" s="271">
        <v>10130</v>
      </c>
      <c r="BH27" s="320"/>
      <c r="BJ27" s="137"/>
      <c r="BK27" s="140"/>
    </row>
    <row r="28" spans="1:63" x14ac:dyDescent="0.25">
      <c r="G28" s="2"/>
      <c r="H28"/>
      <c r="I28" s="84"/>
      <c r="J28" s="187"/>
      <c r="K28"/>
      <c r="T28" s="68">
        <f>SUM(T4:T27)</f>
        <v>413540</v>
      </c>
      <c r="U28" s="68">
        <f t="shared" ref="U28:V28" si="36">SUM(U4:U27)</f>
        <v>3770</v>
      </c>
      <c r="V28" s="68">
        <f t="shared" si="36"/>
        <v>84582</v>
      </c>
      <c r="W28" s="108">
        <f t="shared" si="4"/>
        <v>4.8892199285900073</v>
      </c>
      <c r="X28"/>
      <c r="AD28" s="106"/>
      <c r="AE28" s="68"/>
      <c r="AH28" s="68"/>
      <c r="AI28" s="68"/>
      <c r="AJ28" s="68"/>
      <c r="AK28" s="68"/>
      <c r="AL28" s="68"/>
      <c r="AM28" s="68"/>
      <c r="AN28" s="68"/>
    </row>
    <row r="29" spans="1:63" x14ac:dyDescent="0.25">
      <c r="G29" s="182"/>
      <c r="K29" s="182"/>
      <c r="M29" s="182"/>
      <c r="N29" s="182"/>
      <c r="Q29" s="182"/>
      <c r="T29" s="107"/>
      <c r="U29" s="107"/>
      <c r="V29" s="107"/>
      <c r="W29" s="89"/>
      <c r="AE29" s="89"/>
      <c r="AH29" s="89"/>
      <c r="AI29" s="89"/>
      <c r="AJ29" s="89"/>
      <c r="AK29" s="89"/>
      <c r="AL29" s="89"/>
      <c r="AM29" s="89"/>
      <c r="AN29" s="89"/>
    </row>
    <row r="30" spans="1:63" x14ac:dyDescent="0.25">
      <c r="I30" s="83"/>
      <c r="Y30" s="48"/>
    </row>
    <row r="31" spans="1:63" x14ac:dyDescent="0.25">
      <c r="D31" s="253"/>
      <c r="I31" s="83"/>
      <c r="P31" s="49"/>
      <c r="Y31" s="48"/>
      <c r="AE31" s="297"/>
    </row>
    <row r="32" spans="1:63" x14ac:dyDescent="0.25">
      <c r="D32" s="253"/>
      <c r="I32" s="83"/>
      <c r="P32" s="49"/>
      <c r="V32" s="304"/>
      <c r="Y32" s="48"/>
    </row>
    <row r="33" spans="3:40" x14ac:dyDescent="0.25">
      <c r="D33" s="254"/>
      <c r="I33" s="83"/>
      <c r="V33" s="304"/>
      <c r="Y33" s="48"/>
    </row>
    <row r="34" spans="3:40" x14ac:dyDescent="0.25">
      <c r="I34" s="83"/>
      <c r="Y34" s="48"/>
    </row>
    <row r="35" spans="3:40" x14ac:dyDescent="0.25">
      <c r="I35" s="83"/>
      <c r="V35" s="304"/>
      <c r="Y35" s="48"/>
    </row>
    <row r="36" spans="3:40" x14ac:dyDescent="0.25">
      <c r="I36" s="83"/>
      <c r="Y36" s="48"/>
    </row>
    <row r="37" spans="3:40" x14ac:dyDescent="0.25">
      <c r="I37" s="83"/>
      <c r="Y37" s="48"/>
    </row>
    <row r="38" spans="3:40" x14ac:dyDescent="0.25">
      <c r="C38"/>
      <c r="D38"/>
      <c r="G38"/>
      <c r="H38"/>
      <c r="I38" s="83"/>
      <c r="K38"/>
      <c r="M38"/>
      <c r="N38"/>
      <c r="O38"/>
      <c r="P38"/>
      <c r="Q38"/>
      <c r="R38"/>
      <c r="S38"/>
      <c r="V38"/>
      <c r="W38"/>
      <c r="X38"/>
      <c r="AE38"/>
      <c r="AH38"/>
      <c r="AI38"/>
      <c r="AK38"/>
      <c r="AL38"/>
      <c r="AM38"/>
      <c r="AN38"/>
    </row>
    <row r="39" spans="3:40" x14ac:dyDescent="0.25">
      <c r="C39"/>
      <c r="D39"/>
      <c r="G39"/>
      <c r="H39"/>
      <c r="I39" s="83"/>
      <c r="K39"/>
      <c r="M39"/>
      <c r="N39"/>
      <c r="O39"/>
      <c r="P39"/>
      <c r="Q39"/>
      <c r="R39"/>
      <c r="S39"/>
      <c r="V39"/>
      <c r="W39"/>
      <c r="X39"/>
      <c r="AE39"/>
      <c r="AH39"/>
      <c r="AI39"/>
      <c r="AK39"/>
      <c r="AL39"/>
      <c r="AM39"/>
      <c r="AN39"/>
    </row>
    <row r="40" spans="3:40" x14ac:dyDescent="0.25">
      <c r="C40"/>
      <c r="D40"/>
      <c r="G40"/>
      <c r="H40"/>
      <c r="I40" s="83"/>
      <c r="K40"/>
      <c r="M40"/>
      <c r="N40"/>
      <c r="O40"/>
      <c r="P40"/>
      <c r="Q40"/>
      <c r="R40"/>
      <c r="S40"/>
      <c r="V40"/>
      <c r="W40"/>
      <c r="X40"/>
      <c r="AE40"/>
      <c r="AH40"/>
      <c r="AI40"/>
      <c r="AK40"/>
      <c r="AL40"/>
      <c r="AM40"/>
      <c r="AN40"/>
    </row>
    <row r="41" spans="3:40" x14ac:dyDescent="0.25">
      <c r="C41"/>
      <c r="D41"/>
      <c r="G41"/>
      <c r="H41"/>
      <c r="I41" s="83"/>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Q5:Q27">
    <cfRule type="cellIs" dxfId="53" priority="458" operator="greaterThan">
      <formula>6</formula>
    </cfRule>
    <cfRule type="cellIs" dxfId="52" priority="459" operator="lessThan">
      <formula>5</formula>
    </cfRule>
  </conditionalFormatting>
  <conditionalFormatting sqref="R5:S27">
    <cfRule type="cellIs" dxfId="51" priority="452" operator="greaterThan">
      <formula>0.95</formula>
    </cfRule>
    <cfRule type="cellIs" dxfId="50" priority="453" operator="lessThan">
      <formula>0.85</formula>
    </cfRule>
  </conditionalFormatting>
  <conditionalFormatting sqref="Q4">
    <cfRule type="cellIs" dxfId="49" priority="331" operator="greaterThan">
      <formula>6</formula>
    </cfRule>
    <cfRule type="cellIs" dxfId="48" priority="332" operator="lessThan">
      <formula>5</formula>
    </cfRule>
  </conditionalFormatting>
  <conditionalFormatting sqref="R4:S4">
    <cfRule type="cellIs" dxfId="47" priority="329" operator="greaterThan">
      <formula>0.95</formula>
    </cfRule>
    <cfRule type="cellIs" dxfId="46" priority="330" operator="lessThan">
      <formula>0.85</formula>
    </cfRule>
  </conditionalFormatting>
  <conditionalFormatting sqref="AQ4:AQ27">
    <cfRule type="cellIs" dxfId="45" priority="47" operator="lessThan">
      <formula>0.07</formula>
    </cfRule>
    <cfRule type="cellIs" dxfId="44" priority="48" operator="greaterThan">
      <formula>0.1</formula>
    </cfRule>
  </conditionalFormatting>
  <conditionalFormatting sqref="V4:V27">
    <cfRule type="dataBar" priority="3461">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3">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7">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1">
      <colorScale>
        <cfvo type="min"/>
        <cfvo type="percentile" val="50"/>
        <cfvo type="max"/>
        <color rgb="FFF8696B"/>
        <color rgb="FFFFEB84"/>
        <color rgb="FF63BE7B"/>
      </colorScale>
    </cfRule>
  </conditionalFormatting>
  <conditionalFormatting sqref="AF4:AG27">
    <cfRule type="colorScale" priority="3473">
      <colorScale>
        <cfvo type="min"/>
        <cfvo type="percentile" val="50"/>
        <cfvo type="max"/>
        <color rgb="FFF8696B"/>
        <color rgb="FFFFEB84"/>
        <color rgb="FF63BE7B"/>
      </colorScale>
    </cfRule>
  </conditionalFormatting>
  <conditionalFormatting sqref="AH4:AH27">
    <cfRule type="colorScale" priority="3475">
      <colorScale>
        <cfvo type="min"/>
        <cfvo type="percentile" val="50"/>
        <cfvo type="max"/>
        <color rgb="FFF8696B"/>
        <color rgb="FFFCFCFF"/>
        <color rgb="FF5A8AC6"/>
      </colorScale>
    </cfRule>
  </conditionalFormatting>
  <conditionalFormatting sqref="AI4:AI27">
    <cfRule type="colorScale" priority="3477">
      <colorScale>
        <cfvo type="min"/>
        <cfvo type="percentile" val="50"/>
        <cfvo type="max"/>
        <color rgb="FFF8696B"/>
        <color rgb="FFFFEB84"/>
        <color rgb="FF63BE7B"/>
      </colorScale>
    </cfRule>
  </conditionalFormatting>
  <conditionalFormatting sqref="AJ4:AJ27">
    <cfRule type="colorScale" priority="3479">
      <colorScale>
        <cfvo type="min"/>
        <cfvo type="percentile" val="50"/>
        <cfvo type="max"/>
        <color rgb="FFF8696B"/>
        <color rgb="FFFCFCFF"/>
        <color rgb="FF5A8AC6"/>
      </colorScale>
    </cfRule>
  </conditionalFormatting>
  <conditionalFormatting sqref="AK4:AL27">
    <cfRule type="colorScale" priority="3481">
      <colorScale>
        <cfvo type="min"/>
        <cfvo type="percentile" val="50"/>
        <cfvo type="max"/>
        <color rgb="FFF8696B"/>
        <color rgb="FFFFEB84"/>
        <color rgb="FF63BE7B"/>
      </colorScale>
    </cfRule>
  </conditionalFormatting>
  <conditionalFormatting sqref="AM4:AN27">
    <cfRule type="colorScale" priority="3483">
      <colorScale>
        <cfvo type="min"/>
        <cfvo type="percentile" val="50"/>
        <cfvo type="max"/>
        <color rgb="FFF8696B"/>
        <color rgb="FFFCFCFF"/>
        <color rgb="FF5A8AC6"/>
      </colorScale>
    </cfRule>
  </conditionalFormatting>
  <conditionalFormatting sqref="X4:AD27">
    <cfRule type="cellIs" dxfId="43" priority="3485" operator="greaterThan">
      <formula>10</formula>
    </cfRule>
    <cfRule type="colorScale" priority="3486">
      <colorScale>
        <cfvo type="min"/>
        <cfvo type="max"/>
        <color rgb="FFFCFCFF"/>
        <color rgb="FF63BE7B"/>
      </colorScale>
    </cfRule>
  </conditionalFormatting>
  <conditionalFormatting sqref="I4:I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3">
      <colorScale>
        <cfvo type="min"/>
        <cfvo type="max"/>
        <color rgb="FFFCFCFF"/>
        <color rgb="FFF8696B"/>
      </colorScale>
    </cfRule>
  </conditionalFormatting>
  <conditionalFormatting sqref="AV4:BF27">
    <cfRule type="colorScale" priority="3495">
      <colorScale>
        <cfvo type="min"/>
        <cfvo type="percentile" val="50"/>
        <cfvo type="max"/>
        <color rgb="FFF8696B"/>
        <color rgb="FFFFEB84"/>
        <color rgb="FF63BE7B"/>
      </colorScale>
    </cfRule>
  </conditionalFormatting>
  <conditionalFormatting sqref="BH4:BH27">
    <cfRule type="dataBar" priority="3497">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1">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4">
      <dataBar>
        <cfvo type="min"/>
        <cfvo type="max"/>
        <color rgb="FF638EC6"/>
      </dataBar>
      <extLst>
        <ext xmlns:x14="http://schemas.microsoft.com/office/spreadsheetml/2009/9/main" uri="{B025F937-C7B1-47D3-B67F-A62EFF666E3E}">
          <x14:id>{62C639F6-494B-4689-8EDE-D5B6B8730F01}</x14:id>
        </ext>
      </extLst>
    </cfRule>
  </conditionalFormatting>
  <conditionalFormatting sqref="P4:P27">
    <cfRule type="colorScale" priority="2">
      <colorScale>
        <cfvo type="min"/>
        <cfvo type="max"/>
        <color rgb="FFFFEF9C"/>
        <color rgb="FF63BE7B"/>
      </colorScale>
    </cfRule>
  </conditionalFormatting>
  <conditionalFormatting sqref="N4:N27">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62C639F6-494B-4689-8EDE-D5B6B8730F01}">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D11" sqref="D11"/>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4" t="s">
        <v>447</v>
      </c>
      <c r="B1" s="644"/>
      <c r="C1" s="644"/>
      <c r="D1" s="644"/>
      <c r="E1" s="644"/>
      <c r="F1" s="375"/>
      <c r="G1" s="375"/>
      <c r="H1" s="375"/>
      <c r="I1" s="375"/>
      <c r="J1" s="375"/>
      <c r="K1" s="375"/>
      <c r="L1" s="375"/>
      <c r="M1" s="375"/>
      <c r="N1" s="375"/>
      <c r="O1" s="375"/>
      <c r="P1" s="375"/>
      <c r="Q1" s="375"/>
      <c r="R1" s="375"/>
      <c r="S1" s="375"/>
      <c r="T1" s="375"/>
      <c r="U1" s="374"/>
      <c r="V1" s="374"/>
      <c r="W1" s="374"/>
      <c r="X1" s="374"/>
      <c r="Y1" s="374"/>
      <c r="Z1" s="374"/>
      <c r="AA1" s="374"/>
      <c r="AB1" s="374"/>
      <c r="AC1" s="374"/>
      <c r="AD1" s="374"/>
      <c r="AE1" s="374"/>
      <c r="AF1" s="374"/>
      <c r="AG1" s="374"/>
      <c r="AH1" s="376"/>
      <c r="AI1" s="377"/>
      <c r="AK1" s="647" t="s">
        <v>607</v>
      </c>
      <c r="AL1" s="647"/>
      <c r="AM1" s="647"/>
      <c r="AN1" s="647"/>
      <c r="AO1" s="427"/>
      <c r="AP1" s="427"/>
      <c r="AQ1" s="427"/>
      <c r="AR1" s="427"/>
      <c r="AS1" s="427"/>
      <c r="AT1" s="427"/>
      <c r="AU1" s="427"/>
      <c r="AV1" s="427"/>
      <c r="AW1" s="427"/>
      <c r="AX1" s="427"/>
      <c r="AY1" s="427"/>
      <c r="AZ1" s="427"/>
      <c r="BA1" s="427"/>
      <c r="BB1" s="427"/>
      <c r="BC1" s="427"/>
      <c r="BD1" s="441" t="s">
        <v>590</v>
      </c>
    </row>
    <row r="2" spans="1:56" x14ac:dyDescent="0.25">
      <c r="A2" s="378" t="s">
        <v>71</v>
      </c>
      <c r="B2" s="378" t="s">
        <v>448</v>
      </c>
      <c r="C2" s="378" t="s">
        <v>61</v>
      </c>
      <c r="D2" s="379" t="s">
        <v>449</v>
      </c>
      <c r="E2" s="378" t="s">
        <v>450</v>
      </c>
      <c r="F2" s="378" t="s">
        <v>331</v>
      </c>
      <c r="G2" s="378" t="s">
        <v>1</v>
      </c>
      <c r="H2" s="378" t="s">
        <v>451</v>
      </c>
      <c r="I2" s="380" t="s">
        <v>2</v>
      </c>
      <c r="J2" s="380" t="s">
        <v>451</v>
      </c>
      <c r="K2" s="378" t="s">
        <v>321</v>
      </c>
      <c r="L2" s="378" t="s">
        <v>451</v>
      </c>
      <c r="M2" s="380" t="s">
        <v>260</v>
      </c>
      <c r="N2" s="380" t="s">
        <v>451</v>
      </c>
      <c r="O2" s="378" t="s">
        <v>262</v>
      </c>
      <c r="P2" s="378" t="s">
        <v>451</v>
      </c>
      <c r="Q2" s="380" t="s">
        <v>322</v>
      </c>
      <c r="R2" s="380" t="s">
        <v>451</v>
      </c>
      <c r="S2" s="378" t="s">
        <v>0</v>
      </c>
      <c r="T2" s="378" t="s">
        <v>451</v>
      </c>
      <c r="U2" s="379" t="s">
        <v>452</v>
      </c>
      <c r="V2" s="379" t="s">
        <v>75</v>
      </c>
      <c r="W2" s="379" t="s">
        <v>67</v>
      </c>
      <c r="X2" s="379" t="s">
        <v>453</v>
      </c>
      <c r="Y2" s="379" t="s">
        <v>0</v>
      </c>
      <c r="Z2" s="379" t="s">
        <v>454</v>
      </c>
      <c r="AA2" s="379" t="s">
        <v>1</v>
      </c>
      <c r="AB2" s="379" t="s">
        <v>2</v>
      </c>
      <c r="AC2" s="379" t="s">
        <v>321</v>
      </c>
      <c r="AD2" s="379" t="s">
        <v>260</v>
      </c>
      <c r="AE2" s="379" t="s">
        <v>262</v>
      </c>
      <c r="AF2" s="379" t="s">
        <v>322</v>
      </c>
      <c r="AG2" s="379" t="s">
        <v>0</v>
      </c>
      <c r="AH2" s="381" t="s">
        <v>455</v>
      </c>
      <c r="AI2" s="382"/>
      <c r="BD2" s="442" t="s">
        <v>591</v>
      </c>
    </row>
    <row r="3" spans="1:56" x14ac:dyDescent="0.25">
      <c r="A3" s="648" t="s">
        <v>456</v>
      </c>
      <c r="B3" s="648"/>
      <c r="C3" s="648"/>
      <c r="D3" s="648"/>
      <c r="E3" s="648"/>
      <c r="F3" s="385"/>
      <c r="G3" s="385"/>
      <c r="H3" s="385"/>
      <c r="I3" s="385"/>
      <c r="J3" s="385"/>
      <c r="K3" s="385"/>
      <c r="L3" s="385"/>
      <c r="M3" s="385"/>
      <c r="N3" s="385"/>
      <c r="O3" s="385"/>
      <c r="P3" s="385"/>
      <c r="Q3" s="385"/>
      <c r="R3" s="385"/>
      <c r="S3" s="385"/>
      <c r="T3" s="385"/>
      <c r="U3" s="384"/>
      <c r="V3" s="384"/>
      <c r="W3" s="384"/>
      <c r="X3" s="384"/>
      <c r="Y3" s="384"/>
      <c r="Z3" s="384"/>
      <c r="AA3" s="384"/>
      <c r="AB3" s="384"/>
      <c r="AC3" s="384"/>
      <c r="AD3" s="384"/>
      <c r="AE3" s="384"/>
      <c r="AF3" s="384"/>
      <c r="AG3" s="384"/>
      <c r="AH3" s="386"/>
      <c r="AI3" s="377"/>
      <c r="AK3" s="645" t="s">
        <v>457</v>
      </c>
      <c r="AL3" s="645"/>
      <c r="AM3" s="645"/>
      <c r="AN3" s="645"/>
      <c r="AO3" s="646" t="s">
        <v>458</v>
      </c>
      <c r="AP3" s="646"/>
      <c r="AQ3" s="646"/>
      <c r="AR3" s="646"/>
      <c r="AS3" s="646"/>
      <c r="AT3" s="646"/>
      <c r="AU3" s="646"/>
      <c r="AV3" s="646"/>
      <c r="AW3" s="646"/>
      <c r="AX3" s="646"/>
      <c r="AY3" s="646"/>
      <c r="AZ3" s="646"/>
      <c r="BA3" s="646"/>
      <c r="BB3" s="646"/>
      <c r="BD3" s="443" t="s">
        <v>592</v>
      </c>
    </row>
    <row r="4" spans="1:56" x14ac:dyDescent="0.25">
      <c r="A4" s="387" t="s">
        <v>457</v>
      </c>
      <c r="B4" s="387"/>
      <c r="C4" s="387"/>
      <c r="D4" s="387"/>
      <c r="E4" s="387"/>
      <c r="F4" s="387"/>
      <c r="G4" s="387" t="s">
        <v>458</v>
      </c>
      <c r="H4" s="387"/>
      <c r="I4" s="387"/>
      <c r="J4" s="387"/>
      <c r="K4" s="387"/>
      <c r="L4" s="387"/>
      <c r="M4" s="387"/>
      <c r="N4" s="387"/>
      <c r="O4" s="387"/>
      <c r="P4" s="387"/>
      <c r="Q4" s="387"/>
      <c r="R4" s="387"/>
      <c r="S4" s="387"/>
      <c r="T4" s="387"/>
      <c r="U4" s="388"/>
      <c r="V4" s="388"/>
      <c r="W4" s="388"/>
      <c r="X4" s="388"/>
      <c r="Y4" s="388"/>
      <c r="Z4" s="388"/>
      <c r="AA4" s="388"/>
      <c r="AB4" s="388"/>
      <c r="AC4" s="388"/>
      <c r="AD4" s="388"/>
      <c r="AE4" s="388"/>
      <c r="AF4" s="388"/>
      <c r="AG4" s="388"/>
      <c r="AH4" s="389"/>
      <c r="AI4" s="390"/>
      <c r="AK4" s="431" t="s">
        <v>71</v>
      </c>
      <c r="AL4" s="431" t="s">
        <v>448</v>
      </c>
      <c r="AM4" s="431" t="s">
        <v>61</v>
      </c>
      <c r="AN4" s="460" t="s">
        <v>449</v>
      </c>
      <c r="AO4" s="461" t="s">
        <v>1</v>
      </c>
      <c r="AP4" s="461" t="s">
        <v>495</v>
      </c>
      <c r="AQ4" s="461" t="s">
        <v>2</v>
      </c>
      <c r="AR4" s="461" t="s">
        <v>496</v>
      </c>
      <c r="AS4" s="461" t="s">
        <v>321</v>
      </c>
      <c r="AT4" s="461" t="s">
        <v>497</v>
      </c>
      <c r="AU4" s="461" t="s">
        <v>260</v>
      </c>
      <c r="AV4" s="461" t="s">
        <v>498</v>
      </c>
      <c r="AW4" s="461" t="s">
        <v>322</v>
      </c>
      <c r="AX4" s="461" t="s">
        <v>499</v>
      </c>
      <c r="AY4" s="461" t="s">
        <v>262</v>
      </c>
      <c r="AZ4" s="461" t="s">
        <v>500</v>
      </c>
      <c r="BA4" s="461" t="s">
        <v>0</v>
      </c>
      <c r="BB4" s="461" t="s">
        <v>501</v>
      </c>
      <c r="BD4" s="443" t="s">
        <v>593</v>
      </c>
    </row>
    <row r="5" spans="1:56" x14ac:dyDescent="0.25">
      <c r="A5" s="387" t="s">
        <v>71</v>
      </c>
      <c r="B5" s="387" t="s">
        <v>448</v>
      </c>
      <c r="C5" s="387" t="s">
        <v>61</v>
      </c>
      <c r="D5" s="388" t="s">
        <v>449</v>
      </c>
      <c r="E5" s="387" t="s">
        <v>450</v>
      </c>
      <c r="F5" s="387" t="s">
        <v>331</v>
      </c>
      <c r="G5" s="387" t="s">
        <v>1</v>
      </c>
      <c r="H5" s="387" t="s">
        <v>451</v>
      </c>
      <c r="I5" s="391" t="s">
        <v>2</v>
      </c>
      <c r="J5" s="391" t="s">
        <v>451</v>
      </c>
      <c r="K5" s="387" t="s">
        <v>321</v>
      </c>
      <c r="L5" s="387" t="s">
        <v>451</v>
      </c>
      <c r="M5" s="391" t="s">
        <v>260</v>
      </c>
      <c r="N5" s="391" t="s">
        <v>451</v>
      </c>
      <c r="O5" s="387" t="s">
        <v>262</v>
      </c>
      <c r="P5" s="387" t="s">
        <v>451</v>
      </c>
      <c r="Q5" s="391" t="s">
        <v>322</v>
      </c>
      <c r="R5" s="391" t="s">
        <v>451</v>
      </c>
      <c r="S5" s="387" t="s">
        <v>0</v>
      </c>
      <c r="T5" s="387" t="s">
        <v>451</v>
      </c>
      <c r="U5" s="388" t="s">
        <v>452</v>
      </c>
      <c r="V5" s="388" t="s">
        <v>75</v>
      </c>
      <c r="W5" s="388" t="s">
        <v>67</v>
      </c>
      <c r="X5" s="388" t="s">
        <v>453</v>
      </c>
      <c r="Y5" s="388" t="s">
        <v>0</v>
      </c>
      <c r="Z5" s="388" t="s">
        <v>454</v>
      </c>
      <c r="AA5" s="388" t="s">
        <v>1</v>
      </c>
      <c r="AB5" s="388" t="s">
        <v>2</v>
      </c>
      <c r="AC5" s="388" t="s">
        <v>321</v>
      </c>
      <c r="AD5" s="388" t="s">
        <v>260</v>
      </c>
      <c r="AE5" s="388" t="s">
        <v>262</v>
      </c>
      <c r="AF5" s="388" t="s">
        <v>322</v>
      </c>
      <c r="AG5" s="388" t="s">
        <v>0</v>
      </c>
      <c r="AH5" s="389" t="s">
        <v>455</v>
      </c>
      <c r="AI5" s="382"/>
      <c r="AK5" s="501" t="s">
        <v>99</v>
      </c>
      <c r="AL5" s="434">
        <v>17</v>
      </c>
      <c r="AM5" s="435">
        <v>1798</v>
      </c>
      <c r="AN5" s="437" t="s">
        <v>220</v>
      </c>
      <c r="AO5" s="462"/>
      <c r="AP5" s="462"/>
      <c r="AQ5" s="463">
        <v>3</v>
      </c>
      <c r="AR5" s="463">
        <v>3.99</v>
      </c>
      <c r="AS5" s="463">
        <v>2</v>
      </c>
      <c r="AT5" s="463">
        <v>2.99</v>
      </c>
      <c r="AU5" s="462"/>
      <c r="AV5" s="464">
        <v>3.99</v>
      </c>
      <c r="AW5" s="462"/>
      <c r="AX5" s="464">
        <v>3.99</v>
      </c>
      <c r="AY5" s="463">
        <v>2</v>
      </c>
      <c r="AZ5" s="463">
        <v>2.99</v>
      </c>
      <c r="BA5" s="462"/>
      <c r="BB5" s="462"/>
      <c r="BD5" s="443" t="s">
        <v>594</v>
      </c>
    </row>
    <row r="6" spans="1:56" ht="15.75" x14ac:dyDescent="0.25">
      <c r="A6" s="451" t="s">
        <v>459</v>
      </c>
      <c r="B6" s="408">
        <v>17</v>
      </c>
      <c r="C6" s="393">
        <f ca="1">11+$A$32-$A$31</f>
        <v>22</v>
      </c>
      <c r="D6" s="409" t="s">
        <v>94</v>
      </c>
      <c r="E6" s="410">
        <f ca="1">F6-A32</f>
        <v>-11</v>
      </c>
      <c r="F6" s="395">
        <v>43644</v>
      </c>
      <c r="G6" s="408"/>
      <c r="H6" s="408"/>
      <c r="I6" s="399">
        <v>5</v>
      </c>
      <c r="J6" s="401">
        <v>6.99</v>
      </c>
      <c r="K6" s="397">
        <v>5</v>
      </c>
      <c r="L6" s="398">
        <v>5.99</v>
      </c>
      <c r="M6" s="630">
        <v>6</v>
      </c>
      <c r="N6" s="639">
        <v>6.99</v>
      </c>
      <c r="O6" s="397">
        <v>2</v>
      </c>
      <c r="P6" s="411">
        <v>2.99</v>
      </c>
      <c r="Q6" s="412">
        <v>3</v>
      </c>
      <c r="R6" s="413">
        <v>3.99</v>
      </c>
      <c r="S6" s="408"/>
      <c r="T6" s="408"/>
      <c r="U6" s="414" t="s">
        <v>460</v>
      </c>
      <c r="V6" s="404"/>
      <c r="W6" s="404">
        <f>COUNTA(H6,J6,L6,N6,P6,R6,T6)</f>
        <v>5</v>
      </c>
      <c r="X6" s="404">
        <v>7</v>
      </c>
      <c r="Y6" s="404">
        <v>0</v>
      </c>
      <c r="Z6" s="405">
        <v>2121</v>
      </c>
      <c r="AA6" s="406"/>
      <c r="AB6" s="406" t="s">
        <v>461</v>
      </c>
      <c r="AC6" s="406"/>
      <c r="AD6" s="406" t="s">
        <v>462</v>
      </c>
      <c r="AE6" s="406"/>
      <c r="AF6" s="406"/>
      <c r="AG6" s="406"/>
      <c r="AH6" s="407" t="s">
        <v>463</v>
      </c>
      <c r="AI6" s="372" t="s">
        <v>464</v>
      </c>
      <c r="AK6" s="501" t="s">
        <v>98</v>
      </c>
      <c r="AL6" s="434">
        <v>16</v>
      </c>
      <c r="AM6" s="435">
        <v>1849</v>
      </c>
      <c r="AN6" s="437"/>
      <c r="AO6" s="462"/>
      <c r="AP6" s="462"/>
      <c r="AQ6" s="463">
        <v>4</v>
      </c>
      <c r="AR6" s="463">
        <v>4.99</v>
      </c>
      <c r="AS6" s="462"/>
      <c r="AT6" s="462"/>
      <c r="AU6" s="463">
        <v>0</v>
      </c>
      <c r="AV6" s="463">
        <v>0.99</v>
      </c>
      <c r="AW6" s="465">
        <v>3</v>
      </c>
      <c r="AX6" s="464">
        <v>4.99</v>
      </c>
      <c r="AY6" s="463">
        <v>1</v>
      </c>
      <c r="AZ6" s="463">
        <v>1.99</v>
      </c>
      <c r="BA6" s="462"/>
      <c r="BB6" s="462"/>
      <c r="BD6" s="443" t="s">
        <v>595</v>
      </c>
    </row>
    <row r="7" spans="1:56" x14ac:dyDescent="0.25">
      <c r="A7" s="649" t="s">
        <v>465</v>
      </c>
      <c r="B7" s="649"/>
      <c r="C7" s="649"/>
      <c r="D7" s="649"/>
      <c r="E7" s="649"/>
      <c r="F7" s="444"/>
      <c r="G7" s="444"/>
      <c r="H7" s="444"/>
      <c r="I7" s="444"/>
      <c r="J7" s="444"/>
      <c r="K7" s="444"/>
      <c r="L7" s="444"/>
      <c r="M7" s="444"/>
      <c r="N7" s="444"/>
      <c r="O7" s="444"/>
      <c r="P7" s="444"/>
      <c r="Q7" s="444"/>
      <c r="R7" s="444"/>
      <c r="S7" s="444"/>
      <c r="T7" s="444"/>
      <c r="U7" s="445"/>
      <c r="V7" s="445"/>
      <c r="W7" s="445"/>
      <c r="X7" s="445"/>
      <c r="Y7" s="445"/>
      <c r="Z7" s="445"/>
      <c r="AA7" s="445"/>
      <c r="AB7" s="445"/>
      <c r="AC7" s="445"/>
      <c r="AD7" s="445"/>
      <c r="AE7" s="445"/>
      <c r="AF7" s="445"/>
      <c r="AG7" s="445"/>
      <c r="AH7" s="446"/>
      <c r="AI7" s="377"/>
      <c r="AK7" s="501" t="s">
        <v>502</v>
      </c>
      <c r="AL7" s="434">
        <v>18</v>
      </c>
      <c r="AM7" s="435">
        <v>1773</v>
      </c>
      <c r="AN7" s="437"/>
      <c r="AO7" s="462"/>
      <c r="AP7" s="462"/>
      <c r="AQ7" s="463">
        <v>4</v>
      </c>
      <c r="AR7" s="463">
        <v>4.99</v>
      </c>
      <c r="AS7" s="463">
        <v>2</v>
      </c>
      <c r="AT7" s="463">
        <v>2.99</v>
      </c>
      <c r="AU7" s="462"/>
      <c r="AV7" s="462"/>
      <c r="AW7" s="462"/>
      <c r="AX7" s="462"/>
      <c r="AY7" s="465">
        <v>4</v>
      </c>
      <c r="AZ7" s="464">
        <v>4.99</v>
      </c>
      <c r="BA7" s="462"/>
      <c r="BB7" s="464">
        <v>2.99</v>
      </c>
      <c r="BD7" s="443" t="s">
        <v>596</v>
      </c>
    </row>
    <row r="8" spans="1:56" x14ac:dyDescent="0.25">
      <c r="A8" s="447" t="s">
        <v>457</v>
      </c>
      <c r="B8" s="447"/>
      <c r="C8" s="447"/>
      <c r="D8" s="447"/>
      <c r="E8" s="447"/>
      <c r="F8" s="447"/>
      <c r="G8" s="447" t="s">
        <v>458</v>
      </c>
      <c r="H8" s="447"/>
      <c r="I8" s="447"/>
      <c r="J8" s="447"/>
      <c r="K8" s="447"/>
      <c r="L8" s="447"/>
      <c r="M8" s="447"/>
      <c r="N8" s="447"/>
      <c r="O8" s="447"/>
      <c r="P8" s="447"/>
      <c r="Q8" s="447"/>
      <c r="R8" s="447"/>
      <c r="S8" s="447"/>
      <c r="T8" s="447"/>
      <c r="U8" s="448"/>
      <c r="V8" s="448"/>
      <c r="W8" s="448"/>
      <c r="X8" s="448"/>
      <c r="Y8" s="448"/>
      <c r="Z8" s="448"/>
      <c r="AA8" s="448"/>
      <c r="AB8" s="448"/>
      <c r="AC8" s="448"/>
      <c r="AD8" s="448"/>
      <c r="AE8" s="448"/>
      <c r="AF8" s="448"/>
      <c r="AG8" s="448"/>
      <c r="AH8" s="449"/>
      <c r="AI8" s="390"/>
      <c r="AK8" s="501" t="s">
        <v>95</v>
      </c>
      <c r="AL8" s="434">
        <v>17</v>
      </c>
      <c r="AM8" s="435">
        <v>1752</v>
      </c>
      <c r="AN8" s="437"/>
      <c r="AO8" s="462"/>
      <c r="AP8" s="462">
        <v>1.99</v>
      </c>
      <c r="AQ8" s="466">
        <v>6</v>
      </c>
      <c r="AR8" s="467">
        <v>6.99</v>
      </c>
      <c r="AS8" s="468">
        <v>4</v>
      </c>
      <c r="AT8" s="468">
        <v>4.99</v>
      </c>
      <c r="AU8" s="463">
        <v>3</v>
      </c>
      <c r="AV8" s="463">
        <v>3.99</v>
      </c>
      <c r="AW8" s="465">
        <v>2</v>
      </c>
      <c r="AX8" s="464">
        <v>3.99</v>
      </c>
      <c r="AY8" s="463">
        <v>2</v>
      </c>
      <c r="AZ8" s="463">
        <v>2.99</v>
      </c>
      <c r="BA8" s="462"/>
      <c r="BB8" s="462"/>
      <c r="BD8" s="443" t="s">
        <v>597</v>
      </c>
    </row>
    <row r="9" spans="1:56" x14ac:dyDescent="0.25">
      <c r="A9" s="447" t="s">
        <v>71</v>
      </c>
      <c r="B9" s="447" t="s">
        <v>448</v>
      </c>
      <c r="C9" s="447" t="s">
        <v>61</v>
      </c>
      <c r="D9" s="448" t="s">
        <v>449</v>
      </c>
      <c r="E9" s="447" t="s">
        <v>450</v>
      </c>
      <c r="F9" s="447" t="s">
        <v>331</v>
      </c>
      <c r="G9" s="447" t="s">
        <v>1</v>
      </c>
      <c r="H9" s="447" t="s">
        <v>451</v>
      </c>
      <c r="I9" s="450" t="s">
        <v>2</v>
      </c>
      <c r="J9" s="450" t="s">
        <v>451</v>
      </c>
      <c r="K9" s="447" t="s">
        <v>321</v>
      </c>
      <c r="L9" s="447" t="s">
        <v>451</v>
      </c>
      <c r="M9" s="450" t="s">
        <v>260</v>
      </c>
      <c r="N9" s="450" t="s">
        <v>451</v>
      </c>
      <c r="O9" s="447" t="s">
        <v>262</v>
      </c>
      <c r="P9" s="447" t="s">
        <v>451</v>
      </c>
      <c r="Q9" s="450" t="s">
        <v>322</v>
      </c>
      <c r="R9" s="450" t="s">
        <v>451</v>
      </c>
      <c r="S9" s="447" t="s">
        <v>0</v>
      </c>
      <c r="T9" s="447" t="s">
        <v>451</v>
      </c>
      <c r="U9" s="448" t="s">
        <v>452</v>
      </c>
      <c r="V9" s="448" t="s">
        <v>75</v>
      </c>
      <c r="W9" s="448" t="s">
        <v>67</v>
      </c>
      <c r="X9" s="448" t="s">
        <v>453</v>
      </c>
      <c r="Y9" s="448" t="s">
        <v>0</v>
      </c>
      <c r="Z9" s="448" t="s">
        <v>454</v>
      </c>
      <c r="AA9" s="448" t="s">
        <v>1</v>
      </c>
      <c r="AB9" s="448" t="s">
        <v>2</v>
      </c>
      <c r="AC9" s="448" t="s">
        <v>321</v>
      </c>
      <c r="AD9" s="448" t="s">
        <v>260</v>
      </c>
      <c r="AE9" s="448" t="s">
        <v>262</v>
      </c>
      <c r="AF9" s="448" t="s">
        <v>322</v>
      </c>
      <c r="AG9" s="448" t="s">
        <v>0</v>
      </c>
      <c r="AH9" s="449" t="s">
        <v>455</v>
      </c>
      <c r="AI9" s="382"/>
      <c r="AK9" s="501" t="s">
        <v>97</v>
      </c>
      <c r="AL9" s="434">
        <v>17</v>
      </c>
      <c r="AM9" s="435">
        <v>1701</v>
      </c>
      <c r="AN9" s="437"/>
      <c r="AO9" s="462"/>
      <c r="AP9" s="462"/>
      <c r="AQ9" s="463">
        <v>1</v>
      </c>
      <c r="AR9" s="463">
        <v>1.99</v>
      </c>
      <c r="AS9" s="468">
        <v>5</v>
      </c>
      <c r="AT9" s="469">
        <v>5.99</v>
      </c>
      <c r="AU9" s="463">
        <v>2</v>
      </c>
      <c r="AV9" s="463">
        <v>2.99</v>
      </c>
      <c r="AW9" s="463">
        <v>2</v>
      </c>
      <c r="AX9" s="463">
        <v>2.99</v>
      </c>
      <c r="AY9" s="463">
        <v>2</v>
      </c>
      <c r="AZ9" s="463">
        <v>2.99</v>
      </c>
      <c r="BA9" s="462"/>
      <c r="BB9" s="462"/>
      <c r="BD9" s="433" t="s">
        <v>598</v>
      </c>
    </row>
    <row r="10" spans="1:56" ht="15.75" x14ac:dyDescent="0.25">
      <c r="A10" s="452" t="s">
        <v>466</v>
      </c>
      <c r="B10" s="372">
        <v>15</v>
      </c>
      <c r="C10" s="420">
        <f ca="1">58+$A$32-$A$31</f>
        <v>69</v>
      </c>
      <c r="D10" s="421"/>
      <c r="E10" s="438">
        <f ca="1">F10-$A$32</f>
        <v>155</v>
      </c>
      <c r="F10" s="395">
        <v>43810</v>
      </c>
      <c r="G10" s="371"/>
      <c r="H10" s="371"/>
      <c r="I10" s="371"/>
      <c r="J10" s="402">
        <v>1.99</v>
      </c>
      <c r="K10" s="371"/>
      <c r="L10" s="400">
        <v>5.99</v>
      </c>
      <c r="M10" s="399">
        <v>3</v>
      </c>
      <c r="N10" s="371"/>
      <c r="O10" s="371"/>
      <c r="P10" s="402">
        <v>2.99</v>
      </c>
      <c r="Q10" s="371"/>
      <c r="R10" s="371"/>
      <c r="S10" s="371"/>
      <c r="T10" s="371"/>
      <c r="U10" s="373" t="s">
        <v>468</v>
      </c>
      <c r="V10" s="372"/>
      <c r="W10" s="404">
        <f>COUNTA(H10,J10,L10,N10,P10,R10,T10)</f>
        <v>3</v>
      </c>
      <c r="X10" s="404">
        <v>0</v>
      </c>
      <c r="Y10" s="404">
        <v>0</v>
      </c>
      <c r="Z10" s="404"/>
      <c r="AA10" s="418"/>
      <c r="AB10" s="418"/>
      <c r="AC10" s="418"/>
      <c r="AD10" s="418"/>
      <c r="AE10" s="418"/>
      <c r="AF10" s="418"/>
      <c r="AG10" s="418"/>
      <c r="AH10" s="407" t="s">
        <v>470</v>
      </c>
      <c r="AI10" s="371"/>
      <c r="AK10" s="501" t="s">
        <v>503</v>
      </c>
      <c r="AL10" s="434">
        <v>17</v>
      </c>
      <c r="AM10" s="435">
        <v>1714</v>
      </c>
      <c r="AN10" s="437" t="s">
        <v>96</v>
      </c>
      <c r="AO10" s="470"/>
      <c r="AP10" s="470"/>
      <c r="AQ10" s="471">
        <v>5</v>
      </c>
      <c r="AR10" s="472">
        <v>5.99</v>
      </c>
      <c r="AS10" s="473">
        <v>2</v>
      </c>
      <c r="AT10" s="473">
        <v>2.99</v>
      </c>
      <c r="AU10" s="473">
        <v>4</v>
      </c>
      <c r="AV10" s="473">
        <v>4.99</v>
      </c>
      <c r="AW10" s="473">
        <v>5</v>
      </c>
      <c r="AX10" s="474">
        <v>5.99</v>
      </c>
      <c r="AY10" s="470"/>
      <c r="AZ10" s="475">
        <v>5.99</v>
      </c>
      <c r="BA10" s="470"/>
      <c r="BB10" s="464">
        <v>2.99</v>
      </c>
    </row>
    <row r="11" spans="1:56" ht="15.75" x14ac:dyDescent="0.25">
      <c r="A11" s="453" t="s">
        <v>467</v>
      </c>
      <c r="B11" s="392">
        <v>16</v>
      </c>
      <c r="C11" s="393">
        <f ca="1">4+$A$32-$A$31</f>
        <v>15</v>
      </c>
      <c r="D11" s="409"/>
      <c r="E11" s="438">
        <f ca="1">F11-$A$32</f>
        <v>97</v>
      </c>
      <c r="F11" s="395">
        <v>43752</v>
      </c>
      <c r="G11" s="396"/>
      <c r="H11" s="402">
        <v>1.99</v>
      </c>
      <c r="I11" s="397">
        <v>2</v>
      </c>
      <c r="J11" s="411">
        <v>2.99</v>
      </c>
      <c r="K11" s="399">
        <v>3</v>
      </c>
      <c r="L11" s="402">
        <v>4.99</v>
      </c>
      <c r="M11" s="630">
        <v>4</v>
      </c>
      <c r="N11" s="631">
        <v>4.99</v>
      </c>
      <c r="O11" s="396"/>
      <c r="P11" s="400">
        <v>5.99</v>
      </c>
      <c r="Q11" s="396"/>
      <c r="R11" s="402">
        <v>2.99</v>
      </c>
      <c r="S11" s="396"/>
      <c r="T11" s="396"/>
      <c r="U11" s="403" t="s">
        <v>468</v>
      </c>
      <c r="V11" s="404" t="s">
        <v>469</v>
      </c>
      <c r="W11" s="404">
        <f t="shared" ref="W11:W13" si="0">COUNTA(H11,J11,L11,N11,P11,R11,T11)</f>
        <v>6</v>
      </c>
      <c r="X11" s="404">
        <v>0</v>
      </c>
      <c r="Y11" s="404">
        <v>0</v>
      </c>
      <c r="Z11" s="404"/>
      <c r="AA11" s="418"/>
      <c r="AB11" s="418"/>
      <c r="AC11" s="418"/>
      <c r="AD11" s="418"/>
      <c r="AE11" s="418"/>
      <c r="AF11" s="418"/>
      <c r="AG11" s="418"/>
      <c r="AH11" s="407" t="s">
        <v>470</v>
      </c>
      <c r="AI11" s="371"/>
      <c r="AK11" s="501" t="s">
        <v>504</v>
      </c>
      <c r="AL11" s="434">
        <v>17</v>
      </c>
      <c r="AM11" s="435">
        <v>1719</v>
      </c>
      <c r="AN11" s="437" t="s">
        <v>220</v>
      </c>
      <c r="AO11" s="470"/>
      <c r="AP11" s="470"/>
      <c r="AQ11" s="476">
        <v>2</v>
      </c>
      <c r="AR11" s="470"/>
      <c r="AS11" s="476">
        <v>2</v>
      </c>
      <c r="AT11" s="470"/>
      <c r="AU11" s="470"/>
      <c r="AV11" s="476">
        <v>2.99</v>
      </c>
      <c r="AW11" s="471">
        <v>5</v>
      </c>
      <c r="AX11" s="472">
        <v>5.99</v>
      </c>
      <c r="AY11" s="471">
        <v>4</v>
      </c>
      <c r="AZ11" s="471">
        <v>4.99</v>
      </c>
      <c r="BA11" s="470"/>
      <c r="BB11" s="470"/>
    </row>
    <row r="12" spans="1:56" ht="15.75" x14ac:dyDescent="0.25">
      <c r="A12" s="451" t="s">
        <v>471</v>
      </c>
      <c r="B12" s="392">
        <v>17</v>
      </c>
      <c r="C12" s="393">
        <f ca="1">37+$A$32-$A$31</f>
        <v>48</v>
      </c>
      <c r="D12" s="409"/>
      <c r="E12" s="438">
        <f ca="1">F12-$A$32</f>
        <v>-11</v>
      </c>
      <c r="F12" s="395">
        <v>43644</v>
      </c>
      <c r="G12" s="396"/>
      <c r="H12" s="396"/>
      <c r="I12" s="399">
        <v>5</v>
      </c>
      <c r="J12" s="401">
        <v>6.99</v>
      </c>
      <c r="K12" s="399">
        <v>4</v>
      </c>
      <c r="L12" s="401">
        <v>6.99</v>
      </c>
      <c r="M12" s="640">
        <v>4</v>
      </c>
      <c r="N12" s="641">
        <v>4.99</v>
      </c>
      <c r="O12" s="396"/>
      <c r="P12" s="402">
        <v>2.99</v>
      </c>
      <c r="Q12" s="399">
        <v>3</v>
      </c>
      <c r="R12" s="402">
        <v>4.99</v>
      </c>
      <c r="S12" s="396"/>
      <c r="T12" s="396"/>
      <c r="U12" s="403" t="s">
        <v>468</v>
      </c>
      <c r="V12" s="404" t="s">
        <v>469</v>
      </c>
      <c r="W12" s="404">
        <f t="shared" si="0"/>
        <v>5</v>
      </c>
      <c r="X12" s="404">
        <v>0</v>
      </c>
      <c r="Y12" s="404">
        <v>0</v>
      </c>
      <c r="Z12" s="405">
        <v>2104</v>
      </c>
      <c r="AA12" s="406"/>
      <c r="AB12" s="406" t="s">
        <v>472</v>
      </c>
      <c r="AC12" s="406" t="s">
        <v>473</v>
      </c>
      <c r="AD12" s="406" t="s">
        <v>474</v>
      </c>
      <c r="AE12" s="406"/>
      <c r="AF12" s="406" t="s">
        <v>475</v>
      </c>
      <c r="AG12" s="406"/>
      <c r="AH12" s="407" t="s">
        <v>463</v>
      </c>
      <c r="AI12" s="372" t="s">
        <v>476</v>
      </c>
      <c r="AK12" s="501" t="s">
        <v>505</v>
      </c>
      <c r="AL12" s="434">
        <v>18</v>
      </c>
      <c r="AM12" s="435">
        <v>1715</v>
      </c>
      <c r="AN12" s="437"/>
      <c r="AO12" s="470"/>
      <c r="AP12" s="470"/>
      <c r="AQ12" s="470"/>
      <c r="AR12" s="476">
        <v>2.99</v>
      </c>
      <c r="AS12" s="473">
        <v>2</v>
      </c>
      <c r="AT12" s="473">
        <v>2.99</v>
      </c>
      <c r="AU12" s="476">
        <v>5</v>
      </c>
      <c r="AV12" s="477">
        <v>6.99</v>
      </c>
      <c r="AW12" s="471">
        <v>3</v>
      </c>
      <c r="AX12" s="471">
        <v>3.99</v>
      </c>
      <c r="AY12" s="470"/>
      <c r="AZ12" s="475">
        <v>5.99</v>
      </c>
      <c r="BA12" s="470"/>
      <c r="BB12" s="470"/>
    </row>
    <row r="13" spans="1:56" ht="15.75" x14ac:dyDescent="0.25">
      <c r="A13" s="451" t="s">
        <v>478</v>
      </c>
      <c r="B13" s="408">
        <v>17</v>
      </c>
      <c r="C13" s="393">
        <f ca="1">9+$A$32-$A$31</f>
        <v>20</v>
      </c>
      <c r="D13" s="409"/>
      <c r="E13" s="438">
        <f ca="1">F13-$A$32</f>
        <v>-11</v>
      </c>
      <c r="F13" s="395">
        <v>43644</v>
      </c>
      <c r="G13" s="408"/>
      <c r="H13" s="402">
        <v>1.99</v>
      </c>
      <c r="I13" s="397">
        <v>1</v>
      </c>
      <c r="J13" s="411">
        <v>1.99</v>
      </c>
      <c r="K13" s="397">
        <v>4</v>
      </c>
      <c r="L13" s="411">
        <v>4.99</v>
      </c>
      <c r="M13" s="632">
        <v>5</v>
      </c>
      <c r="N13" s="633">
        <v>5.99</v>
      </c>
      <c r="O13" s="412">
        <v>3</v>
      </c>
      <c r="P13" s="413">
        <v>3.99</v>
      </c>
      <c r="Q13" s="408"/>
      <c r="R13" s="401">
        <v>6.99</v>
      </c>
      <c r="S13" s="408"/>
      <c r="T13" s="408"/>
      <c r="U13" s="414" t="s">
        <v>460</v>
      </c>
      <c r="V13" s="404"/>
      <c r="W13" s="404">
        <f t="shared" si="0"/>
        <v>6</v>
      </c>
      <c r="X13" s="404">
        <v>0</v>
      </c>
      <c r="Y13" s="404">
        <v>0</v>
      </c>
      <c r="Z13" s="405">
        <v>2081</v>
      </c>
      <c r="AA13" s="406"/>
      <c r="AB13" s="406"/>
      <c r="AC13" s="406"/>
      <c r="AD13" s="406"/>
      <c r="AE13" s="406"/>
      <c r="AF13" s="406"/>
      <c r="AG13" s="406"/>
      <c r="AH13" s="407" t="s">
        <v>463</v>
      </c>
      <c r="AI13" s="371"/>
      <c r="AK13" s="501" t="s">
        <v>101</v>
      </c>
      <c r="AL13" s="434">
        <v>18</v>
      </c>
      <c r="AM13" s="435">
        <v>1707</v>
      </c>
      <c r="AN13" s="437" t="s">
        <v>94</v>
      </c>
      <c r="AO13" s="470"/>
      <c r="AP13" s="470"/>
      <c r="AQ13" s="476">
        <v>1</v>
      </c>
      <c r="AR13" s="476">
        <v>2.99</v>
      </c>
      <c r="AS13" s="476">
        <v>6</v>
      </c>
      <c r="AT13" s="477">
        <v>7</v>
      </c>
      <c r="AU13" s="471">
        <v>4</v>
      </c>
      <c r="AV13" s="471">
        <v>4.99</v>
      </c>
      <c r="AW13" s="470"/>
      <c r="AX13" s="470"/>
      <c r="AY13" s="473">
        <v>3</v>
      </c>
      <c r="AZ13" s="473">
        <v>3.99</v>
      </c>
      <c r="BA13" s="470"/>
      <c r="BB13" s="476">
        <v>4.99</v>
      </c>
      <c r="BD13" s="432" t="s">
        <v>599</v>
      </c>
    </row>
    <row r="14" spans="1:56" ht="15.75" x14ac:dyDescent="0.25">
      <c r="A14" s="644" t="s">
        <v>479</v>
      </c>
      <c r="B14" s="644"/>
      <c r="C14" s="644"/>
      <c r="D14" s="644"/>
      <c r="E14" s="644"/>
      <c r="F14" s="375"/>
      <c r="G14" s="375"/>
      <c r="H14" s="375"/>
      <c r="I14" s="375"/>
      <c r="J14" s="375"/>
      <c r="K14" s="375"/>
      <c r="L14" s="375"/>
      <c r="M14" s="375"/>
      <c r="N14" s="375"/>
      <c r="O14" s="375"/>
      <c r="P14" s="375"/>
      <c r="Q14" s="375"/>
      <c r="R14" s="375"/>
      <c r="S14" s="375"/>
      <c r="T14" s="375"/>
      <c r="U14" s="374"/>
      <c r="V14" s="374"/>
      <c r="W14" s="374"/>
      <c r="X14" s="374"/>
      <c r="Y14" s="374"/>
      <c r="Z14" s="374"/>
      <c r="AA14" s="374"/>
      <c r="AB14" s="374"/>
      <c r="AC14" s="374"/>
      <c r="AD14" s="374"/>
      <c r="AE14" s="374"/>
      <c r="AF14" s="374"/>
      <c r="AG14" s="374"/>
      <c r="AH14" s="419"/>
      <c r="AI14" s="371"/>
      <c r="AK14" s="501" t="s">
        <v>102</v>
      </c>
      <c r="AL14" s="434">
        <v>17</v>
      </c>
      <c r="AM14" s="435">
        <v>1601</v>
      </c>
      <c r="AN14" s="437" t="s">
        <v>105</v>
      </c>
      <c r="AO14" s="470"/>
      <c r="AP14" s="476">
        <v>1.99</v>
      </c>
      <c r="AQ14" s="476">
        <v>4</v>
      </c>
      <c r="AR14" s="475">
        <v>5.99</v>
      </c>
      <c r="AS14" s="473">
        <v>2</v>
      </c>
      <c r="AT14" s="473">
        <v>2.99</v>
      </c>
      <c r="AU14" s="473">
        <v>2</v>
      </c>
      <c r="AV14" s="473">
        <v>2.99</v>
      </c>
      <c r="AW14" s="473">
        <v>6</v>
      </c>
      <c r="AX14" s="478">
        <v>6.99</v>
      </c>
      <c r="AY14" s="473">
        <v>2</v>
      </c>
      <c r="AZ14" s="473">
        <v>2.99</v>
      </c>
      <c r="BA14" s="470"/>
      <c r="BB14" s="477">
        <v>7</v>
      </c>
      <c r="BD14" s="432" t="s">
        <v>600</v>
      </c>
    </row>
    <row r="15" spans="1:56" ht="15.75" x14ac:dyDescent="0.25">
      <c r="A15" s="378" t="s">
        <v>457</v>
      </c>
      <c r="B15" s="378"/>
      <c r="C15" s="378"/>
      <c r="D15" s="378"/>
      <c r="E15" s="378"/>
      <c r="F15" s="378"/>
      <c r="G15" s="378" t="s">
        <v>458</v>
      </c>
      <c r="H15" s="378"/>
      <c r="I15" s="378"/>
      <c r="J15" s="378"/>
      <c r="K15" s="378"/>
      <c r="L15" s="378"/>
      <c r="M15" s="378"/>
      <c r="N15" s="378"/>
      <c r="O15" s="378"/>
      <c r="P15" s="378"/>
      <c r="Q15" s="378"/>
      <c r="R15" s="378"/>
      <c r="S15" s="378"/>
      <c r="T15" s="378"/>
      <c r="U15" s="379"/>
      <c r="V15" s="379"/>
      <c r="W15" s="379"/>
      <c r="X15" s="379"/>
      <c r="Y15" s="379"/>
      <c r="Z15" s="379"/>
      <c r="AA15" s="379"/>
      <c r="AB15" s="379"/>
      <c r="AC15" s="379"/>
      <c r="AD15" s="379"/>
      <c r="AE15" s="379"/>
      <c r="AF15" s="379"/>
      <c r="AG15" s="379"/>
      <c r="AH15" s="419"/>
      <c r="AI15" s="377"/>
      <c r="AK15" s="501" t="s">
        <v>506</v>
      </c>
      <c r="AL15" s="434">
        <v>18</v>
      </c>
      <c r="AM15" s="435">
        <v>1658</v>
      </c>
      <c r="AN15" s="437"/>
      <c r="AO15" s="470"/>
      <c r="AP15" s="470"/>
      <c r="AQ15" s="471">
        <v>4</v>
      </c>
      <c r="AR15" s="471">
        <v>4.99</v>
      </c>
      <c r="AS15" s="471">
        <v>2</v>
      </c>
      <c r="AT15" s="471">
        <v>2.99</v>
      </c>
      <c r="AU15" s="471">
        <v>4</v>
      </c>
      <c r="AV15" s="471">
        <v>4.99</v>
      </c>
      <c r="AW15" s="476">
        <v>6</v>
      </c>
      <c r="AX15" s="477">
        <v>6.99</v>
      </c>
      <c r="AY15" s="471">
        <v>5</v>
      </c>
      <c r="AZ15" s="472">
        <v>5.99</v>
      </c>
      <c r="BA15" s="473">
        <v>4</v>
      </c>
      <c r="BB15" s="473">
        <v>4.99</v>
      </c>
      <c r="BD15" s="432" t="s">
        <v>601</v>
      </c>
    </row>
    <row r="16" spans="1:56" ht="15.75" x14ac:dyDescent="0.25">
      <c r="A16" s="378" t="s">
        <v>71</v>
      </c>
      <c r="B16" s="378" t="s">
        <v>448</v>
      </c>
      <c r="C16" s="378" t="s">
        <v>61</v>
      </c>
      <c r="D16" s="379" t="s">
        <v>449</v>
      </c>
      <c r="E16" s="378" t="s">
        <v>450</v>
      </c>
      <c r="F16" s="378" t="s">
        <v>331</v>
      </c>
      <c r="G16" s="378" t="s">
        <v>1</v>
      </c>
      <c r="H16" s="378" t="s">
        <v>451</v>
      </c>
      <c r="I16" s="380" t="s">
        <v>2</v>
      </c>
      <c r="J16" s="380" t="s">
        <v>451</v>
      </c>
      <c r="K16" s="378" t="s">
        <v>321</v>
      </c>
      <c r="L16" s="378" t="s">
        <v>451</v>
      </c>
      <c r="M16" s="380" t="s">
        <v>260</v>
      </c>
      <c r="N16" s="380" t="s">
        <v>451</v>
      </c>
      <c r="O16" s="378" t="s">
        <v>262</v>
      </c>
      <c r="P16" s="378" t="s">
        <v>451</v>
      </c>
      <c r="Q16" s="380" t="s">
        <v>322</v>
      </c>
      <c r="R16" s="380" t="s">
        <v>451</v>
      </c>
      <c r="S16" s="378" t="s">
        <v>0</v>
      </c>
      <c r="T16" s="378" t="s">
        <v>451</v>
      </c>
      <c r="U16" s="379" t="s">
        <v>452</v>
      </c>
      <c r="V16" s="379" t="s">
        <v>75</v>
      </c>
      <c r="W16" s="379" t="s">
        <v>67</v>
      </c>
      <c r="X16" s="379" t="s">
        <v>453</v>
      </c>
      <c r="Y16" s="379" t="s">
        <v>0</v>
      </c>
      <c r="Z16" s="379" t="s">
        <v>454</v>
      </c>
      <c r="AA16" s="379" t="s">
        <v>1</v>
      </c>
      <c r="AB16" s="379" t="s">
        <v>2</v>
      </c>
      <c r="AC16" s="379" t="s">
        <v>321</v>
      </c>
      <c r="AD16" s="379" t="s">
        <v>260</v>
      </c>
      <c r="AE16" s="379" t="s">
        <v>262</v>
      </c>
      <c r="AF16" s="379" t="s">
        <v>322</v>
      </c>
      <c r="AG16" s="379" t="s">
        <v>0</v>
      </c>
      <c r="AH16" s="419" t="s">
        <v>455</v>
      </c>
      <c r="AI16" s="390"/>
      <c r="AK16" s="501" t="s">
        <v>169</v>
      </c>
      <c r="AL16" s="434">
        <v>17</v>
      </c>
      <c r="AM16" s="435">
        <v>1676</v>
      </c>
      <c r="AN16" s="437"/>
      <c r="AO16" s="479"/>
      <c r="AP16" s="476">
        <v>1.99</v>
      </c>
      <c r="AQ16" s="476">
        <v>1</v>
      </c>
      <c r="AR16" s="479"/>
      <c r="AS16" s="473">
        <v>6</v>
      </c>
      <c r="AT16" s="478">
        <v>6.99</v>
      </c>
      <c r="AU16" s="479"/>
      <c r="AV16" s="476">
        <v>1.99</v>
      </c>
      <c r="AW16" s="476">
        <v>5</v>
      </c>
      <c r="AX16" s="477">
        <v>6.99</v>
      </c>
      <c r="AY16" s="473">
        <v>1</v>
      </c>
      <c r="AZ16" s="473">
        <v>1.99</v>
      </c>
      <c r="BA16" s="479"/>
      <c r="BB16" s="476">
        <v>2.99</v>
      </c>
      <c r="BD16" s="432" t="s">
        <v>602</v>
      </c>
    </row>
    <row r="17" spans="1:56" ht="15.75" x14ac:dyDescent="0.25">
      <c r="AI17" s="382"/>
      <c r="AK17" s="501" t="s">
        <v>107</v>
      </c>
      <c r="AL17" s="434">
        <v>18</v>
      </c>
      <c r="AM17" s="435">
        <v>1549</v>
      </c>
      <c r="AN17" s="437" t="s">
        <v>94</v>
      </c>
      <c r="AO17" s="480"/>
      <c r="AP17" s="480"/>
      <c r="AQ17" s="471">
        <v>3</v>
      </c>
      <c r="AR17" s="471">
        <v>3.99</v>
      </c>
      <c r="AS17" s="473">
        <v>3</v>
      </c>
      <c r="AT17" s="473">
        <v>3.99</v>
      </c>
      <c r="AU17" s="471">
        <v>5</v>
      </c>
      <c r="AV17" s="472">
        <v>5.99</v>
      </c>
      <c r="AW17" s="480"/>
      <c r="AX17" s="476">
        <v>2.99</v>
      </c>
      <c r="AY17" s="473">
        <v>4</v>
      </c>
      <c r="AZ17" s="473">
        <v>4.99</v>
      </c>
      <c r="BA17" s="473">
        <v>4</v>
      </c>
      <c r="BB17" s="473">
        <v>4.99</v>
      </c>
      <c r="BD17" s="432" t="s">
        <v>603</v>
      </c>
    </row>
    <row r="18" spans="1:56" ht="15.75" x14ac:dyDescent="0.25">
      <c r="A18" s="453" t="s">
        <v>480</v>
      </c>
      <c r="B18" s="408">
        <v>18</v>
      </c>
      <c r="C18" s="393">
        <f ca="1">1+$A$32-$A$31</f>
        <v>12</v>
      </c>
      <c r="D18" s="394"/>
      <c r="E18" s="438">
        <f ca="1">F18-$A$32</f>
        <v>-11</v>
      </c>
      <c r="F18" s="395">
        <v>43644</v>
      </c>
      <c r="G18" s="408"/>
      <c r="H18" s="408"/>
      <c r="I18" s="399">
        <v>5</v>
      </c>
      <c r="J18" s="401">
        <v>6.99</v>
      </c>
      <c r="K18" s="399">
        <v>4</v>
      </c>
      <c r="L18" s="400">
        <v>5.99</v>
      </c>
      <c r="M18" s="397">
        <v>3</v>
      </c>
      <c r="N18" s="411">
        <v>3.99</v>
      </c>
      <c r="O18" s="408"/>
      <c r="P18" s="402">
        <v>3.99</v>
      </c>
      <c r="Q18" s="399">
        <v>2</v>
      </c>
      <c r="R18" s="402">
        <v>3.99</v>
      </c>
      <c r="S18" s="408"/>
      <c r="T18" s="408"/>
      <c r="U18" s="403" t="s">
        <v>468</v>
      </c>
      <c r="V18" s="404" t="s">
        <v>469</v>
      </c>
      <c r="W18" s="404">
        <f t="shared" ref="W18:W27" si="1">COUNTA(H18,J18,L18,N18,P18,R18,T18)</f>
        <v>5</v>
      </c>
      <c r="X18" s="404">
        <v>0</v>
      </c>
      <c r="Y18" s="404">
        <v>0</v>
      </c>
      <c r="Z18" s="404"/>
      <c r="AA18" s="418"/>
      <c r="AB18" s="418"/>
      <c r="AC18" s="418"/>
      <c r="AD18" s="418"/>
      <c r="AE18" s="418"/>
      <c r="AF18" s="418"/>
      <c r="AG18" s="418"/>
      <c r="AH18" s="407" t="s">
        <v>470</v>
      </c>
      <c r="AK18" s="501" t="s">
        <v>507</v>
      </c>
      <c r="AL18" s="434">
        <v>16</v>
      </c>
      <c r="AM18" s="435">
        <v>1633</v>
      </c>
      <c r="AN18" s="437" t="s">
        <v>96</v>
      </c>
      <c r="AO18" s="481"/>
      <c r="AP18" s="481"/>
      <c r="AQ18" s="473">
        <v>2</v>
      </c>
      <c r="AR18" s="473">
        <v>2.99</v>
      </c>
      <c r="AS18" s="471">
        <v>5</v>
      </c>
      <c r="AT18" s="472">
        <v>5.99</v>
      </c>
      <c r="AU18" s="473">
        <v>2</v>
      </c>
      <c r="AV18" s="473">
        <v>2.99</v>
      </c>
      <c r="AW18" s="471">
        <v>4</v>
      </c>
      <c r="AX18" s="471">
        <v>4.99</v>
      </c>
      <c r="AY18" s="481"/>
      <c r="AZ18" s="476">
        <v>4.99</v>
      </c>
      <c r="BA18" s="481"/>
      <c r="BB18" s="476">
        <v>1.99</v>
      </c>
      <c r="BD18" s="432" t="s">
        <v>604</v>
      </c>
    </row>
    <row r="19" spans="1:56" ht="15.75" x14ac:dyDescent="0.25">
      <c r="A19" s="453" t="s">
        <v>481</v>
      </c>
      <c r="B19" s="408">
        <v>18</v>
      </c>
      <c r="C19" s="393">
        <f ca="1">103+$A$32-$A$31-112</f>
        <v>2</v>
      </c>
      <c r="D19" s="394"/>
      <c r="E19" s="438">
        <f t="shared" ref="E19:E27" ca="1" si="2">F19-$A$32</f>
        <v>-11</v>
      </c>
      <c r="F19" s="395">
        <v>43644</v>
      </c>
      <c r="G19" s="408"/>
      <c r="H19" s="402">
        <v>1.99</v>
      </c>
      <c r="I19" s="397">
        <v>4</v>
      </c>
      <c r="J19" s="411">
        <v>4.99</v>
      </c>
      <c r="K19" s="397">
        <v>3</v>
      </c>
      <c r="L19" s="411">
        <v>3.99</v>
      </c>
      <c r="M19" s="397">
        <v>1</v>
      </c>
      <c r="N19" s="411">
        <v>1.99</v>
      </c>
      <c r="O19" s="408"/>
      <c r="P19" s="400">
        <v>5.99</v>
      </c>
      <c r="Q19" s="399">
        <v>4</v>
      </c>
      <c r="R19" s="400">
        <v>5.99</v>
      </c>
      <c r="S19" s="408"/>
      <c r="T19" s="400">
        <v>5.99</v>
      </c>
      <c r="U19" s="414" t="s">
        <v>482</v>
      </c>
      <c r="V19" s="404"/>
      <c r="W19" s="404">
        <f t="shared" si="1"/>
        <v>7</v>
      </c>
      <c r="X19" s="404">
        <v>0</v>
      </c>
      <c r="Y19" s="404">
        <v>1</v>
      </c>
      <c r="Z19" s="404"/>
      <c r="AA19" s="418"/>
      <c r="AB19" s="418"/>
      <c r="AC19" s="418"/>
      <c r="AD19" s="418"/>
      <c r="AE19" s="418"/>
      <c r="AF19" s="418"/>
      <c r="AG19" s="418"/>
      <c r="AH19" s="407" t="s">
        <v>470</v>
      </c>
      <c r="AI19" s="408"/>
      <c r="AK19" s="501" t="s">
        <v>181</v>
      </c>
      <c r="AL19" s="434">
        <v>16</v>
      </c>
      <c r="AM19" s="435">
        <v>1626</v>
      </c>
      <c r="AN19" s="437"/>
      <c r="AO19" s="479"/>
      <c r="AP19" s="479"/>
      <c r="AQ19" s="473">
        <v>4</v>
      </c>
      <c r="AR19" s="473">
        <v>4.99</v>
      </c>
      <c r="AS19" s="473">
        <v>5</v>
      </c>
      <c r="AT19" s="474">
        <v>5.99</v>
      </c>
      <c r="AU19" s="473">
        <v>4</v>
      </c>
      <c r="AV19" s="473">
        <v>4.99</v>
      </c>
      <c r="AW19" s="479"/>
      <c r="AX19" s="479"/>
      <c r="AY19" s="471">
        <v>2</v>
      </c>
      <c r="AZ19" s="471">
        <v>2.99</v>
      </c>
      <c r="BA19" s="473">
        <v>1</v>
      </c>
      <c r="BB19" s="473">
        <v>1.99</v>
      </c>
      <c r="BD19" s="432" t="s">
        <v>605</v>
      </c>
    </row>
    <row r="20" spans="1:56" ht="15.75" x14ac:dyDescent="0.25">
      <c r="A20" s="453" t="s">
        <v>483</v>
      </c>
      <c r="B20" s="408">
        <v>17</v>
      </c>
      <c r="C20" s="393">
        <f ca="1">92+$A$32-$A$31</f>
        <v>103</v>
      </c>
      <c r="D20" s="394"/>
      <c r="E20" s="438">
        <f t="shared" ca="1" si="2"/>
        <v>-11</v>
      </c>
      <c r="F20" s="395">
        <v>43644</v>
      </c>
      <c r="G20" s="408"/>
      <c r="H20" s="402">
        <v>1.99</v>
      </c>
      <c r="I20" s="397">
        <v>4</v>
      </c>
      <c r="J20" s="411">
        <v>4.99</v>
      </c>
      <c r="K20" s="397">
        <v>3</v>
      </c>
      <c r="L20" s="411">
        <v>3.99</v>
      </c>
      <c r="M20" s="408"/>
      <c r="N20" s="402">
        <v>2.99</v>
      </c>
      <c r="O20" s="408"/>
      <c r="P20" s="400">
        <v>5.99</v>
      </c>
      <c r="Q20" s="397">
        <v>3</v>
      </c>
      <c r="R20" s="411">
        <v>3.99</v>
      </c>
      <c r="S20" s="408"/>
      <c r="T20" s="408"/>
      <c r="U20" s="414" t="s">
        <v>484</v>
      </c>
      <c r="V20" s="404"/>
      <c r="W20" s="404">
        <f t="shared" si="1"/>
        <v>6</v>
      </c>
      <c r="X20" s="404">
        <v>0</v>
      </c>
      <c r="Y20" s="404">
        <v>0</v>
      </c>
      <c r="Z20" s="404"/>
      <c r="AA20" s="418"/>
      <c r="AB20" s="418"/>
      <c r="AC20" s="418"/>
      <c r="AD20" s="418"/>
      <c r="AE20" s="418"/>
      <c r="AF20" s="418"/>
      <c r="AG20" s="418"/>
      <c r="AH20" s="407" t="s">
        <v>470</v>
      </c>
      <c r="AI20" s="371"/>
      <c r="AK20" s="501" t="s">
        <v>508</v>
      </c>
      <c r="AL20" s="434">
        <v>17</v>
      </c>
      <c r="AM20" s="435">
        <v>1561</v>
      </c>
      <c r="AN20" s="437" t="s">
        <v>94</v>
      </c>
      <c r="AO20" s="470"/>
      <c r="AP20" s="470"/>
      <c r="AQ20" s="473">
        <v>4</v>
      </c>
      <c r="AR20" s="473">
        <v>4.99</v>
      </c>
      <c r="AS20" s="471">
        <v>5</v>
      </c>
      <c r="AT20" s="472">
        <v>5.99</v>
      </c>
      <c r="AU20" s="473">
        <v>4</v>
      </c>
      <c r="AV20" s="473">
        <v>4.99</v>
      </c>
      <c r="AW20" s="470"/>
      <c r="AX20" s="470"/>
      <c r="AY20" s="470"/>
      <c r="AZ20" s="476">
        <v>2.99</v>
      </c>
      <c r="BA20" s="473">
        <v>3</v>
      </c>
      <c r="BB20" s="473">
        <v>3.99</v>
      </c>
    </row>
    <row r="21" spans="1:56" ht="15.75" x14ac:dyDescent="0.25">
      <c r="A21" s="453" t="s">
        <v>485</v>
      </c>
      <c r="B21" s="392">
        <v>17</v>
      </c>
      <c r="C21" s="422">
        <f ca="1">75+$A$32-$A$31</f>
        <v>86</v>
      </c>
      <c r="D21" s="371"/>
      <c r="E21" s="438">
        <f t="shared" ca="1" si="2"/>
        <v>-11</v>
      </c>
      <c r="F21" s="395">
        <v>43644</v>
      </c>
      <c r="G21" s="371"/>
      <c r="H21" s="402">
        <v>1.99</v>
      </c>
      <c r="I21" s="371"/>
      <c r="J21" s="402">
        <v>3.99</v>
      </c>
      <c r="K21" s="397">
        <v>3</v>
      </c>
      <c r="L21" s="411">
        <v>3.99</v>
      </c>
      <c r="M21" s="399">
        <v>4</v>
      </c>
      <c r="N21" s="400">
        <v>5.99</v>
      </c>
      <c r="O21" s="412">
        <v>4</v>
      </c>
      <c r="P21" s="413">
        <v>4.99</v>
      </c>
      <c r="Q21" s="371"/>
      <c r="R21" s="402">
        <v>3.99</v>
      </c>
      <c r="S21" s="371"/>
      <c r="T21" s="371"/>
      <c r="U21" s="403" t="s">
        <v>468</v>
      </c>
      <c r="V21" s="371"/>
      <c r="W21" s="404">
        <f t="shared" si="1"/>
        <v>6</v>
      </c>
      <c r="X21" s="373">
        <v>0</v>
      </c>
      <c r="Y21" s="373">
        <v>0</v>
      </c>
      <c r="Z21" s="371"/>
      <c r="AA21" s="423"/>
      <c r="AB21" s="423"/>
      <c r="AC21" s="423"/>
      <c r="AD21" s="423"/>
      <c r="AE21" s="423"/>
      <c r="AF21" s="423"/>
      <c r="AG21" s="423"/>
      <c r="AH21" s="407" t="s">
        <v>470</v>
      </c>
      <c r="AI21" s="371"/>
      <c r="AK21" s="501" t="s">
        <v>509</v>
      </c>
      <c r="AL21" s="434">
        <v>17</v>
      </c>
      <c r="AM21" s="435">
        <v>1515</v>
      </c>
      <c r="AN21" s="437"/>
      <c r="AO21" s="479"/>
      <c r="AP21" s="479"/>
      <c r="AQ21" s="471">
        <v>3</v>
      </c>
      <c r="AR21" s="471">
        <v>3.99</v>
      </c>
      <c r="AS21" s="473">
        <v>4</v>
      </c>
      <c r="AT21" s="473">
        <v>4.99</v>
      </c>
      <c r="AU21" s="473">
        <v>5</v>
      </c>
      <c r="AV21" s="474">
        <v>5.99</v>
      </c>
      <c r="AW21" s="479"/>
      <c r="AX21" s="479"/>
      <c r="AY21" s="473">
        <v>3</v>
      </c>
      <c r="AZ21" s="473">
        <v>3.99</v>
      </c>
      <c r="BA21" s="479"/>
      <c r="BB21" s="479"/>
    </row>
    <row r="22" spans="1:56" ht="15.75" x14ac:dyDescent="0.25">
      <c r="A22" s="453" t="s">
        <v>486</v>
      </c>
      <c r="B22" s="408">
        <v>17</v>
      </c>
      <c r="C22" s="393">
        <f ca="1">75+$A$32-$A$31</f>
        <v>86</v>
      </c>
      <c r="D22" s="409" t="s">
        <v>94</v>
      </c>
      <c r="E22" s="438">
        <f t="shared" ca="1" si="2"/>
        <v>-11</v>
      </c>
      <c r="F22" s="395">
        <v>43644</v>
      </c>
      <c r="G22" s="408"/>
      <c r="H22" s="408"/>
      <c r="I22" s="397">
        <v>2</v>
      </c>
      <c r="J22" s="411">
        <v>2.99</v>
      </c>
      <c r="K22" s="397">
        <v>2</v>
      </c>
      <c r="L22" s="411">
        <v>2.99</v>
      </c>
      <c r="M22" s="399">
        <v>4</v>
      </c>
      <c r="N22" s="401">
        <v>6.99</v>
      </c>
      <c r="O22" s="408"/>
      <c r="P22" s="400">
        <v>5.99</v>
      </c>
      <c r="Q22" s="399">
        <v>2</v>
      </c>
      <c r="R22" s="402">
        <v>3.99</v>
      </c>
      <c r="S22" s="408"/>
      <c r="T22" s="402">
        <v>3.99</v>
      </c>
      <c r="U22" s="403" t="s">
        <v>468</v>
      </c>
      <c r="V22" s="404"/>
      <c r="W22" s="404">
        <f t="shared" si="1"/>
        <v>6</v>
      </c>
      <c r="X22" s="404">
        <v>0</v>
      </c>
      <c r="Y22" s="404">
        <v>0</v>
      </c>
      <c r="Z22" s="417">
        <v>1896</v>
      </c>
      <c r="AA22" s="418"/>
      <c r="AB22" s="418"/>
      <c r="AC22" s="418"/>
      <c r="AD22" s="418"/>
      <c r="AE22" s="418"/>
      <c r="AF22" s="418"/>
      <c r="AG22" s="418"/>
      <c r="AH22" s="407" t="s">
        <v>463</v>
      </c>
      <c r="AI22" s="371"/>
      <c r="AK22" s="501" t="s">
        <v>510</v>
      </c>
      <c r="AL22" s="434">
        <v>19</v>
      </c>
      <c r="AM22" s="435">
        <v>1502</v>
      </c>
      <c r="AN22" s="437"/>
      <c r="AO22" s="479"/>
      <c r="AP22" s="476">
        <v>1.99</v>
      </c>
      <c r="AQ22" s="479"/>
      <c r="AR22" s="476">
        <v>2.99</v>
      </c>
      <c r="AS22" s="476">
        <v>3</v>
      </c>
      <c r="AT22" s="479"/>
      <c r="AU22" s="479"/>
      <c r="AV22" s="479"/>
      <c r="AW22" s="471">
        <v>5</v>
      </c>
      <c r="AX22" s="482">
        <v>5.99</v>
      </c>
      <c r="AY22" s="479"/>
      <c r="AZ22" s="476">
        <v>2.99</v>
      </c>
      <c r="BA22" s="479"/>
      <c r="BB22" s="479"/>
    </row>
    <row r="23" spans="1:56" ht="15.75" x14ac:dyDescent="0.25">
      <c r="A23" s="451" t="s">
        <v>487</v>
      </c>
      <c r="B23" s="392">
        <v>17</v>
      </c>
      <c r="C23" s="393">
        <f ca="1">48+$A$32-$A$31</f>
        <v>59</v>
      </c>
      <c r="D23" s="409" t="s">
        <v>67</v>
      </c>
      <c r="E23" s="438">
        <f t="shared" ca="1" si="2"/>
        <v>-11</v>
      </c>
      <c r="F23" s="395">
        <v>43644</v>
      </c>
      <c r="G23" s="396"/>
      <c r="H23" s="402">
        <v>1.99</v>
      </c>
      <c r="I23" s="412">
        <v>4</v>
      </c>
      <c r="J23" s="413">
        <v>4.99</v>
      </c>
      <c r="K23" s="397">
        <v>3</v>
      </c>
      <c r="L23" s="411">
        <v>3.99</v>
      </c>
      <c r="M23" s="397">
        <v>2</v>
      </c>
      <c r="N23" s="411">
        <v>2.99</v>
      </c>
      <c r="O23" s="396"/>
      <c r="P23" s="402">
        <v>2.99</v>
      </c>
      <c r="Q23" s="399">
        <v>4</v>
      </c>
      <c r="R23" s="401">
        <v>6.99</v>
      </c>
      <c r="S23" s="396"/>
      <c r="T23" s="396"/>
      <c r="U23" s="403" t="s">
        <v>468</v>
      </c>
      <c r="V23" s="404" t="s">
        <v>469</v>
      </c>
      <c r="W23" s="404">
        <f t="shared" si="1"/>
        <v>6</v>
      </c>
      <c r="X23" s="404">
        <v>0</v>
      </c>
      <c r="Y23" s="404">
        <v>0</v>
      </c>
      <c r="Z23" s="417">
        <v>1969</v>
      </c>
      <c r="AA23" s="418"/>
      <c r="AB23" s="418"/>
      <c r="AC23" s="418"/>
      <c r="AD23" s="418"/>
      <c r="AE23" s="418"/>
      <c r="AF23" s="418"/>
      <c r="AG23" s="418"/>
      <c r="AH23" s="407" t="s">
        <v>470</v>
      </c>
      <c r="AI23" s="371"/>
      <c r="AK23" s="501" t="s">
        <v>511</v>
      </c>
      <c r="AL23" s="434">
        <v>18</v>
      </c>
      <c r="AM23" s="435">
        <v>1561</v>
      </c>
      <c r="AN23" s="437"/>
      <c r="AO23" s="470"/>
      <c r="AP23" s="470"/>
      <c r="AQ23" s="476">
        <v>1</v>
      </c>
      <c r="AR23" s="476">
        <v>2.99</v>
      </c>
      <c r="AS23" s="471">
        <v>3</v>
      </c>
      <c r="AT23" s="471">
        <v>3.99</v>
      </c>
      <c r="AU23" s="470"/>
      <c r="AV23" s="475">
        <v>5.99</v>
      </c>
      <c r="AW23" s="476">
        <v>3</v>
      </c>
      <c r="AX23" s="476">
        <v>4.99</v>
      </c>
      <c r="AY23" s="473">
        <v>1</v>
      </c>
      <c r="AZ23" s="473">
        <v>1.99</v>
      </c>
      <c r="BA23" s="470"/>
      <c r="BB23" s="470"/>
    </row>
    <row r="24" spans="1:56" ht="15.75" x14ac:dyDescent="0.25">
      <c r="A24" s="454" t="s">
        <v>488</v>
      </c>
      <c r="B24" s="392">
        <v>16</v>
      </c>
      <c r="C24" s="393">
        <f ca="1">76+$A$32-$A$31</f>
        <v>87</v>
      </c>
      <c r="D24" s="409" t="s">
        <v>67</v>
      </c>
      <c r="E24" s="438">
        <f t="shared" ca="1" si="2"/>
        <v>25</v>
      </c>
      <c r="F24" s="395">
        <v>43680</v>
      </c>
      <c r="G24" s="396"/>
      <c r="H24" s="402">
        <v>0.9</v>
      </c>
      <c r="I24" s="397">
        <v>3</v>
      </c>
      <c r="J24" s="411">
        <v>3.99</v>
      </c>
      <c r="K24" s="412">
        <v>4</v>
      </c>
      <c r="L24" s="413">
        <v>4.99</v>
      </c>
      <c r="M24" s="396"/>
      <c r="N24" s="402">
        <v>3.99</v>
      </c>
      <c r="O24" s="396"/>
      <c r="P24" s="401">
        <v>6.99</v>
      </c>
      <c r="Q24" s="396"/>
      <c r="R24" s="402">
        <v>4.99</v>
      </c>
      <c r="S24" s="396"/>
      <c r="T24" s="396"/>
      <c r="U24" s="414" t="s">
        <v>489</v>
      </c>
      <c r="V24" s="404" t="s">
        <v>469</v>
      </c>
      <c r="W24" s="404">
        <f t="shared" si="1"/>
        <v>6</v>
      </c>
      <c r="X24" s="404">
        <v>0</v>
      </c>
      <c r="Y24" s="404">
        <v>0</v>
      </c>
      <c r="Z24" s="417">
        <v>1968</v>
      </c>
      <c r="AA24" s="418"/>
      <c r="AB24" s="418"/>
      <c r="AC24" s="418"/>
      <c r="AD24" s="418"/>
      <c r="AE24" s="418"/>
      <c r="AF24" s="418"/>
      <c r="AG24" s="418"/>
      <c r="AH24" s="407" t="s">
        <v>463</v>
      </c>
      <c r="AI24" s="408"/>
      <c r="AK24" s="501" t="s">
        <v>512</v>
      </c>
      <c r="AL24" s="434">
        <v>18</v>
      </c>
      <c r="AM24" s="435">
        <v>1540</v>
      </c>
      <c r="AN24" s="437" t="s">
        <v>105</v>
      </c>
      <c r="AO24" s="479"/>
      <c r="AP24" s="479"/>
      <c r="AQ24" s="479"/>
      <c r="AR24" s="476">
        <v>4.99</v>
      </c>
      <c r="AS24" s="473">
        <v>5.5</v>
      </c>
      <c r="AT24" s="474">
        <v>5.99</v>
      </c>
      <c r="AU24" s="473">
        <v>1</v>
      </c>
      <c r="AV24" s="473">
        <v>1.99</v>
      </c>
      <c r="AW24" s="473">
        <v>2</v>
      </c>
      <c r="AX24" s="473">
        <v>2.99</v>
      </c>
      <c r="AY24" s="473">
        <v>3</v>
      </c>
      <c r="AZ24" s="473">
        <v>3.99</v>
      </c>
      <c r="BA24" s="479"/>
      <c r="BB24" s="479"/>
    </row>
    <row r="25" spans="1:56" ht="15.75" x14ac:dyDescent="0.25">
      <c r="A25" s="451" t="s">
        <v>490</v>
      </c>
      <c r="B25" s="392">
        <v>17</v>
      </c>
      <c r="C25" s="393">
        <f ca="1">27+$A$32-$A$31</f>
        <v>38</v>
      </c>
      <c r="D25" s="409"/>
      <c r="E25" s="438">
        <f t="shared" ca="1" si="2"/>
        <v>30</v>
      </c>
      <c r="F25" s="395">
        <v>43685</v>
      </c>
      <c r="G25" s="396"/>
      <c r="H25" s="396"/>
      <c r="I25" s="396"/>
      <c r="J25" s="396"/>
      <c r="K25" s="399">
        <v>2</v>
      </c>
      <c r="L25" s="396"/>
      <c r="M25" s="396"/>
      <c r="N25" s="396"/>
      <c r="O25" s="396"/>
      <c r="P25" s="401">
        <v>7</v>
      </c>
      <c r="Q25" s="396"/>
      <c r="R25" s="396"/>
      <c r="S25" s="396"/>
      <c r="T25" s="396"/>
      <c r="U25" s="403" t="s">
        <v>468</v>
      </c>
      <c r="V25" s="404" t="s">
        <v>469</v>
      </c>
      <c r="W25" s="404">
        <f t="shared" si="1"/>
        <v>1</v>
      </c>
      <c r="X25" s="404">
        <v>0</v>
      </c>
      <c r="Y25" s="404">
        <v>0</v>
      </c>
      <c r="Z25" s="404"/>
      <c r="AA25" s="418"/>
      <c r="AB25" s="418"/>
      <c r="AC25" s="418"/>
      <c r="AD25" s="418"/>
      <c r="AE25" s="418"/>
      <c r="AF25" s="418"/>
      <c r="AG25" s="418"/>
      <c r="AH25" s="407" t="s">
        <v>470</v>
      </c>
      <c r="AI25" s="371"/>
      <c r="AK25" s="501" t="s">
        <v>513</v>
      </c>
      <c r="AL25" s="434">
        <v>18</v>
      </c>
      <c r="AM25" s="435">
        <v>1501</v>
      </c>
      <c r="AN25" s="437" t="s">
        <v>67</v>
      </c>
      <c r="AO25" s="479"/>
      <c r="AP25" s="476">
        <v>1.99</v>
      </c>
      <c r="AQ25" s="479"/>
      <c r="AR25" s="476">
        <v>1.99</v>
      </c>
      <c r="AS25" s="471">
        <v>5</v>
      </c>
      <c r="AT25" s="472">
        <v>5.99</v>
      </c>
      <c r="AU25" s="479"/>
      <c r="AV25" s="476">
        <v>3.99</v>
      </c>
      <c r="AW25" s="473">
        <v>3</v>
      </c>
      <c r="AX25" s="473">
        <v>3.99</v>
      </c>
      <c r="AY25" s="471">
        <v>2</v>
      </c>
      <c r="AZ25" s="471">
        <v>2.99</v>
      </c>
      <c r="BA25" s="479"/>
      <c r="BB25" s="479"/>
    </row>
    <row r="26" spans="1:56" ht="15.75" x14ac:dyDescent="0.25">
      <c r="A26" s="455" t="s">
        <v>491</v>
      </c>
      <c r="B26" s="408">
        <v>16</v>
      </c>
      <c r="C26" s="393">
        <f ca="1">68+$A$32-$A$31</f>
        <v>79</v>
      </c>
      <c r="D26" s="394"/>
      <c r="E26" s="438">
        <f t="shared" ca="1" si="2"/>
        <v>33</v>
      </c>
      <c r="F26" s="395">
        <v>43688</v>
      </c>
      <c r="G26" s="408"/>
      <c r="H26" s="401">
        <v>6.99</v>
      </c>
      <c r="I26" s="408"/>
      <c r="J26" s="402">
        <v>2.99</v>
      </c>
      <c r="K26" s="415">
        <v>1</v>
      </c>
      <c r="L26" s="416">
        <v>1.99</v>
      </c>
      <c r="M26" s="397">
        <v>0</v>
      </c>
      <c r="N26" s="411">
        <v>0.99</v>
      </c>
      <c r="O26" s="408"/>
      <c r="P26" s="402">
        <v>0.99</v>
      </c>
      <c r="Q26" s="408"/>
      <c r="R26" s="402">
        <v>1.99</v>
      </c>
      <c r="S26" s="408"/>
      <c r="T26" s="402">
        <v>1.99</v>
      </c>
      <c r="U26" s="414" t="s">
        <v>492</v>
      </c>
      <c r="V26" s="404"/>
      <c r="W26" s="404">
        <f t="shared" si="1"/>
        <v>7</v>
      </c>
      <c r="X26" s="404">
        <v>0</v>
      </c>
      <c r="Y26" s="404">
        <v>0</v>
      </c>
      <c r="Z26" s="404">
        <v>1808</v>
      </c>
      <c r="AA26" s="418"/>
      <c r="AB26" s="418"/>
      <c r="AC26" s="418"/>
      <c r="AD26" s="418"/>
      <c r="AE26" s="418"/>
      <c r="AF26" s="418"/>
      <c r="AG26" s="418"/>
      <c r="AH26" s="407" t="s">
        <v>470</v>
      </c>
      <c r="AI26" s="408"/>
      <c r="AK26" s="501" t="s">
        <v>514</v>
      </c>
      <c r="AL26" s="434">
        <v>16</v>
      </c>
      <c r="AM26" s="435">
        <v>1510</v>
      </c>
      <c r="AN26" s="437"/>
      <c r="AO26" s="470"/>
      <c r="AP26" s="476">
        <v>1.99</v>
      </c>
      <c r="AQ26" s="473">
        <v>3</v>
      </c>
      <c r="AR26" s="474">
        <v>3.99</v>
      </c>
      <c r="AS26" s="473">
        <v>5.4</v>
      </c>
      <c r="AT26" s="474">
        <v>5.99</v>
      </c>
      <c r="AU26" s="473">
        <v>2</v>
      </c>
      <c r="AV26" s="473">
        <v>2.99</v>
      </c>
      <c r="AW26" s="470"/>
      <c r="AX26" s="470"/>
      <c r="AY26" s="473">
        <v>4</v>
      </c>
      <c r="AZ26" s="473">
        <v>4.99</v>
      </c>
      <c r="BA26" s="479"/>
      <c r="BB26" s="476">
        <v>3.99</v>
      </c>
    </row>
    <row r="27" spans="1:56" ht="15.75" x14ac:dyDescent="0.25">
      <c r="A27" s="453" t="s">
        <v>493</v>
      </c>
      <c r="B27" s="408">
        <v>17</v>
      </c>
      <c r="C27" s="393">
        <f ca="1">3+$A$32-$A$31</f>
        <v>14</v>
      </c>
      <c r="D27" s="394"/>
      <c r="E27" s="438">
        <f t="shared" ca="1" si="2"/>
        <v>42</v>
      </c>
      <c r="F27" s="395">
        <v>43697</v>
      </c>
      <c r="G27" s="408"/>
      <c r="H27" s="408"/>
      <c r="I27" s="399">
        <v>5</v>
      </c>
      <c r="J27" s="401">
        <v>6.99</v>
      </c>
      <c r="K27" s="371"/>
      <c r="L27" s="402">
        <v>2.99</v>
      </c>
      <c r="M27" s="408"/>
      <c r="N27" s="402">
        <v>1.99</v>
      </c>
      <c r="O27" s="408"/>
      <c r="P27" s="402">
        <v>2.99</v>
      </c>
      <c r="Q27" s="408"/>
      <c r="R27" s="401">
        <v>6.99</v>
      </c>
      <c r="S27" s="408"/>
      <c r="T27" s="408"/>
      <c r="U27" s="424" t="s">
        <v>468</v>
      </c>
      <c r="V27" s="404"/>
      <c r="W27" s="404">
        <f t="shared" si="1"/>
        <v>5</v>
      </c>
      <c r="X27" s="404">
        <v>0</v>
      </c>
      <c r="Y27" s="404">
        <v>0</v>
      </c>
      <c r="Z27" s="404"/>
      <c r="AA27" s="418"/>
      <c r="AB27" s="418"/>
      <c r="AC27" s="418"/>
      <c r="AD27" s="418"/>
      <c r="AE27" s="418"/>
      <c r="AF27" s="418"/>
      <c r="AG27" s="418"/>
      <c r="AH27" s="407" t="s">
        <v>470</v>
      </c>
      <c r="AI27" s="371"/>
      <c r="AK27" s="501" t="s">
        <v>515</v>
      </c>
      <c r="AL27" s="434">
        <v>17</v>
      </c>
      <c r="AM27" s="435">
        <v>1456</v>
      </c>
      <c r="AN27" s="437"/>
      <c r="AO27" s="483"/>
      <c r="AP27" s="483"/>
      <c r="AQ27" s="483"/>
      <c r="AR27" s="476">
        <v>3.99</v>
      </c>
      <c r="AS27" s="473">
        <v>2</v>
      </c>
      <c r="AT27" s="473">
        <v>2.99</v>
      </c>
      <c r="AU27" s="473">
        <v>4</v>
      </c>
      <c r="AV27" s="473">
        <v>4.99</v>
      </c>
      <c r="AW27" s="473">
        <v>5</v>
      </c>
      <c r="AX27" s="474">
        <v>5.99</v>
      </c>
      <c r="AY27" s="473">
        <v>6</v>
      </c>
      <c r="AZ27" s="478">
        <v>6.99</v>
      </c>
      <c r="BA27" s="483"/>
      <c r="BB27" s="483"/>
    </row>
    <row r="28" spans="1:56" ht="15.75" x14ac:dyDescent="0.25">
      <c r="A28" s="451" t="s">
        <v>678</v>
      </c>
      <c r="B28" s="408">
        <v>16</v>
      </c>
      <c r="C28" s="393">
        <f ca="1">45+$A$32-$A$31+24</f>
        <v>80</v>
      </c>
      <c r="D28" s="409"/>
      <c r="E28" s="438">
        <f ca="1">F28-$A$32</f>
        <v>110</v>
      </c>
      <c r="F28" s="395">
        <v>43765</v>
      </c>
      <c r="G28" s="408"/>
      <c r="H28" s="402">
        <v>4.99</v>
      </c>
      <c r="I28" s="436"/>
      <c r="J28" s="436"/>
      <c r="K28" s="399">
        <v>0</v>
      </c>
      <c r="L28" s="436"/>
      <c r="M28" s="436"/>
      <c r="N28" s="436"/>
      <c r="O28" s="436"/>
      <c r="P28" s="436"/>
      <c r="Q28" s="436"/>
      <c r="R28" s="436"/>
      <c r="S28" s="436"/>
      <c r="T28" s="408"/>
      <c r="U28" s="403"/>
      <c r="V28" s="404"/>
      <c r="W28" s="404">
        <f t="shared" ref="W28" si="3">COUNTA(H28,J28,L28,N28,P28,R28,T28)</f>
        <v>1</v>
      </c>
      <c r="X28" s="404">
        <v>0</v>
      </c>
      <c r="Y28" s="404">
        <v>0</v>
      </c>
      <c r="Z28" s="418"/>
      <c r="AA28" s="418"/>
      <c r="AB28" s="418"/>
      <c r="AC28" s="418"/>
      <c r="AD28" s="418"/>
      <c r="AE28" s="418"/>
      <c r="AF28" s="418"/>
      <c r="AG28" s="418"/>
      <c r="AH28" s="407"/>
      <c r="AI28" s="371"/>
      <c r="AK28" s="501" t="s">
        <v>516</v>
      </c>
      <c r="AL28" s="434">
        <v>17</v>
      </c>
      <c r="AM28" s="435">
        <v>1439</v>
      </c>
      <c r="AN28" s="437" t="s">
        <v>220</v>
      </c>
      <c r="AO28" s="479"/>
      <c r="AP28" s="479"/>
      <c r="AQ28" s="473">
        <v>2</v>
      </c>
      <c r="AR28" s="473">
        <v>2.99</v>
      </c>
      <c r="AS28" s="471">
        <v>4</v>
      </c>
      <c r="AT28" s="471">
        <v>4.99</v>
      </c>
      <c r="AU28" s="479"/>
      <c r="AV28" s="476">
        <v>3.99</v>
      </c>
      <c r="AW28" s="479"/>
      <c r="AX28" s="476">
        <v>3.99</v>
      </c>
      <c r="AY28" s="473">
        <v>4</v>
      </c>
      <c r="AZ28" s="473">
        <v>4.99</v>
      </c>
      <c r="BA28" s="479"/>
      <c r="BB28" s="479"/>
    </row>
    <row r="29" spans="1:56" ht="15.75" x14ac:dyDescent="0.25">
      <c r="A29" s="408"/>
      <c r="B29" s="408"/>
      <c r="C29" s="422"/>
      <c r="D29" s="424"/>
      <c r="E29" s="408"/>
      <c r="F29" s="408"/>
      <c r="G29" s="408"/>
      <c r="H29" s="408"/>
      <c r="I29" s="408"/>
      <c r="J29" s="408"/>
      <c r="K29" s="408"/>
      <c r="L29" s="408"/>
      <c r="M29" s="408"/>
      <c r="N29" s="408"/>
      <c r="O29" s="408"/>
      <c r="P29" s="408"/>
      <c r="Q29" s="408"/>
      <c r="R29" s="408"/>
      <c r="S29" s="408"/>
      <c r="T29" s="408"/>
      <c r="U29" s="424"/>
      <c r="V29" s="424"/>
      <c r="W29" s="424"/>
      <c r="X29" s="424"/>
      <c r="Y29" s="424"/>
      <c r="Z29" s="424"/>
      <c r="AA29" s="424"/>
      <c r="AB29" s="424"/>
      <c r="AC29" s="424"/>
      <c r="AD29" s="424"/>
      <c r="AE29" s="424"/>
      <c r="AF29" s="424"/>
      <c r="AG29" s="424"/>
      <c r="AH29" s="425"/>
      <c r="AI29" s="408"/>
      <c r="AK29" s="501" t="s">
        <v>225</v>
      </c>
      <c r="AL29" s="434">
        <v>17</v>
      </c>
      <c r="AM29" s="435">
        <v>1340</v>
      </c>
      <c r="AN29" s="437" t="s">
        <v>220</v>
      </c>
      <c r="AO29" s="479"/>
      <c r="AP29" s="479"/>
      <c r="AQ29" s="471">
        <v>2</v>
      </c>
      <c r="AR29" s="471">
        <v>2.99</v>
      </c>
      <c r="AS29" s="473">
        <v>6.1</v>
      </c>
      <c r="AT29" s="478">
        <v>6.2</v>
      </c>
      <c r="AU29" s="473">
        <v>4</v>
      </c>
      <c r="AV29" s="473">
        <v>4.99</v>
      </c>
      <c r="AW29" s="473">
        <v>4</v>
      </c>
      <c r="AX29" s="473">
        <v>4.99</v>
      </c>
      <c r="AY29" s="474">
        <v>5</v>
      </c>
      <c r="AZ29" s="474">
        <v>5.99</v>
      </c>
      <c r="BA29" s="479"/>
      <c r="BB29" s="479"/>
    </row>
    <row r="30" spans="1:56" ht="15.75" x14ac:dyDescent="0.25">
      <c r="A30" s="456" t="s">
        <v>494</v>
      </c>
      <c r="B30" s="458"/>
      <c r="C30" s="458"/>
      <c r="D30" s="436"/>
      <c r="E30" s="420"/>
      <c r="F30" s="371"/>
      <c r="G30" s="371"/>
      <c r="H30" s="371"/>
      <c r="I30" s="371"/>
      <c r="J30" s="371"/>
      <c r="K30" s="371"/>
      <c r="L30" s="371"/>
      <c r="M30" s="371"/>
      <c r="N30" s="371"/>
      <c r="O30" s="371"/>
      <c r="P30" s="371"/>
      <c r="Q30" s="408"/>
      <c r="R30" s="408"/>
      <c r="S30" s="371"/>
      <c r="T30" s="371"/>
      <c r="U30" s="371"/>
      <c r="V30" s="371"/>
      <c r="W30" s="371"/>
      <c r="X30" s="371"/>
      <c r="Y30" s="371"/>
      <c r="Z30" s="371"/>
      <c r="AA30" s="371"/>
      <c r="AB30" s="371"/>
      <c r="AC30" s="371"/>
      <c r="AD30" s="371"/>
      <c r="AE30" s="371"/>
      <c r="AF30" s="371"/>
      <c r="AG30" s="371"/>
      <c r="AH30" s="371"/>
      <c r="AI30" s="371"/>
      <c r="AK30" s="501" t="s">
        <v>517</v>
      </c>
      <c r="AL30" s="434">
        <v>19</v>
      </c>
      <c r="AM30" s="435">
        <v>1416</v>
      </c>
      <c r="AN30" s="437" t="s">
        <v>67</v>
      </c>
      <c r="AO30" s="481"/>
      <c r="AP30" s="476">
        <v>1.99</v>
      </c>
      <c r="AQ30" s="476">
        <v>5</v>
      </c>
      <c r="AR30" s="477">
        <v>6.99</v>
      </c>
      <c r="AS30" s="473">
        <v>1</v>
      </c>
      <c r="AT30" s="473">
        <v>1.99</v>
      </c>
      <c r="AU30" s="473">
        <v>3</v>
      </c>
      <c r="AV30" s="473">
        <v>3.99</v>
      </c>
      <c r="AW30" s="481"/>
      <c r="AX30" s="476">
        <v>3.99</v>
      </c>
      <c r="AY30" s="473">
        <v>2</v>
      </c>
      <c r="AZ30" s="473">
        <v>2.99</v>
      </c>
      <c r="BA30" s="481"/>
      <c r="BB30" s="476">
        <v>2.99</v>
      </c>
    </row>
    <row r="31" spans="1:56" ht="15.75" x14ac:dyDescent="0.25">
      <c r="A31" s="457">
        <v>43644</v>
      </c>
      <c r="B31" s="459"/>
      <c r="C31" s="458"/>
      <c r="D31" s="436"/>
      <c r="E31" s="420"/>
      <c r="F31" s="383" t="s">
        <v>235</v>
      </c>
      <c r="G31" s="373"/>
      <c r="H31" s="371"/>
      <c r="I31" s="371"/>
      <c r="J31" s="371"/>
      <c r="K31" s="371"/>
      <c r="L31" s="371"/>
      <c r="M31" s="371"/>
      <c r="N31" s="371"/>
      <c r="O31" s="371"/>
      <c r="P31" s="371"/>
      <c r="Q31" s="408"/>
      <c r="R31" s="408"/>
      <c r="S31" s="371"/>
      <c r="T31" s="371"/>
      <c r="U31" s="371"/>
      <c r="V31" s="371"/>
      <c r="W31" s="371"/>
      <c r="X31" s="371"/>
      <c r="Y31" s="371"/>
      <c r="Z31" s="371"/>
      <c r="AA31" s="371"/>
      <c r="AB31" s="371"/>
      <c r="AC31" s="371"/>
      <c r="AD31" s="371"/>
      <c r="AE31" s="371"/>
      <c r="AF31" s="371"/>
      <c r="AG31" s="371"/>
      <c r="AH31" s="426"/>
      <c r="AI31" s="371"/>
      <c r="AK31" s="501" t="s">
        <v>518</v>
      </c>
      <c r="AL31" s="434">
        <v>19</v>
      </c>
      <c r="AM31" s="435">
        <v>1289</v>
      </c>
      <c r="AN31" s="437"/>
      <c r="AO31" s="481"/>
      <c r="AP31" s="481"/>
      <c r="AQ31" s="481"/>
      <c r="AR31" s="475">
        <v>5.99</v>
      </c>
      <c r="AS31" s="471">
        <v>4</v>
      </c>
      <c r="AT31" s="471">
        <v>4.99</v>
      </c>
      <c r="AU31" s="481"/>
      <c r="AV31" s="476">
        <v>2.99</v>
      </c>
      <c r="AW31" s="476">
        <v>5</v>
      </c>
      <c r="AX31" s="475">
        <v>5.99</v>
      </c>
      <c r="AY31" s="473">
        <v>5</v>
      </c>
      <c r="AZ31" s="474">
        <v>5.99</v>
      </c>
      <c r="BA31" s="473">
        <v>2</v>
      </c>
      <c r="BB31" s="473">
        <v>2.99</v>
      </c>
    </row>
    <row r="32" spans="1:56" ht="15.75" x14ac:dyDescent="0.25">
      <c r="A32" s="439">
        <f ca="1">TODAY()</f>
        <v>43655</v>
      </c>
      <c r="B32" s="436"/>
      <c r="C32" s="436"/>
      <c r="D32" s="436"/>
      <c r="E32" s="408"/>
      <c r="F32" s="372" t="s">
        <v>606</v>
      </c>
      <c r="G32" s="371"/>
      <c r="H32" s="371"/>
      <c r="I32" s="371"/>
      <c r="J32" s="371"/>
      <c r="K32" s="371"/>
      <c r="L32" s="371"/>
      <c r="M32" s="371"/>
      <c r="N32" s="371"/>
      <c r="O32" s="371"/>
      <c r="P32" s="372"/>
      <c r="Q32" s="408"/>
      <c r="R32" s="408"/>
      <c r="S32" s="371"/>
      <c r="T32" s="371"/>
      <c r="U32" s="371"/>
      <c r="V32" s="371"/>
      <c r="W32" s="371"/>
      <c r="X32" s="371"/>
      <c r="Y32" s="371"/>
      <c r="Z32" s="371"/>
      <c r="AA32" s="371"/>
      <c r="AB32" s="371"/>
      <c r="AC32" s="371"/>
      <c r="AD32" s="371"/>
      <c r="AE32" s="371"/>
      <c r="AF32" s="371"/>
      <c r="AG32" s="371"/>
      <c r="AH32" s="371"/>
      <c r="AI32" s="371"/>
      <c r="AK32" s="501" t="s">
        <v>519</v>
      </c>
      <c r="AL32" s="434">
        <v>17</v>
      </c>
      <c r="AM32" s="435">
        <v>1296</v>
      </c>
      <c r="AN32" s="437"/>
      <c r="AO32" s="484"/>
      <c r="AP32" s="476">
        <v>1.99</v>
      </c>
      <c r="AQ32" s="473">
        <v>2</v>
      </c>
      <c r="AR32" s="473">
        <v>2.99</v>
      </c>
      <c r="AS32" s="471">
        <v>3</v>
      </c>
      <c r="AT32" s="471">
        <v>3.99</v>
      </c>
      <c r="AU32" s="473">
        <v>3</v>
      </c>
      <c r="AV32" s="473">
        <v>3.99</v>
      </c>
      <c r="AW32" s="473">
        <v>6</v>
      </c>
      <c r="AX32" s="478">
        <v>6.99</v>
      </c>
      <c r="AY32" s="471">
        <v>6</v>
      </c>
      <c r="AZ32" s="485">
        <v>6.99</v>
      </c>
      <c r="BA32" s="484"/>
      <c r="BB32" s="484"/>
    </row>
    <row r="33" spans="1:54" ht="15.75" x14ac:dyDescent="0.25">
      <c r="A33" s="439"/>
      <c r="B33" s="440"/>
      <c r="C33" s="440"/>
      <c r="D33" s="436"/>
      <c r="E33" s="408"/>
      <c r="F33" s="371"/>
      <c r="G33" s="371"/>
      <c r="H33" s="371"/>
      <c r="I33" s="371"/>
      <c r="J33" s="371"/>
      <c r="K33" s="371"/>
      <c r="L33" s="371"/>
      <c r="M33" s="371"/>
      <c r="N33" s="371"/>
      <c r="O33" s="371"/>
      <c r="P33" s="372"/>
      <c r="Q33" s="408"/>
      <c r="R33" s="408"/>
      <c r="AK33" s="501" t="s">
        <v>520</v>
      </c>
      <c r="AL33" s="434">
        <v>17</v>
      </c>
      <c r="AM33" s="435">
        <v>1291</v>
      </c>
      <c r="AN33" s="437"/>
      <c r="AO33" s="479"/>
      <c r="AP33" s="479"/>
      <c r="AQ33" s="473">
        <v>1</v>
      </c>
      <c r="AR33" s="473">
        <v>1.99</v>
      </c>
      <c r="AS33" s="476">
        <v>4</v>
      </c>
      <c r="AT33" s="477">
        <v>6.99</v>
      </c>
      <c r="AU33" s="473">
        <v>3</v>
      </c>
      <c r="AV33" s="473">
        <v>3.99</v>
      </c>
      <c r="AW33" s="479"/>
      <c r="AX33" s="476">
        <v>2.99</v>
      </c>
      <c r="AY33" s="473">
        <v>3</v>
      </c>
      <c r="AZ33" s="473">
        <v>3.99</v>
      </c>
      <c r="BA33" s="479"/>
      <c r="BB33" s="479"/>
    </row>
    <row r="34" spans="1:54" ht="15.75" x14ac:dyDescent="0.25">
      <c r="A34" s="436"/>
      <c r="B34" s="436"/>
      <c r="C34" s="436"/>
      <c r="D34" s="436"/>
      <c r="E34" s="408"/>
      <c r="F34" s="371"/>
      <c r="G34" s="371"/>
      <c r="H34" s="371"/>
      <c r="I34" s="371"/>
      <c r="J34" s="371"/>
      <c r="K34" s="371"/>
      <c r="L34" s="371"/>
      <c r="M34" s="371"/>
      <c r="N34" s="371"/>
      <c r="O34" s="371"/>
      <c r="P34" s="372"/>
      <c r="Q34" s="408"/>
      <c r="R34" s="408"/>
      <c r="AK34" s="501" t="s">
        <v>521</v>
      </c>
      <c r="AL34" s="434">
        <v>17</v>
      </c>
      <c r="AM34" s="435">
        <v>1328</v>
      </c>
      <c r="AN34" s="437"/>
      <c r="AO34" s="479"/>
      <c r="AP34" s="479"/>
      <c r="AQ34" s="473">
        <v>3</v>
      </c>
      <c r="AR34" s="473">
        <v>3.99</v>
      </c>
      <c r="AS34" s="473">
        <v>6</v>
      </c>
      <c r="AT34" s="478">
        <v>6.99</v>
      </c>
      <c r="AU34" s="473">
        <v>3</v>
      </c>
      <c r="AV34" s="473">
        <v>3.99</v>
      </c>
      <c r="AW34" s="471">
        <v>4</v>
      </c>
      <c r="AX34" s="471">
        <v>4.99</v>
      </c>
      <c r="AY34" s="473">
        <v>4</v>
      </c>
      <c r="AZ34" s="473">
        <v>4.99</v>
      </c>
      <c r="BA34" s="479"/>
      <c r="BB34" s="479"/>
    </row>
    <row r="35" spans="1:54" ht="15.75" x14ac:dyDescent="0.25">
      <c r="AK35" s="501" t="s">
        <v>522</v>
      </c>
      <c r="AL35" s="434">
        <v>17</v>
      </c>
      <c r="AM35" s="435">
        <v>-628</v>
      </c>
      <c r="AN35" s="437"/>
      <c r="AO35" s="479"/>
      <c r="AP35" s="479"/>
      <c r="AQ35" s="471">
        <v>6</v>
      </c>
      <c r="AR35" s="485">
        <v>6.99</v>
      </c>
      <c r="AS35" s="471">
        <v>4</v>
      </c>
      <c r="AT35" s="471">
        <v>4.99</v>
      </c>
      <c r="AU35" s="473">
        <v>1</v>
      </c>
      <c r="AV35" s="473">
        <v>1.99</v>
      </c>
      <c r="AW35" s="479"/>
      <c r="AX35" s="476">
        <v>3.99</v>
      </c>
      <c r="AY35" s="473">
        <v>1</v>
      </c>
      <c r="AZ35" s="473">
        <v>1.99</v>
      </c>
      <c r="BA35" s="479"/>
      <c r="BB35" s="476">
        <v>4.99</v>
      </c>
    </row>
    <row r="36" spans="1:54" ht="15.75" x14ac:dyDescent="0.25">
      <c r="AK36" s="501" t="s">
        <v>523</v>
      </c>
      <c r="AL36" s="434">
        <v>17</v>
      </c>
      <c r="AM36" s="435">
        <v>1272</v>
      </c>
      <c r="AN36" s="437"/>
      <c r="AO36" s="486"/>
      <c r="AP36" s="486"/>
      <c r="AQ36" s="473">
        <v>2</v>
      </c>
      <c r="AR36" s="473">
        <v>2.99</v>
      </c>
      <c r="AS36" s="471">
        <v>6</v>
      </c>
      <c r="AT36" s="485">
        <v>6.99</v>
      </c>
      <c r="AU36" s="473">
        <v>3</v>
      </c>
      <c r="AV36" s="473">
        <v>3.99</v>
      </c>
      <c r="AW36" s="473">
        <v>3</v>
      </c>
      <c r="AX36" s="473">
        <v>3.99</v>
      </c>
      <c r="AY36" s="473">
        <v>2</v>
      </c>
      <c r="AZ36" s="473">
        <v>2.99</v>
      </c>
      <c r="BA36" s="473">
        <v>2</v>
      </c>
      <c r="BB36" s="473">
        <v>2.99</v>
      </c>
    </row>
    <row r="37" spans="1:54" ht="15.75" x14ac:dyDescent="0.25">
      <c r="AK37" s="501" t="s">
        <v>258</v>
      </c>
      <c r="AL37" s="434">
        <v>18</v>
      </c>
      <c r="AM37" s="435">
        <v>1200</v>
      </c>
      <c r="AN37" s="437"/>
      <c r="AO37" s="481"/>
      <c r="AP37" s="481"/>
      <c r="AQ37" s="473">
        <v>6</v>
      </c>
      <c r="AR37" s="478">
        <v>6.99</v>
      </c>
      <c r="AS37" s="473">
        <v>6.7</v>
      </c>
      <c r="AT37" s="478">
        <v>6.99</v>
      </c>
      <c r="AU37" s="473">
        <v>5</v>
      </c>
      <c r="AV37" s="474">
        <v>5.99</v>
      </c>
      <c r="AW37" s="473">
        <v>2</v>
      </c>
      <c r="AX37" s="473">
        <v>2.99</v>
      </c>
      <c r="AY37" s="473">
        <v>3</v>
      </c>
      <c r="AZ37" s="473">
        <v>3.99</v>
      </c>
      <c r="BA37" s="481"/>
      <c r="BB37" s="476">
        <v>2.99</v>
      </c>
    </row>
    <row r="38" spans="1:54" ht="15.75" x14ac:dyDescent="0.25">
      <c r="AK38" s="501" t="s">
        <v>524</v>
      </c>
      <c r="AL38" s="434">
        <v>18</v>
      </c>
      <c r="AM38" s="435">
        <v>1220</v>
      </c>
      <c r="AN38" s="437"/>
      <c r="AO38" s="479"/>
      <c r="AP38" s="476">
        <v>1.99</v>
      </c>
      <c r="AQ38" s="471">
        <v>6</v>
      </c>
      <c r="AR38" s="485">
        <v>6.99</v>
      </c>
      <c r="AS38" s="479"/>
      <c r="AT38" s="476">
        <v>3.99</v>
      </c>
      <c r="AU38" s="473">
        <v>3</v>
      </c>
      <c r="AV38" s="473">
        <v>3.99</v>
      </c>
      <c r="AW38" s="473">
        <v>2</v>
      </c>
      <c r="AX38" s="473">
        <v>2.99</v>
      </c>
      <c r="AY38" s="473">
        <v>4</v>
      </c>
      <c r="AZ38" s="473">
        <v>4.99</v>
      </c>
      <c r="BA38" s="479"/>
      <c r="BB38" s="475">
        <v>5.99</v>
      </c>
    </row>
    <row r="39" spans="1:54" ht="15.75" x14ac:dyDescent="0.25">
      <c r="AK39" s="501" t="s">
        <v>525</v>
      </c>
      <c r="AL39" s="434">
        <v>18</v>
      </c>
      <c r="AM39" s="435">
        <v>-673</v>
      </c>
      <c r="AN39" s="437"/>
      <c r="AO39" s="479"/>
      <c r="AP39" s="476">
        <v>1.99</v>
      </c>
      <c r="AQ39" s="473">
        <v>2</v>
      </c>
      <c r="AR39" s="473">
        <v>2.99</v>
      </c>
      <c r="AS39" s="473">
        <v>2</v>
      </c>
      <c r="AT39" s="473">
        <v>2.99</v>
      </c>
      <c r="AU39" s="473">
        <v>5</v>
      </c>
      <c r="AV39" s="474">
        <v>5.99</v>
      </c>
      <c r="AW39" s="476">
        <v>5</v>
      </c>
      <c r="AX39" s="477">
        <v>6.99</v>
      </c>
      <c r="AY39" s="473">
        <v>4</v>
      </c>
      <c r="AZ39" s="473">
        <v>4.99</v>
      </c>
      <c r="BA39" s="479"/>
      <c r="BB39" s="476">
        <v>4.99</v>
      </c>
    </row>
    <row r="40" spans="1:54" ht="15.75" x14ac:dyDescent="0.25">
      <c r="AK40" s="501" t="s">
        <v>297</v>
      </c>
      <c r="AL40" s="434">
        <v>17</v>
      </c>
      <c r="AM40" s="435">
        <v>1145</v>
      </c>
      <c r="AN40" s="437" t="s">
        <v>220</v>
      </c>
      <c r="AO40" s="479"/>
      <c r="AP40" s="476">
        <v>1.99</v>
      </c>
      <c r="AQ40" s="473">
        <v>5</v>
      </c>
      <c r="AR40" s="474">
        <v>5.99</v>
      </c>
      <c r="AS40" s="487">
        <v>7</v>
      </c>
      <c r="AT40" s="488">
        <v>7</v>
      </c>
      <c r="AU40" s="473">
        <v>1</v>
      </c>
      <c r="AV40" s="473">
        <v>1.99</v>
      </c>
      <c r="AW40" s="479"/>
      <c r="AX40" s="476">
        <v>2.99</v>
      </c>
      <c r="AY40" s="473">
        <v>1</v>
      </c>
      <c r="AZ40" s="473">
        <v>1.99</v>
      </c>
      <c r="BA40" s="479"/>
      <c r="BB40" s="479"/>
    </row>
    <row r="41" spans="1:54" ht="15.75" x14ac:dyDescent="0.25">
      <c r="AK41" s="501" t="s">
        <v>526</v>
      </c>
      <c r="AL41" s="434">
        <v>19</v>
      </c>
      <c r="AM41" s="435">
        <v>1042</v>
      </c>
      <c r="AN41" s="437" t="s">
        <v>94</v>
      </c>
      <c r="AO41" s="479"/>
      <c r="AP41" s="476">
        <v>1.99</v>
      </c>
      <c r="AQ41" s="476">
        <v>5</v>
      </c>
      <c r="AR41" s="477">
        <v>6.99</v>
      </c>
      <c r="AS41" s="471">
        <v>4</v>
      </c>
      <c r="AT41" s="471">
        <v>4.99</v>
      </c>
      <c r="AU41" s="473">
        <v>1</v>
      </c>
      <c r="AV41" s="473">
        <v>1.99</v>
      </c>
      <c r="AW41" s="479"/>
      <c r="AX41" s="476">
        <v>2.99</v>
      </c>
      <c r="AY41" s="476">
        <v>2</v>
      </c>
      <c r="AZ41" s="476">
        <v>3.99</v>
      </c>
      <c r="BA41" s="479"/>
      <c r="BB41" s="476">
        <v>1.99</v>
      </c>
    </row>
    <row r="42" spans="1:54" ht="15.75" x14ac:dyDescent="0.25">
      <c r="AK42" s="501" t="s">
        <v>527</v>
      </c>
      <c r="AL42" s="434">
        <v>19</v>
      </c>
      <c r="AM42" s="435">
        <v>-813</v>
      </c>
      <c r="AN42" s="437"/>
      <c r="AO42" s="481"/>
      <c r="AP42" s="476">
        <v>0.99</v>
      </c>
      <c r="AQ42" s="473">
        <v>3</v>
      </c>
      <c r="AR42" s="473">
        <v>3.99</v>
      </c>
      <c r="AS42" s="471">
        <v>5</v>
      </c>
      <c r="AT42" s="472">
        <v>5.99</v>
      </c>
      <c r="AU42" s="473">
        <v>5</v>
      </c>
      <c r="AV42" s="474">
        <v>5.99</v>
      </c>
      <c r="AW42" s="481"/>
      <c r="AX42" s="481">
        <v>3.99</v>
      </c>
      <c r="AY42" s="481"/>
      <c r="AZ42" s="489">
        <v>5.99</v>
      </c>
      <c r="BA42" s="481"/>
      <c r="BB42" s="481"/>
    </row>
    <row r="43" spans="1:54" ht="15.75" x14ac:dyDescent="0.25">
      <c r="AK43" s="501" t="s">
        <v>528</v>
      </c>
      <c r="AL43" s="434">
        <v>18</v>
      </c>
      <c r="AM43" s="435">
        <v>4</v>
      </c>
      <c r="AN43" s="437" t="s">
        <v>94</v>
      </c>
      <c r="AO43" s="479"/>
      <c r="AP43" s="476">
        <v>1.99</v>
      </c>
      <c r="AQ43" s="473">
        <v>4</v>
      </c>
      <c r="AR43" s="473">
        <v>4.99</v>
      </c>
      <c r="AS43" s="473">
        <v>3</v>
      </c>
      <c r="AT43" s="473">
        <v>3.99</v>
      </c>
      <c r="AU43" s="479"/>
      <c r="AV43" s="477">
        <v>6.99</v>
      </c>
      <c r="AW43" s="479"/>
      <c r="AX43" s="476">
        <v>3.99</v>
      </c>
      <c r="AY43" s="473">
        <v>2</v>
      </c>
      <c r="AZ43" s="473">
        <v>2.99</v>
      </c>
      <c r="BA43" s="479"/>
      <c r="BB43" s="479">
        <v>3.99</v>
      </c>
    </row>
    <row r="44" spans="1:54" ht="15.75" x14ac:dyDescent="0.25">
      <c r="AK44" s="501" t="s">
        <v>529</v>
      </c>
      <c r="AL44" s="434">
        <v>16</v>
      </c>
      <c r="AM44" s="435">
        <v>-718</v>
      </c>
      <c r="AN44" s="437" t="s">
        <v>220</v>
      </c>
      <c r="AO44" s="481"/>
      <c r="AP44" s="476">
        <v>1.99</v>
      </c>
      <c r="AQ44" s="473">
        <v>1</v>
      </c>
      <c r="AR44" s="473">
        <v>1.99</v>
      </c>
      <c r="AS44" s="471">
        <v>6</v>
      </c>
      <c r="AT44" s="485">
        <v>6.99</v>
      </c>
      <c r="AU44" s="481"/>
      <c r="AV44" s="476">
        <v>3.99</v>
      </c>
      <c r="AW44" s="481"/>
      <c r="AX44" s="476">
        <v>3.99</v>
      </c>
      <c r="AY44" s="473">
        <v>2</v>
      </c>
      <c r="AZ44" s="473">
        <v>2.99</v>
      </c>
      <c r="BA44" s="481"/>
      <c r="BB44" s="476">
        <v>2.99</v>
      </c>
    </row>
    <row r="45" spans="1:54" ht="15.75" x14ac:dyDescent="0.25">
      <c r="AK45" s="501" t="s">
        <v>530</v>
      </c>
      <c r="AL45" s="434">
        <v>18</v>
      </c>
      <c r="AM45" s="435">
        <v>1028</v>
      </c>
      <c r="AN45" s="437"/>
      <c r="AO45" s="490"/>
      <c r="AP45" s="490"/>
      <c r="AQ45" s="471">
        <v>5</v>
      </c>
      <c r="AR45" s="472">
        <v>5.99</v>
      </c>
      <c r="AS45" s="473">
        <v>6</v>
      </c>
      <c r="AT45" s="478">
        <v>6.99</v>
      </c>
      <c r="AU45" s="473">
        <v>2</v>
      </c>
      <c r="AV45" s="473">
        <v>2.99</v>
      </c>
      <c r="AW45" s="490"/>
      <c r="AX45" s="476">
        <v>2.99</v>
      </c>
      <c r="AY45" s="473">
        <v>4</v>
      </c>
      <c r="AZ45" s="473">
        <v>4.99</v>
      </c>
      <c r="BA45" s="490"/>
      <c r="BB45" s="490"/>
    </row>
    <row r="46" spans="1:54" ht="15.75" x14ac:dyDescent="0.25">
      <c r="AK46" s="501" t="s">
        <v>531</v>
      </c>
      <c r="AL46" s="434">
        <v>17</v>
      </c>
      <c r="AM46" s="435">
        <v>932</v>
      </c>
      <c r="AN46" s="437"/>
      <c r="AO46" s="479"/>
      <c r="AP46" s="479"/>
      <c r="AQ46" s="473">
        <v>2</v>
      </c>
      <c r="AR46" s="473">
        <v>2.99</v>
      </c>
      <c r="AS46" s="471">
        <v>7</v>
      </c>
      <c r="AT46" s="485">
        <v>7</v>
      </c>
      <c r="AU46" s="471">
        <v>3</v>
      </c>
      <c r="AV46" s="471">
        <v>3.99</v>
      </c>
      <c r="AW46" s="473">
        <v>1</v>
      </c>
      <c r="AX46" s="473">
        <v>1.99</v>
      </c>
      <c r="AY46" s="479"/>
      <c r="AZ46" s="476">
        <v>3.99</v>
      </c>
      <c r="BA46" s="479"/>
      <c r="BB46" s="479"/>
    </row>
    <row r="47" spans="1:54" ht="15.75" x14ac:dyDescent="0.25">
      <c r="AK47" s="501" t="s">
        <v>532</v>
      </c>
      <c r="AL47" s="434">
        <v>18</v>
      </c>
      <c r="AM47" s="435">
        <v>1032</v>
      </c>
      <c r="AN47" s="437" t="s">
        <v>105</v>
      </c>
      <c r="AO47" s="490"/>
      <c r="AP47" s="476">
        <v>1.99</v>
      </c>
      <c r="AQ47" s="490"/>
      <c r="AR47" s="476">
        <v>2.99</v>
      </c>
      <c r="AS47" s="473">
        <v>3</v>
      </c>
      <c r="AT47" s="473">
        <v>3.99</v>
      </c>
      <c r="AU47" s="473">
        <v>5</v>
      </c>
      <c r="AV47" s="474">
        <v>5.99</v>
      </c>
      <c r="AW47" s="473">
        <v>6</v>
      </c>
      <c r="AX47" s="478">
        <v>6.99</v>
      </c>
      <c r="AY47" s="473">
        <v>2</v>
      </c>
      <c r="AZ47" s="473">
        <v>2.99</v>
      </c>
      <c r="BA47" s="473">
        <v>4</v>
      </c>
      <c r="BB47" s="473">
        <v>4.99</v>
      </c>
    </row>
    <row r="48" spans="1:54" ht="15.75" x14ac:dyDescent="0.25">
      <c r="AK48" s="501" t="s">
        <v>533</v>
      </c>
      <c r="AL48" s="434">
        <v>17</v>
      </c>
      <c r="AM48" s="435">
        <v>959</v>
      </c>
      <c r="AN48" s="437"/>
      <c r="AO48" s="491"/>
      <c r="AP48" s="491">
        <v>1.99</v>
      </c>
      <c r="AQ48" s="491"/>
      <c r="AR48" s="476">
        <v>3.99</v>
      </c>
      <c r="AS48" s="471">
        <v>5</v>
      </c>
      <c r="AT48" s="472">
        <v>5.99</v>
      </c>
      <c r="AU48" s="490"/>
      <c r="AV48" s="476">
        <v>2.99</v>
      </c>
      <c r="AW48" s="473">
        <v>5</v>
      </c>
      <c r="AX48" s="474">
        <v>5.99</v>
      </c>
      <c r="AY48" s="471">
        <v>4</v>
      </c>
      <c r="AZ48" s="471">
        <v>4.99</v>
      </c>
      <c r="BA48" s="490"/>
      <c r="BB48" s="490">
        <v>3.99</v>
      </c>
    </row>
    <row r="49" spans="37:54" ht="15.75" x14ac:dyDescent="0.25">
      <c r="AK49" s="501" t="s">
        <v>534</v>
      </c>
      <c r="AL49" s="434">
        <v>17</v>
      </c>
      <c r="AM49" s="435">
        <v>852</v>
      </c>
      <c r="AN49" s="437"/>
      <c r="AO49" s="481"/>
      <c r="AP49" s="481"/>
      <c r="AQ49" s="481"/>
      <c r="AR49" s="476">
        <v>4.99</v>
      </c>
      <c r="AS49" s="473">
        <v>3</v>
      </c>
      <c r="AT49" s="473">
        <v>3.99</v>
      </c>
      <c r="AU49" s="471">
        <v>5</v>
      </c>
      <c r="AV49" s="472">
        <v>5.99</v>
      </c>
      <c r="AW49" s="481"/>
      <c r="AX49" s="476">
        <v>2.99</v>
      </c>
      <c r="AY49" s="473">
        <v>4</v>
      </c>
      <c r="AZ49" s="473">
        <v>4.99</v>
      </c>
      <c r="BA49" s="481"/>
      <c r="BB49" s="481"/>
    </row>
    <row r="50" spans="37:54" ht="15.75" x14ac:dyDescent="0.25">
      <c r="AK50" s="501" t="s">
        <v>535</v>
      </c>
      <c r="AL50" s="434">
        <v>18</v>
      </c>
      <c r="AM50" s="435">
        <v>908</v>
      </c>
      <c r="AN50" s="437" t="s">
        <v>220</v>
      </c>
      <c r="AO50" s="490"/>
      <c r="AP50" s="490"/>
      <c r="AQ50" s="476">
        <v>4</v>
      </c>
      <c r="AR50" s="475">
        <v>5.99</v>
      </c>
      <c r="AS50" s="473">
        <v>3</v>
      </c>
      <c r="AT50" s="473">
        <v>3.99</v>
      </c>
      <c r="AU50" s="471">
        <v>6</v>
      </c>
      <c r="AV50" s="485">
        <v>6.99</v>
      </c>
      <c r="AW50" s="476">
        <v>6</v>
      </c>
      <c r="AX50" s="477">
        <v>7</v>
      </c>
      <c r="AY50" s="473">
        <v>4</v>
      </c>
      <c r="AZ50" s="473">
        <v>4.99</v>
      </c>
      <c r="BA50" s="490"/>
      <c r="BB50" s="476">
        <v>2.99</v>
      </c>
    </row>
    <row r="51" spans="37:54" ht="15.75" x14ac:dyDescent="0.25">
      <c r="AK51" s="501" t="s">
        <v>536</v>
      </c>
      <c r="AL51" s="434">
        <v>17</v>
      </c>
      <c r="AM51" s="435">
        <v>856</v>
      </c>
      <c r="AN51" s="437" t="s">
        <v>220</v>
      </c>
      <c r="AO51" s="479"/>
      <c r="AP51" s="476">
        <v>0.99</v>
      </c>
      <c r="AQ51" s="476">
        <v>4</v>
      </c>
      <c r="AR51" s="475">
        <v>5.99</v>
      </c>
      <c r="AS51" s="473">
        <v>3</v>
      </c>
      <c r="AT51" s="473">
        <v>3.99</v>
      </c>
      <c r="AU51" s="473">
        <v>3</v>
      </c>
      <c r="AV51" s="473">
        <v>3.99</v>
      </c>
      <c r="AW51" s="473">
        <v>5.3</v>
      </c>
      <c r="AX51" s="474">
        <v>5.99</v>
      </c>
      <c r="AY51" s="476">
        <v>5</v>
      </c>
      <c r="AZ51" s="477">
        <v>6.99</v>
      </c>
      <c r="BA51" s="479"/>
      <c r="BB51" s="479"/>
    </row>
    <row r="52" spans="37:54" ht="15.75" x14ac:dyDescent="0.25">
      <c r="AK52" s="501" t="s">
        <v>537</v>
      </c>
      <c r="AL52" s="434">
        <v>18</v>
      </c>
      <c r="AM52" s="435">
        <v>-975</v>
      </c>
      <c r="AN52" s="437" t="s">
        <v>105</v>
      </c>
      <c r="AO52" s="479"/>
      <c r="AP52" s="476">
        <v>1.99</v>
      </c>
      <c r="AQ52" s="476">
        <v>4</v>
      </c>
      <c r="AR52" s="475">
        <v>5.99</v>
      </c>
      <c r="AS52" s="471">
        <v>5</v>
      </c>
      <c r="AT52" s="472">
        <v>5.99</v>
      </c>
      <c r="AU52" s="471">
        <v>4</v>
      </c>
      <c r="AV52" s="471">
        <v>4.99</v>
      </c>
      <c r="AW52" s="473">
        <v>4</v>
      </c>
      <c r="AX52" s="473">
        <v>4.99</v>
      </c>
      <c r="AY52" s="471">
        <v>3</v>
      </c>
      <c r="AZ52" s="471">
        <v>3.99</v>
      </c>
      <c r="BA52" s="479"/>
      <c r="BB52" s="479"/>
    </row>
    <row r="53" spans="37:54" ht="15.75" x14ac:dyDescent="0.25">
      <c r="AK53" s="501" t="s">
        <v>538</v>
      </c>
      <c r="AL53" s="434">
        <v>17</v>
      </c>
      <c r="AM53" s="435">
        <v>724</v>
      </c>
      <c r="AN53" s="437"/>
      <c r="AO53" s="479"/>
      <c r="AP53" s="476">
        <v>1.99</v>
      </c>
      <c r="AQ53" s="473">
        <v>4</v>
      </c>
      <c r="AR53" s="473">
        <v>4.99</v>
      </c>
      <c r="AS53" s="471">
        <v>6</v>
      </c>
      <c r="AT53" s="485">
        <v>6.99</v>
      </c>
      <c r="AU53" s="479"/>
      <c r="AV53" s="476">
        <v>3.99</v>
      </c>
      <c r="AW53" s="473">
        <v>2</v>
      </c>
      <c r="AX53" s="473">
        <v>2.99</v>
      </c>
      <c r="AY53" s="473">
        <v>3</v>
      </c>
      <c r="AZ53" s="473">
        <v>3.99</v>
      </c>
      <c r="BA53" s="479"/>
      <c r="BB53" s="475">
        <v>5.99</v>
      </c>
    </row>
    <row r="54" spans="37:54" ht="15.75" x14ac:dyDescent="0.25">
      <c r="AK54" s="501" t="s">
        <v>539</v>
      </c>
      <c r="AL54" s="434">
        <v>17</v>
      </c>
      <c r="AM54" s="435">
        <v>789</v>
      </c>
      <c r="AN54" s="437" t="s">
        <v>105</v>
      </c>
      <c r="AO54" s="481"/>
      <c r="AP54" s="481"/>
      <c r="AQ54" s="471">
        <v>5</v>
      </c>
      <c r="AR54" s="472">
        <v>5.99</v>
      </c>
      <c r="AS54" s="481"/>
      <c r="AT54" s="476">
        <v>2.99</v>
      </c>
      <c r="AU54" s="476">
        <v>5</v>
      </c>
      <c r="AV54" s="477">
        <v>7</v>
      </c>
      <c r="AW54" s="473">
        <v>3</v>
      </c>
      <c r="AX54" s="473">
        <v>3.99</v>
      </c>
      <c r="AY54" s="473">
        <v>3</v>
      </c>
      <c r="AZ54" s="473">
        <v>3.99</v>
      </c>
      <c r="BA54" s="481"/>
      <c r="BB54" s="476">
        <v>3.99</v>
      </c>
    </row>
    <row r="55" spans="37:54" ht="15.75" x14ac:dyDescent="0.25">
      <c r="AK55" s="501" t="s">
        <v>540</v>
      </c>
      <c r="AL55" s="434">
        <v>16</v>
      </c>
      <c r="AM55" s="435">
        <v>796</v>
      </c>
      <c r="AN55" s="437" t="s">
        <v>220</v>
      </c>
      <c r="AO55" s="490"/>
      <c r="AP55" s="490"/>
      <c r="AQ55" s="473">
        <v>2</v>
      </c>
      <c r="AR55" s="473">
        <v>2.99</v>
      </c>
      <c r="AS55" s="471">
        <v>5</v>
      </c>
      <c r="AT55" s="472">
        <v>5.99</v>
      </c>
      <c r="AU55" s="471">
        <v>5</v>
      </c>
      <c r="AV55" s="472">
        <v>5.99</v>
      </c>
      <c r="AW55" s="473">
        <v>4</v>
      </c>
      <c r="AX55" s="473">
        <v>4.99</v>
      </c>
      <c r="AY55" s="473">
        <v>3</v>
      </c>
      <c r="AZ55" s="473">
        <v>3.99</v>
      </c>
      <c r="BA55" s="490"/>
      <c r="BB55" s="490"/>
    </row>
    <row r="56" spans="37:54" ht="15.75" x14ac:dyDescent="0.25">
      <c r="AK56" s="501" t="s">
        <v>541</v>
      </c>
      <c r="AL56" s="434">
        <v>17</v>
      </c>
      <c r="AM56" s="435">
        <v>681</v>
      </c>
      <c r="AN56" s="437" t="s">
        <v>67</v>
      </c>
      <c r="AO56" s="479"/>
      <c r="AP56" s="476">
        <v>1.99</v>
      </c>
      <c r="AQ56" s="473">
        <v>3</v>
      </c>
      <c r="AR56" s="473">
        <v>3.99</v>
      </c>
      <c r="AS56" s="471">
        <v>5</v>
      </c>
      <c r="AT56" s="472">
        <v>5.99</v>
      </c>
      <c r="AU56" s="479"/>
      <c r="AV56" s="476">
        <v>2.99</v>
      </c>
      <c r="AW56" s="473">
        <v>4</v>
      </c>
      <c r="AX56" s="473">
        <v>4.99</v>
      </c>
      <c r="AY56" s="473">
        <v>4</v>
      </c>
      <c r="AZ56" s="473">
        <v>4.99</v>
      </c>
      <c r="BA56" s="473">
        <v>2</v>
      </c>
      <c r="BB56" s="473">
        <v>2.99</v>
      </c>
    </row>
    <row r="57" spans="37:54" ht="15.75" x14ac:dyDescent="0.25">
      <c r="AK57" s="501" t="s">
        <v>542</v>
      </c>
      <c r="AL57" s="434">
        <v>19</v>
      </c>
      <c r="AM57" s="435">
        <v>686</v>
      </c>
      <c r="AN57" s="437" t="s">
        <v>94</v>
      </c>
      <c r="AO57" s="490"/>
      <c r="AP57" s="476">
        <v>1.99</v>
      </c>
      <c r="AQ57" s="473">
        <v>2</v>
      </c>
      <c r="AR57" s="473">
        <v>2.99</v>
      </c>
      <c r="AS57" s="473">
        <v>3</v>
      </c>
      <c r="AT57" s="473">
        <v>3.99</v>
      </c>
      <c r="AU57" s="476">
        <v>4</v>
      </c>
      <c r="AV57" s="475">
        <v>5.99</v>
      </c>
      <c r="AW57" s="473">
        <v>4</v>
      </c>
      <c r="AX57" s="473">
        <v>4.99</v>
      </c>
      <c r="AY57" s="473">
        <v>5</v>
      </c>
      <c r="AZ57" s="474">
        <v>5.99</v>
      </c>
      <c r="BA57" s="490"/>
      <c r="BB57" s="476">
        <v>3.99</v>
      </c>
    </row>
    <row r="58" spans="37:54" ht="15.75" x14ac:dyDescent="0.25">
      <c r="AK58" s="501" t="s">
        <v>543</v>
      </c>
      <c r="AL58" s="434">
        <v>17</v>
      </c>
      <c r="AM58" s="435">
        <v>736</v>
      </c>
      <c r="AN58" s="437" t="s">
        <v>67</v>
      </c>
      <c r="AO58" s="479"/>
      <c r="AP58" s="476">
        <v>1.99</v>
      </c>
      <c r="AQ58" s="473">
        <v>1</v>
      </c>
      <c r="AR58" s="473">
        <v>1.99</v>
      </c>
      <c r="AS58" s="471">
        <v>6</v>
      </c>
      <c r="AT58" s="485">
        <v>6.99</v>
      </c>
      <c r="AU58" s="479"/>
      <c r="AV58" s="476">
        <v>2.99</v>
      </c>
      <c r="AW58" s="479"/>
      <c r="AX58" s="476">
        <v>3.99</v>
      </c>
      <c r="AY58" s="479"/>
      <c r="AZ58" s="476">
        <v>3.99</v>
      </c>
      <c r="BA58" s="479"/>
      <c r="BB58" s="476">
        <v>2.99</v>
      </c>
    </row>
    <row r="59" spans="37:54" ht="15.75" x14ac:dyDescent="0.25">
      <c r="AK59" s="501" t="s">
        <v>544</v>
      </c>
      <c r="AL59" s="434">
        <v>16</v>
      </c>
      <c r="AM59" s="435">
        <v>774</v>
      </c>
      <c r="AN59" s="437"/>
      <c r="AO59" s="490"/>
      <c r="AP59" s="476">
        <v>1.99</v>
      </c>
      <c r="AQ59" s="476">
        <v>4</v>
      </c>
      <c r="AR59" s="475">
        <v>5.99</v>
      </c>
      <c r="AS59" s="476">
        <v>4</v>
      </c>
      <c r="AT59" s="475">
        <v>5.99</v>
      </c>
      <c r="AU59" s="473">
        <v>5</v>
      </c>
      <c r="AV59" s="474">
        <v>5.99</v>
      </c>
      <c r="AW59" s="490"/>
      <c r="AX59" s="476">
        <v>3.99</v>
      </c>
      <c r="AY59" s="490"/>
      <c r="AZ59" s="476">
        <v>3.99</v>
      </c>
      <c r="BA59" s="490"/>
      <c r="BB59" s="476">
        <v>2.99</v>
      </c>
    </row>
    <row r="60" spans="37:54" ht="15.75" x14ac:dyDescent="0.25">
      <c r="AK60" s="501" t="s">
        <v>545</v>
      </c>
      <c r="AL60" s="434">
        <v>17</v>
      </c>
      <c r="AM60" s="435">
        <v>761</v>
      </c>
      <c r="AN60" s="437" t="s">
        <v>220</v>
      </c>
      <c r="AO60" s="481"/>
      <c r="AP60" s="476">
        <v>1.99</v>
      </c>
      <c r="AQ60" s="471">
        <v>3</v>
      </c>
      <c r="AR60" s="471">
        <v>3.99</v>
      </c>
      <c r="AS60" s="476">
        <v>5</v>
      </c>
      <c r="AT60" s="477">
        <v>6.99</v>
      </c>
      <c r="AU60" s="481"/>
      <c r="AV60" s="476">
        <v>2.99</v>
      </c>
      <c r="AW60" s="473">
        <v>2</v>
      </c>
      <c r="AX60" s="473">
        <v>2.99</v>
      </c>
      <c r="AY60" s="481"/>
      <c r="AZ60" s="475">
        <v>5.99</v>
      </c>
      <c r="BA60" s="473">
        <v>2</v>
      </c>
      <c r="BB60" s="473">
        <v>2.99</v>
      </c>
    </row>
    <row r="61" spans="37:54" ht="15.75" x14ac:dyDescent="0.25">
      <c r="AK61" s="501" t="s">
        <v>546</v>
      </c>
      <c r="AL61" s="434">
        <v>19</v>
      </c>
      <c r="AM61" s="435">
        <v>633</v>
      </c>
      <c r="AN61" s="437"/>
      <c r="AO61" s="479"/>
      <c r="AP61" s="479"/>
      <c r="AQ61" s="476">
        <v>5</v>
      </c>
      <c r="AR61" s="477">
        <v>6.99</v>
      </c>
      <c r="AS61" s="471">
        <v>4</v>
      </c>
      <c r="AT61" s="471">
        <v>4.99</v>
      </c>
      <c r="AU61" s="471">
        <v>4</v>
      </c>
      <c r="AV61" s="471">
        <v>4.99</v>
      </c>
      <c r="AW61" s="473">
        <v>3</v>
      </c>
      <c r="AX61" s="473">
        <v>3.99</v>
      </c>
      <c r="AY61" s="473">
        <v>3</v>
      </c>
      <c r="AZ61" s="473">
        <v>3.99</v>
      </c>
      <c r="BA61" s="479"/>
      <c r="BB61" s="479"/>
    </row>
    <row r="62" spans="37:54" ht="15.75" x14ac:dyDescent="0.25">
      <c r="AK62" s="501" t="s">
        <v>547</v>
      </c>
      <c r="AL62" s="434">
        <v>16</v>
      </c>
      <c r="AM62" s="435">
        <v>679</v>
      </c>
      <c r="AN62" s="437"/>
      <c r="AO62" s="490"/>
      <c r="AP62" s="476">
        <v>1.99</v>
      </c>
      <c r="AQ62" s="471">
        <v>5</v>
      </c>
      <c r="AR62" s="472">
        <v>5.99</v>
      </c>
      <c r="AS62" s="473">
        <v>3</v>
      </c>
      <c r="AT62" s="473">
        <v>3.99</v>
      </c>
      <c r="AU62" s="473">
        <v>4</v>
      </c>
      <c r="AV62" s="473">
        <v>4.99</v>
      </c>
      <c r="AW62" s="476">
        <v>3</v>
      </c>
      <c r="AX62" s="476">
        <v>4.99</v>
      </c>
      <c r="AY62" s="473">
        <v>1</v>
      </c>
      <c r="AZ62" s="473">
        <v>1.99</v>
      </c>
      <c r="BA62" s="490"/>
      <c r="BB62" s="476">
        <v>2.99</v>
      </c>
    </row>
    <row r="63" spans="37:54" ht="15.75" x14ac:dyDescent="0.25">
      <c r="AK63" s="501" t="s">
        <v>548</v>
      </c>
      <c r="AL63" s="434">
        <v>16</v>
      </c>
      <c r="AM63" s="435">
        <v>663</v>
      </c>
      <c r="AN63" s="437" t="s">
        <v>96</v>
      </c>
      <c r="AO63" s="490"/>
      <c r="AP63" s="490"/>
      <c r="AQ63" s="473">
        <v>4</v>
      </c>
      <c r="AR63" s="473">
        <v>4.99</v>
      </c>
      <c r="AS63" s="473">
        <v>5</v>
      </c>
      <c r="AT63" s="474">
        <v>5.99</v>
      </c>
      <c r="AU63" s="471">
        <v>4</v>
      </c>
      <c r="AV63" s="471">
        <v>4.99</v>
      </c>
      <c r="AW63" s="490"/>
      <c r="AX63" s="476">
        <v>3.99</v>
      </c>
      <c r="AY63" s="473">
        <v>3</v>
      </c>
      <c r="AZ63" s="473">
        <v>3.99</v>
      </c>
      <c r="BA63" s="490"/>
      <c r="BB63" s="490"/>
    </row>
    <row r="64" spans="37:54" ht="15.75" x14ac:dyDescent="0.25">
      <c r="AK64" s="501" t="s">
        <v>549</v>
      </c>
      <c r="AL64" s="434">
        <v>16</v>
      </c>
      <c r="AM64" s="435">
        <v>644</v>
      </c>
      <c r="AN64" s="437"/>
      <c r="AO64" s="490"/>
      <c r="AP64" s="476">
        <v>1.99</v>
      </c>
      <c r="AQ64" s="471">
        <v>3</v>
      </c>
      <c r="AR64" s="471">
        <v>3.99</v>
      </c>
      <c r="AS64" s="471">
        <v>6</v>
      </c>
      <c r="AT64" s="485">
        <v>6.99</v>
      </c>
      <c r="AU64" s="471">
        <v>5</v>
      </c>
      <c r="AV64" s="472">
        <v>5.99</v>
      </c>
      <c r="AW64" s="490"/>
      <c r="AX64" s="476">
        <v>2.99</v>
      </c>
      <c r="AY64" s="473">
        <v>3</v>
      </c>
      <c r="AZ64" s="473">
        <v>3.99</v>
      </c>
      <c r="BA64" s="490"/>
      <c r="BB64" s="490"/>
    </row>
    <row r="65" spans="37:54" ht="15.75" x14ac:dyDescent="0.25">
      <c r="AK65" s="501" t="s">
        <v>550</v>
      </c>
      <c r="AL65" s="434">
        <v>16</v>
      </c>
      <c r="AM65" s="435">
        <v>607</v>
      </c>
      <c r="AN65" s="437" t="s">
        <v>94</v>
      </c>
      <c r="AO65" s="490"/>
      <c r="AP65" s="490"/>
      <c r="AQ65" s="473">
        <v>4</v>
      </c>
      <c r="AR65" s="473">
        <v>4.99</v>
      </c>
      <c r="AS65" s="471">
        <v>4</v>
      </c>
      <c r="AT65" s="471">
        <v>4.99</v>
      </c>
      <c r="AU65" s="473">
        <v>4</v>
      </c>
      <c r="AV65" s="473">
        <v>4.99</v>
      </c>
      <c r="AW65" s="471">
        <v>4</v>
      </c>
      <c r="AX65" s="471">
        <v>4.99</v>
      </c>
      <c r="AY65" s="471">
        <v>5</v>
      </c>
      <c r="AZ65" s="472">
        <v>5.99</v>
      </c>
      <c r="BA65" s="490"/>
      <c r="BB65" s="476">
        <v>2.99</v>
      </c>
    </row>
    <row r="66" spans="37:54" ht="15.75" x14ac:dyDescent="0.25">
      <c r="AK66" s="501" t="s">
        <v>551</v>
      </c>
      <c r="AL66" s="434">
        <v>17</v>
      </c>
      <c r="AM66" s="435">
        <v>621</v>
      </c>
      <c r="AN66" s="437" t="s">
        <v>94</v>
      </c>
      <c r="AO66" s="481"/>
      <c r="AP66" s="481"/>
      <c r="AQ66" s="476">
        <v>3</v>
      </c>
      <c r="AR66" s="476">
        <v>4.99</v>
      </c>
      <c r="AS66" s="476">
        <v>5</v>
      </c>
      <c r="AT66" s="477">
        <v>6.99</v>
      </c>
      <c r="AU66" s="473">
        <v>5</v>
      </c>
      <c r="AV66" s="474">
        <v>5.99</v>
      </c>
      <c r="AW66" s="481"/>
      <c r="AX66" s="476">
        <v>2.99</v>
      </c>
      <c r="AY66" s="471">
        <v>5</v>
      </c>
      <c r="AZ66" s="472">
        <v>5.99</v>
      </c>
      <c r="BA66" s="481"/>
      <c r="BB66" s="476">
        <v>3.99</v>
      </c>
    </row>
    <row r="67" spans="37:54" ht="15.75" x14ac:dyDescent="0.25">
      <c r="AK67" s="501" t="s">
        <v>552</v>
      </c>
      <c r="AL67" s="434">
        <v>16</v>
      </c>
      <c r="AM67" s="435">
        <v>571</v>
      </c>
      <c r="AN67" s="437"/>
      <c r="AO67" s="490"/>
      <c r="AP67" s="476">
        <v>1.99</v>
      </c>
      <c r="AQ67" s="471">
        <v>4</v>
      </c>
      <c r="AR67" s="471">
        <v>4.99</v>
      </c>
      <c r="AS67" s="473">
        <v>3</v>
      </c>
      <c r="AT67" s="473">
        <v>3.99</v>
      </c>
      <c r="AU67" s="476">
        <v>7</v>
      </c>
      <c r="AV67" s="477">
        <v>7</v>
      </c>
      <c r="AW67" s="473">
        <v>2</v>
      </c>
      <c r="AX67" s="473">
        <v>2.99</v>
      </c>
      <c r="AY67" s="471">
        <v>4</v>
      </c>
      <c r="AZ67" s="471">
        <v>4.99</v>
      </c>
      <c r="BA67" s="490"/>
      <c r="BB67" s="490"/>
    </row>
    <row r="68" spans="37:54" ht="15.75" x14ac:dyDescent="0.25">
      <c r="AK68" s="501" t="s">
        <v>553</v>
      </c>
      <c r="AL68" s="434">
        <v>17</v>
      </c>
      <c r="AM68" s="435">
        <v>467</v>
      </c>
      <c r="AN68" s="437"/>
      <c r="AO68" s="481"/>
      <c r="AP68" s="481"/>
      <c r="AQ68" s="481"/>
      <c r="AR68" s="476">
        <v>2.99</v>
      </c>
      <c r="AS68" s="473">
        <v>2</v>
      </c>
      <c r="AT68" s="473">
        <v>2.99</v>
      </c>
      <c r="AU68" s="473">
        <v>5</v>
      </c>
      <c r="AV68" s="474">
        <v>5.99</v>
      </c>
      <c r="AW68" s="481"/>
      <c r="AX68" s="475">
        <v>5.99</v>
      </c>
      <c r="AY68" s="471">
        <v>3</v>
      </c>
      <c r="AZ68" s="471">
        <v>3.99</v>
      </c>
      <c r="BA68" s="481"/>
      <c r="BB68" s="481"/>
    </row>
    <row r="69" spans="37:54" ht="15.75" x14ac:dyDescent="0.25">
      <c r="AK69" s="501" t="s">
        <v>554</v>
      </c>
      <c r="AL69" s="434">
        <v>16</v>
      </c>
      <c r="AM69" s="435">
        <v>475</v>
      </c>
      <c r="AN69" s="437"/>
      <c r="AO69" s="490"/>
      <c r="AP69" s="476">
        <v>1.99</v>
      </c>
      <c r="AQ69" s="490"/>
      <c r="AR69" s="476">
        <v>3.99</v>
      </c>
      <c r="AS69" s="471">
        <v>5</v>
      </c>
      <c r="AT69" s="472">
        <v>5.99</v>
      </c>
      <c r="AU69" s="471">
        <v>6</v>
      </c>
      <c r="AV69" s="485">
        <v>6.99</v>
      </c>
      <c r="AW69" s="490"/>
      <c r="AX69" s="490"/>
      <c r="AY69" s="473">
        <v>2</v>
      </c>
      <c r="AZ69" s="473">
        <v>2.99</v>
      </c>
      <c r="BA69" s="490"/>
      <c r="BB69" s="490"/>
    </row>
    <row r="70" spans="37:54" ht="15.75" x14ac:dyDescent="0.25">
      <c r="AK70" s="501" t="s">
        <v>555</v>
      </c>
      <c r="AL70" s="434">
        <v>16</v>
      </c>
      <c r="AM70" s="435">
        <v>422</v>
      </c>
      <c r="AN70" s="437"/>
      <c r="AO70" s="490"/>
      <c r="AP70" s="490"/>
      <c r="AQ70" s="473">
        <v>1</v>
      </c>
      <c r="AR70" s="473">
        <v>1.99</v>
      </c>
      <c r="AS70" s="471">
        <v>5</v>
      </c>
      <c r="AT70" s="472">
        <v>5.99</v>
      </c>
      <c r="AU70" s="471">
        <v>4</v>
      </c>
      <c r="AV70" s="471">
        <v>4.99</v>
      </c>
      <c r="AW70" s="490"/>
      <c r="AX70" s="476">
        <v>2.99</v>
      </c>
      <c r="AY70" s="490"/>
      <c r="AZ70" s="476">
        <v>2.99</v>
      </c>
      <c r="BA70" s="490"/>
      <c r="BB70" s="490"/>
    </row>
    <row r="71" spans="37:54" ht="15.75" x14ac:dyDescent="0.25">
      <c r="AK71" s="501" t="s">
        <v>556</v>
      </c>
      <c r="AL71" s="434">
        <v>16</v>
      </c>
      <c r="AM71" s="435">
        <v>434</v>
      </c>
      <c r="AN71" s="437"/>
      <c r="AO71" s="490"/>
      <c r="AP71" s="476">
        <v>1.99</v>
      </c>
      <c r="AQ71" s="476">
        <v>3</v>
      </c>
      <c r="AR71" s="476">
        <v>4.99</v>
      </c>
      <c r="AS71" s="471">
        <v>2</v>
      </c>
      <c r="AT71" s="471">
        <v>2.99</v>
      </c>
      <c r="AU71" s="476">
        <v>4</v>
      </c>
      <c r="AV71" s="477">
        <v>6.99</v>
      </c>
      <c r="AW71" s="490"/>
      <c r="AX71" s="476">
        <v>2.99</v>
      </c>
      <c r="AY71" s="490"/>
      <c r="AZ71" s="477">
        <v>6.99</v>
      </c>
      <c r="BA71" s="490"/>
      <c r="BB71" s="490"/>
    </row>
    <row r="72" spans="37:54" ht="15.75" x14ac:dyDescent="0.25">
      <c r="AK72" s="501" t="s">
        <v>557</v>
      </c>
      <c r="AL72" s="434">
        <v>16</v>
      </c>
      <c r="AM72" s="435">
        <v>454</v>
      </c>
      <c r="AN72" s="437"/>
      <c r="AO72" s="490"/>
      <c r="AP72" s="476">
        <v>1.99</v>
      </c>
      <c r="AQ72" s="490"/>
      <c r="AR72" s="475">
        <v>5.99</v>
      </c>
      <c r="AS72" s="471">
        <v>5</v>
      </c>
      <c r="AT72" s="472">
        <v>5.99</v>
      </c>
      <c r="AU72" s="473">
        <v>4</v>
      </c>
      <c r="AV72" s="473">
        <v>4.99</v>
      </c>
      <c r="AW72" s="476">
        <v>3</v>
      </c>
      <c r="AX72" s="475">
        <v>5.99</v>
      </c>
      <c r="AY72" s="476">
        <v>4</v>
      </c>
      <c r="AZ72" s="475">
        <v>5.99</v>
      </c>
      <c r="BA72" s="490"/>
      <c r="BB72" s="490"/>
    </row>
    <row r="73" spans="37:54" ht="15.75" x14ac:dyDescent="0.25">
      <c r="AK73" s="501" t="s">
        <v>558</v>
      </c>
      <c r="AL73" s="434">
        <v>16</v>
      </c>
      <c r="AM73" s="435">
        <v>458</v>
      </c>
      <c r="AN73" s="437"/>
      <c r="AO73" s="490"/>
      <c r="AP73" s="490"/>
      <c r="AQ73" s="490"/>
      <c r="AR73" s="476">
        <v>2.99</v>
      </c>
      <c r="AS73" s="471">
        <v>5</v>
      </c>
      <c r="AT73" s="472">
        <v>5.99</v>
      </c>
      <c r="AU73" s="476">
        <v>4</v>
      </c>
      <c r="AV73" s="475">
        <v>5.99</v>
      </c>
      <c r="AW73" s="490"/>
      <c r="AX73" s="476">
        <v>3.99</v>
      </c>
      <c r="AY73" s="473">
        <v>2</v>
      </c>
      <c r="AZ73" s="473">
        <v>2.99</v>
      </c>
      <c r="BA73" s="490"/>
      <c r="BB73" s="490"/>
    </row>
    <row r="74" spans="37:54" ht="15.75" x14ac:dyDescent="0.25">
      <c r="AK74" s="501" t="s">
        <v>559</v>
      </c>
      <c r="AL74" s="434">
        <v>15</v>
      </c>
      <c r="AM74" s="435">
        <v>517</v>
      </c>
      <c r="AN74" s="437"/>
      <c r="AO74" s="490"/>
      <c r="AP74" s="490"/>
      <c r="AQ74" s="490"/>
      <c r="AR74" s="476">
        <v>4.99</v>
      </c>
      <c r="AS74" s="490"/>
      <c r="AT74" s="490"/>
      <c r="AU74" s="490"/>
      <c r="AV74" s="476">
        <v>4.99</v>
      </c>
      <c r="AW74" s="476">
        <v>3</v>
      </c>
      <c r="AX74" s="490"/>
      <c r="AY74" s="490"/>
      <c r="AZ74" s="475">
        <v>5.99</v>
      </c>
      <c r="BA74" s="490"/>
      <c r="BB74" s="490"/>
    </row>
    <row r="75" spans="37:54" ht="15.75" x14ac:dyDescent="0.25">
      <c r="AK75" s="501" t="s">
        <v>560</v>
      </c>
      <c r="AL75" s="434">
        <v>17</v>
      </c>
      <c r="AM75" s="435">
        <v>499</v>
      </c>
      <c r="AN75" s="437"/>
      <c r="AO75" s="490"/>
      <c r="AP75" s="490"/>
      <c r="AQ75" s="476">
        <v>4</v>
      </c>
      <c r="AR75" s="475">
        <v>5.99</v>
      </c>
      <c r="AS75" s="473">
        <v>4</v>
      </c>
      <c r="AT75" s="473">
        <v>4.99</v>
      </c>
      <c r="AU75" s="473">
        <v>4</v>
      </c>
      <c r="AV75" s="473">
        <v>4.99</v>
      </c>
      <c r="AW75" s="490"/>
      <c r="AX75" s="477">
        <v>6.99</v>
      </c>
      <c r="AY75" s="473">
        <v>2</v>
      </c>
      <c r="AZ75" s="473">
        <v>2.99</v>
      </c>
      <c r="BA75" s="490"/>
      <c r="BB75" s="490"/>
    </row>
    <row r="76" spans="37:54" ht="15.75" x14ac:dyDescent="0.25">
      <c r="AK76" s="501" t="s">
        <v>561</v>
      </c>
      <c r="AL76" s="434">
        <v>16</v>
      </c>
      <c r="AM76" s="435">
        <v>-1491</v>
      </c>
      <c r="AN76" s="437"/>
      <c r="AO76" s="481"/>
      <c r="AP76" s="481"/>
      <c r="AQ76" s="492">
        <v>1</v>
      </c>
      <c r="AR76" s="473">
        <v>1.99</v>
      </c>
      <c r="AS76" s="493">
        <v>5</v>
      </c>
      <c r="AT76" s="472">
        <v>5.99</v>
      </c>
      <c r="AU76" s="481"/>
      <c r="AV76" s="476">
        <v>2.99</v>
      </c>
      <c r="AW76" s="493" t="s">
        <v>562</v>
      </c>
      <c r="AX76" s="472">
        <v>5.99</v>
      </c>
      <c r="AY76" s="493">
        <v>4</v>
      </c>
      <c r="AZ76" s="472">
        <v>4.99</v>
      </c>
      <c r="BA76" s="481"/>
      <c r="BB76" s="481"/>
    </row>
    <row r="77" spans="37:54" ht="15.75" x14ac:dyDescent="0.25">
      <c r="AK77" s="501" t="s">
        <v>563</v>
      </c>
      <c r="AL77" s="434">
        <v>16</v>
      </c>
      <c r="AM77" s="435">
        <v>336</v>
      </c>
      <c r="AN77" s="437" t="s">
        <v>67</v>
      </c>
      <c r="AO77" s="481"/>
      <c r="AP77" s="476">
        <v>1.99</v>
      </c>
      <c r="AQ77" s="493">
        <v>6</v>
      </c>
      <c r="AR77" s="485">
        <v>6.99</v>
      </c>
      <c r="AS77" s="493">
        <v>5</v>
      </c>
      <c r="AT77" s="472">
        <v>5.99</v>
      </c>
      <c r="AU77" s="493">
        <v>3</v>
      </c>
      <c r="AV77" s="471">
        <v>3.99</v>
      </c>
      <c r="AW77" s="492">
        <v>1</v>
      </c>
      <c r="AX77" s="473">
        <v>1.99</v>
      </c>
      <c r="AY77" s="492">
        <v>2</v>
      </c>
      <c r="AZ77" s="473">
        <v>2.99</v>
      </c>
      <c r="BA77" s="481"/>
      <c r="BB77" s="481"/>
    </row>
    <row r="78" spans="37:54" ht="15.75" x14ac:dyDescent="0.25">
      <c r="AK78" s="501" t="s">
        <v>564</v>
      </c>
      <c r="AL78" s="434">
        <v>16</v>
      </c>
      <c r="AM78" s="435">
        <v>305</v>
      </c>
      <c r="AN78" s="437" t="s">
        <v>67</v>
      </c>
      <c r="AO78" s="481"/>
      <c r="AP78" s="476">
        <v>1.99</v>
      </c>
      <c r="AQ78" s="481"/>
      <c r="AR78" s="476">
        <v>3.99</v>
      </c>
      <c r="AS78" s="481"/>
      <c r="AT78" s="476">
        <v>2.99</v>
      </c>
      <c r="AU78" s="481"/>
      <c r="AV78" s="476">
        <v>2.99</v>
      </c>
      <c r="AW78" s="492">
        <v>3</v>
      </c>
      <c r="AX78" s="473">
        <v>3.99</v>
      </c>
      <c r="AY78" s="493">
        <v>5</v>
      </c>
      <c r="AZ78" s="472">
        <v>5.99</v>
      </c>
      <c r="BA78" s="481"/>
      <c r="BB78" s="481"/>
    </row>
    <row r="79" spans="37:54" ht="15.75" x14ac:dyDescent="0.25">
      <c r="AK79" s="501" t="s">
        <v>565</v>
      </c>
      <c r="AL79" s="434">
        <v>16</v>
      </c>
      <c r="AM79" s="435">
        <v>262</v>
      </c>
      <c r="AN79" s="437"/>
      <c r="AO79" s="481"/>
      <c r="AP79" s="476">
        <v>1.99</v>
      </c>
      <c r="AQ79" s="492">
        <v>1</v>
      </c>
      <c r="AR79" s="473">
        <v>1.99</v>
      </c>
      <c r="AS79" s="493">
        <v>4</v>
      </c>
      <c r="AT79" s="471">
        <v>4.99</v>
      </c>
      <c r="AU79" s="492">
        <v>5</v>
      </c>
      <c r="AV79" s="474">
        <v>5.99</v>
      </c>
      <c r="AW79" s="493">
        <v>6</v>
      </c>
      <c r="AX79" s="485">
        <v>6.99</v>
      </c>
      <c r="AY79" s="493">
        <v>2</v>
      </c>
      <c r="AZ79" s="471">
        <v>2.99</v>
      </c>
      <c r="BA79" s="481"/>
      <c r="BB79" s="481"/>
    </row>
    <row r="80" spans="37:54" ht="15.75" x14ac:dyDescent="0.25">
      <c r="AK80" s="501" t="s">
        <v>566</v>
      </c>
      <c r="AL80" s="434">
        <v>17</v>
      </c>
      <c r="AM80" s="435">
        <v>208</v>
      </c>
      <c r="AN80" s="437"/>
      <c r="AO80" s="481"/>
      <c r="AP80" s="476">
        <v>1.99</v>
      </c>
      <c r="AQ80" s="492">
        <v>2</v>
      </c>
      <c r="AR80" s="473">
        <v>2.99</v>
      </c>
      <c r="AS80" s="494">
        <v>5</v>
      </c>
      <c r="AT80" s="477">
        <v>7</v>
      </c>
      <c r="AU80" s="492">
        <v>3</v>
      </c>
      <c r="AV80" s="473">
        <v>3.99</v>
      </c>
      <c r="AW80" s="494">
        <v>4</v>
      </c>
      <c r="AX80" s="477">
        <v>6.99</v>
      </c>
      <c r="AY80" s="481"/>
      <c r="AZ80" s="476">
        <v>2.99</v>
      </c>
      <c r="BA80" s="481"/>
      <c r="BB80" s="481"/>
    </row>
    <row r="81" spans="37:54" x14ac:dyDescent="0.25">
      <c r="AK81" s="501" t="s">
        <v>567</v>
      </c>
      <c r="AL81" s="434"/>
      <c r="AM81" s="435"/>
      <c r="AN81" s="437"/>
      <c r="AO81" s="495"/>
      <c r="AP81" s="495"/>
      <c r="AQ81" s="495"/>
      <c r="AR81" s="495"/>
      <c r="AS81" s="495"/>
      <c r="AT81" s="495"/>
      <c r="AU81" s="495"/>
      <c r="AV81" s="495"/>
      <c r="AW81" s="495"/>
      <c r="AX81" s="495"/>
      <c r="AY81" s="495"/>
      <c r="AZ81" s="495"/>
      <c r="BA81" s="495"/>
      <c r="BB81" s="495"/>
    </row>
    <row r="82" spans="37:54" x14ac:dyDescent="0.25">
      <c r="AK82" s="501" t="s">
        <v>568</v>
      </c>
      <c r="AL82" s="434"/>
      <c r="AM82" s="435"/>
      <c r="AN82" s="437"/>
      <c r="AO82" s="495"/>
      <c r="AP82" s="495"/>
      <c r="AQ82" s="495"/>
      <c r="AR82" s="495"/>
      <c r="AS82" s="495"/>
      <c r="AT82" s="495"/>
      <c r="AU82" s="495"/>
      <c r="AV82" s="495"/>
      <c r="AW82" s="495"/>
      <c r="AX82" s="495"/>
      <c r="AY82" s="495"/>
      <c r="AZ82" s="495"/>
      <c r="BA82" s="495"/>
      <c r="BB82" s="495"/>
    </row>
    <row r="83" spans="37:54" x14ac:dyDescent="0.25">
      <c r="AK83" s="501" t="s">
        <v>569</v>
      </c>
      <c r="AL83" s="434"/>
      <c r="AM83" s="435"/>
      <c r="AN83" s="437"/>
      <c r="AO83" s="495"/>
      <c r="AP83" s="495"/>
      <c r="AQ83" s="495"/>
      <c r="AR83" s="495"/>
      <c r="AS83" s="495"/>
      <c r="AT83" s="495"/>
      <c r="AU83" s="495"/>
      <c r="AV83" s="495"/>
      <c r="AW83" s="495"/>
      <c r="AX83" s="495"/>
      <c r="AY83" s="495"/>
      <c r="AZ83" s="495"/>
      <c r="BA83" s="495"/>
      <c r="BB83" s="495"/>
    </row>
    <row r="84" spans="37:54" ht="15.75" x14ac:dyDescent="0.25">
      <c r="AK84" s="501" t="s">
        <v>570</v>
      </c>
      <c r="AL84" s="434">
        <v>16</v>
      </c>
      <c r="AM84" s="435">
        <v>146</v>
      </c>
      <c r="AN84" s="437"/>
      <c r="AO84" s="481"/>
      <c r="AP84" s="481"/>
      <c r="AQ84" s="492">
        <v>3</v>
      </c>
      <c r="AR84" s="473">
        <v>3.99</v>
      </c>
      <c r="AS84" s="492">
        <v>5</v>
      </c>
      <c r="AT84" s="474">
        <v>5.99</v>
      </c>
      <c r="AU84" s="492">
        <v>3</v>
      </c>
      <c r="AV84" s="473">
        <v>3.99</v>
      </c>
      <c r="AW84" s="492">
        <v>1</v>
      </c>
      <c r="AX84" s="473">
        <v>1.99</v>
      </c>
      <c r="AY84" s="481"/>
      <c r="AZ84" s="476">
        <v>1.99</v>
      </c>
      <c r="BA84" s="481"/>
      <c r="BB84" s="481"/>
    </row>
    <row r="85" spans="37:54" ht="15.75" x14ac:dyDescent="0.25">
      <c r="AK85" s="501" t="s">
        <v>571</v>
      </c>
      <c r="AL85" s="434">
        <v>16</v>
      </c>
      <c r="AM85" s="435">
        <v>210</v>
      </c>
      <c r="AN85" s="437"/>
      <c r="AO85" s="493">
        <v>6</v>
      </c>
      <c r="AP85" s="485">
        <v>6.99</v>
      </c>
      <c r="AQ85" s="492">
        <v>2.6</v>
      </c>
      <c r="AR85" s="473">
        <v>2.99</v>
      </c>
      <c r="AS85" s="481"/>
      <c r="AT85" s="476">
        <v>3.99</v>
      </c>
      <c r="AU85" s="481"/>
      <c r="AV85" s="476">
        <v>1.99</v>
      </c>
      <c r="AW85" s="481"/>
      <c r="AX85" s="476">
        <v>0.99</v>
      </c>
      <c r="AY85" s="481"/>
      <c r="AZ85" s="476">
        <v>2.99</v>
      </c>
      <c r="BA85" s="481"/>
      <c r="BB85" s="481"/>
    </row>
    <row r="86" spans="37:54" ht="15.75" x14ac:dyDescent="0.25">
      <c r="AK86" s="501" t="s">
        <v>572</v>
      </c>
      <c r="AL86" s="434">
        <v>17</v>
      </c>
      <c r="AM86" s="435">
        <v>384</v>
      </c>
      <c r="AN86" s="437" t="s">
        <v>105</v>
      </c>
      <c r="AO86" s="481"/>
      <c r="AP86" s="476">
        <v>1.99</v>
      </c>
      <c r="AQ86" s="492">
        <v>3</v>
      </c>
      <c r="AR86" s="473">
        <v>3.99</v>
      </c>
      <c r="AS86" s="492">
        <v>5</v>
      </c>
      <c r="AT86" s="474">
        <v>5.99</v>
      </c>
      <c r="AU86" s="492">
        <v>1</v>
      </c>
      <c r="AV86" s="473">
        <v>1.99</v>
      </c>
      <c r="AW86" s="492">
        <v>4</v>
      </c>
      <c r="AX86" s="473">
        <v>4.99</v>
      </c>
      <c r="AY86" s="493">
        <v>4</v>
      </c>
      <c r="AZ86" s="471">
        <v>4.99</v>
      </c>
      <c r="BA86" s="481"/>
      <c r="BB86" s="481"/>
    </row>
    <row r="87" spans="37:54" ht="15.75" x14ac:dyDescent="0.25">
      <c r="AK87" s="501" t="s">
        <v>573</v>
      </c>
      <c r="AL87" s="434">
        <v>17</v>
      </c>
      <c r="AM87" s="435">
        <v>382</v>
      </c>
      <c r="AN87" s="437"/>
      <c r="AO87" s="490"/>
      <c r="AP87" s="476">
        <v>1.99</v>
      </c>
      <c r="AQ87" s="493">
        <v>5</v>
      </c>
      <c r="AR87" s="472">
        <v>5.99</v>
      </c>
      <c r="AS87" s="492">
        <v>4</v>
      </c>
      <c r="AT87" s="473">
        <v>4.99</v>
      </c>
      <c r="AU87" s="494">
        <v>2</v>
      </c>
      <c r="AV87" s="476">
        <v>3.99</v>
      </c>
      <c r="AW87" s="492">
        <v>4</v>
      </c>
      <c r="AX87" s="473">
        <v>4.99</v>
      </c>
      <c r="AY87" s="490"/>
      <c r="AZ87" s="476">
        <v>4.99</v>
      </c>
      <c r="BA87" s="490"/>
      <c r="BB87" s="490"/>
    </row>
    <row r="88" spans="37:54" ht="15.75" x14ac:dyDescent="0.25">
      <c r="AK88" s="501" t="s">
        <v>574</v>
      </c>
      <c r="AL88" s="434">
        <v>18</v>
      </c>
      <c r="AM88" s="435">
        <v>408</v>
      </c>
      <c r="AN88" s="437"/>
      <c r="AO88" s="481"/>
      <c r="AP88" s="476">
        <v>1.99</v>
      </c>
      <c r="AQ88" s="492">
        <v>2</v>
      </c>
      <c r="AR88" s="473">
        <v>2.99</v>
      </c>
      <c r="AS88" s="481"/>
      <c r="AT88" s="476">
        <v>4.99</v>
      </c>
      <c r="AU88" s="481"/>
      <c r="AV88" s="475">
        <v>5.99</v>
      </c>
      <c r="AW88" s="492">
        <v>4</v>
      </c>
      <c r="AX88" s="473">
        <v>4.99</v>
      </c>
      <c r="AY88" s="492">
        <v>3</v>
      </c>
      <c r="AZ88" s="473">
        <v>3.99</v>
      </c>
      <c r="BA88" s="481"/>
      <c r="BB88" s="481"/>
    </row>
    <row r="89" spans="37:54" ht="15.75" x14ac:dyDescent="0.25">
      <c r="AK89" s="501" t="s">
        <v>575</v>
      </c>
      <c r="AL89" s="434">
        <v>18</v>
      </c>
      <c r="AM89" s="435">
        <v>423</v>
      </c>
      <c r="AN89" s="437" t="s">
        <v>94</v>
      </c>
      <c r="AO89" s="490"/>
      <c r="AP89" s="476">
        <v>1.99</v>
      </c>
      <c r="AQ89" s="492">
        <v>2</v>
      </c>
      <c r="AR89" s="473">
        <v>2.99</v>
      </c>
      <c r="AS89" s="493">
        <v>4</v>
      </c>
      <c r="AT89" s="471">
        <v>4.99</v>
      </c>
      <c r="AU89" s="492">
        <v>5</v>
      </c>
      <c r="AV89" s="474">
        <v>5.99</v>
      </c>
      <c r="AW89" s="492">
        <v>3</v>
      </c>
      <c r="AX89" s="473">
        <v>3.99</v>
      </c>
      <c r="AY89" s="494">
        <v>3</v>
      </c>
      <c r="AZ89" s="477">
        <v>7</v>
      </c>
      <c r="BA89" s="490"/>
      <c r="BB89" s="490"/>
    </row>
    <row r="90" spans="37:54" ht="15.75" x14ac:dyDescent="0.25">
      <c r="AK90" s="501" t="s">
        <v>576</v>
      </c>
      <c r="AL90" s="434">
        <v>17</v>
      </c>
      <c r="AM90" s="435">
        <v>408</v>
      </c>
      <c r="AN90" s="437" t="s">
        <v>105</v>
      </c>
      <c r="AO90" s="481"/>
      <c r="AP90" s="476">
        <v>0.99</v>
      </c>
      <c r="AQ90" s="492">
        <v>4</v>
      </c>
      <c r="AR90" s="473">
        <v>4.99</v>
      </c>
      <c r="AS90" s="492">
        <v>2</v>
      </c>
      <c r="AT90" s="473">
        <v>2.99</v>
      </c>
      <c r="AU90" s="494">
        <v>4</v>
      </c>
      <c r="AV90" s="475">
        <v>5.99</v>
      </c>
      <c r="AW90" s="492">
        <v>2</v>
      </c>
      <c r="AX90" s="473">
        <v>2.99</v>
      </c>
      <c r="AY90" s="492">
        <v>2</v>
      </c>
      <c r="AZ90" s="473">
        <v>2.99</v>
      </c>
      <c r="BA90" s="481"/>
      <c r="BB90" s="481"/>
    </row>
    <row r="91" spans="37:54" ht="15.75" x14ac:dyDescent="0.25">
      <c r="AK91" s="501" t="s">
        <v>577</v>
      </c>
      <c r="AL91" s="434">
        <v>17</v>
      </c>
      <c r="AM91" s="435">
        <v>330</v>
      </c>
      <c r="AN91" s="437"/>
      <c r="AO91" s="490"/>
      <c r="AP91" s="490"/>
      <c r="AQ91" s="490"/>
      <c r="AR91" s="476">
        <v>2.99</v>
      </c>
      <c r="AS91" s="492">
        <v>3</v>
      </c>
      <c r="AT91" s="473">
        <v>3.99</v>
      </c>
      <c r="AU91" s="494">
        <v>5</v>
      </c>
      <c r="AV91" s="477">
        <v>6.99</v>
      </c>
      <c r="AW91" s="493">
        <v>4</v>
      </c>
      <c r="AX91" s="471">
        <v>4.99</v>
      </c>
      <c r="AY91" s="493">
        <v>4</v>
      </c>
      <c r="AZ91" s="471">
        <v>4.99</v>
      </c>
      <c r="BA91" s="490"/>
      <c r="BB91" s="490"/>
    </row>
    <row r="92" spans="37:54" ht="15.75" x14ac:dyDescent="0.25">
      <c r="AK92" s="501" t="s">
        <v>578</v>
      </c>
      <c r="AL92" s="434">
        <v>16</v>
      </c>
      <c r="AM92" s="435">
        <v>329</v>
      </c>
      <c r="AN92" s="437"/>
      <c r="AO92" s="490"/>
      <c r="AP92" s="490"/>
      <c r="AQ92" s="493">
        <v>3</v>
      </c>
      <c r="AR92" s="471">
        <v>3.99</v>
      </c>
      <c r="AS92" s="494">
        <v>4</v>
      </c>
      <c r="AT92" s="477">
        <v>6.99</v>
      </c>
      <c r="AU92" s="490"/>
      <c r="AV92" s="476">
        <v>3.99</v>
      </c>
      <c r="AW92" s="493">
        <v>3</v>
      </c>
      <c r="AX92" s="471">
        <v>3.99</v>
      </c>
      <c r="AY92" s="490"/>
      <c r="AZ92" s="476">
        <v>3.99</v>
      </c>
      <c r="BA92" s="490"/>
      <c r="BB92" s="490"/>
    </row>
    <row r="93" spans="37:54" ht="15.75" x14ac:dyDescent="0.25">
      <c r="AK93" s="501" t="s">
        <v>579</v>
      </c>
      <c r="AL93" s="434">
        <v>16</v>
      </c>
      <c r="AM93" s="435">
        <v>331</v>
      </c>
      <c r="AN93" s="437"/>
      <c r="AO93" s="490"/>
      <c r="AP93" s="490"/>
      <c r="AQ93" s="492">
        <v>2</v>
      </c>
      <c r="AR93" s="473">
        <v>2.99</v>
      </c>
      <c r="AS93" s="493">
        <v>4</v>
      </c>
      <c r="AT93" s="471">
        <v>4.99</v>
      </c>
      <c r="AU93" s="492">
        <v>2</v>
      </c>
      <c r="AV93" s="473">
        <v>2.99</v>
      </c>
      <c r="AW93" s="492">
        <v>3</v>
      </c>
      <c r="AX93" s="473">
        <v>3.99</v>
      </c>
      <c r="AY93" s="494">
        <v>4</v>
      </c>
      <c r="AZ93" s="477">
        <v>6.99</v>
      </c>
      <c r="BA93" s="490"/>
      <c r="BB93" s="490"/>
    </row>
    <row r="94" spans="37:54" ht="15.75" x14ac:dyDescent="0.25">
      <c r="AK94" s="501" t="s">
        <v>580</v>
      </c>
      <c r="AL94" s="434">
        <v>16</v>
      </c>
      <c r="AM94" s="435">
        <v>342</v>
      </c>
      <c r="AN94" s="437"/>
      <c r="AO94" s="490"/>
      <c r="AP94" s="490"/>
      <c r="AQ94" s="494">
        <v>4</v>
      </c>
      <c r="AR94" s="477">
        <v>6.99</v>
      </c>
      <c r="AS94" s="492">
        <v>2</v>
      </c>
      <c r="AT94" s="473">
        <v>2.99</v>
      </c>
      <c r="AU94" s="496">
        <v>2</v>
      </c>
      <c r="AV94" s="497">
        <v>2.99</v>
      </c>
      <c r="AW94" s="493">
        <v>5</v>
      </c>
      <c r="AX94" s="472">
        <v>5.99</v>
      </c>
      <c r="AY94" s="494">
        <v>1</v>
      </c>
      <c r="AZ94" s="476">
        <v>2.99</v>
      </c>
      <c r="BA94" s="490"/>
      <c r="BB94" s="476">
        <v>3.99</v>
      </c>
    </row>
    <row r="95" spans="37:54" ht="15.75" x14ac:dyDescent="0.25">
      <c r="AK95" s="501" t="s">
        <v>581</v>
      </c>
      <c r="AL95" s="434">
        <v>16</v>
      </c>
      <c r="AM95" s="435">
        <v>373</v>
      </c>
      <c r="AN95" s="437"/>
      <c r="AO95" s="481"/>
      <c r="AP95" s="481"/>
      <c r="AQ95" s="493">
        <v>5</v>
      </c>
      <c r="AR95" s="472">
        <v>5.99</v>
      </c>
      <c r="AS95" s="492">
        <v>5</v>
      </c>
      <c r="AT95" s="474">
        <v>5.99</v>
      </c>
      <c r="AU95" s="481"/>
      <c r="AV95" s="476">
        <v>4.99</v>
      </c>
      <c r="AW95" s="481"/>
      <c r="AX95" s="476">
        <v>4.99</v>
      </c>
      <c r="AY95" s="481"/>
      <c r="AZ95" s="476">
        <v>4.99</v>
      </c>
      <c r="BA95" s="481"/>
      <c r="BB95" s="481"/>
    </row>
    <row r="96" spans="37:54" ht="15.75" x14ac:dyDescent="0.25">
      <c r="AK96" s="501" t="s">
        <v>582</v>
      </c>
      <c r="AL96" s="434">
        <v>16</v>
      </c>
      <c r="AM96" s="435">
        <v>390</v>
      </c>
      <c r="AN96" s="437" t="s">
        <v>67</v>
      </c>
      <c r="AO96" s="481"/>
      <c r="AP96" s="481"/>
      <c r="AQ96" s="492">
        <v>1</v>
      </c>
      <c r="AR96" s="473">
        <v>1.99</v>
      </c>
      <c r="AS96" s="492">
        <v>6</v>
      </c>
      <c r="AT96" s="478">
        <v>6.99</v>
      </c>
      <c r="AU96" s="493">
        <v>2</v>
      </c>
      <c r="AV96" s="471">
        <v>2.99</v>
      </c>
      <c r="AW96" s="492">
        <v>5</v>
      </c>
      <c r="AX96" s="474">
        <v>5.99</v>
      </c>
      <c r="AY96" s="493">
        <v>4</v>
      </c>
      <c r="AZ96" s="471">
        <v>4.99</v>
      </c>
      <c r="BA96" s="481"/>
      <c r="BB96" s="476">
        <v>3.99</v>
      </c>
    </row>
    <row r="97" spans="37:54" ht="15.75" x14ac:dyDescent="0.25">
      <c r="AK97" s="501" t="s">
        <v>583</v>
      </c>
      <c r="AL97" s="434">
        <v>16</v>
      </c>
      <c r="AM97" s="435">
        <v>262</v>
      </c>
      <c r="AN97" s="437"/>
      <c r="AO97" s="481"/>
      <c r="AP97" s="481"/>
      <c r="AQ97" s="493">
        <v>6</v>
      </c>
      <c r="AR97" s="485">
        <v>6.99</v>
      </c>
      <c r="AS97" s="496">
        <v>3</v>
      </c>
      <c r="AT97" s="471">
        <v>3.99</v>
      </c>
      <c r="AU97" s="493">
        <v>5</v>
      </c>
      <c r="AV97" s="472">
        <v>5.99</v>
      </c>
      <c r="AW97" s="481"/>
      <c r="AX97" s="476">
        <v>2.99</v>
      </c>
      <c r="AY97" s="494">
        <v>3</v>
      </c>
      <c r="AZ97" s="476">
        <v>4.99</v>
      </c>
      <c r="BA97" s="481"/>
      <c r="BB97" s="481"/>
    </row>
    <row r="98" spans="37:54" ht="15.75" x14ac:dyDescent="0.25">
      <c r="AK98" s="501" t="s">
        <v>584</v>
      </c>
      <c r="AL98" s="434">
        <v>16</v>
      </c>
      <c r="AM98" s="435">
        <v>240</v>
      </c>
      <c r="AN98" s="437" t="s">
        <v>67</v>
      </c>
      <c r="AO98" s="481"/>
      <c r="AP98" s="481"/>
      <c r="AQ98" s="481"/>
      <c r="AR98" s="476">
        <v>2.99</v>
      </c>
      <c r="AS98" s="493">
        <v>5</v>
      </c>
      <c r="AT98" s="472">
        <v>5.99</v>
      </c>
      <c r="AU98" s="492">
        <v>2</v>
      </c>
      <c r="AV98" s="473">
        <v>2.99</v>
      </c>
      <c r="AW98" s="492">
        <v>3</v>
      </c>
      <c r="AX98" s="473">
        <v>3.99</v>
      </c>
      <c r="AY98" s="494">
        <v>3</v>
      </c>
      <c r="AZ98" s="476">
        <v>4.99</v>
      </c>
      <c r="BA98" s="481"/>
      <c r="BB98" s="481"/>
    </row>
    <row r="99" spans="37:54" ht="15.75" x14ac:dyDescent="0.25">
      <c r="AK99" s="501" t="s">
        <v>585</v>
      </c>
      <c r="AL99" s="434">
        <v>16</v>
      </c>
      <c r="AM99" s="435">
        <v>255</v>
      </c>
      <c r="AN99" s="437"/>
      <c r="AO99" s="481"/>
      <c r="AP99" s="476">
        <v>0.99</v>
      </c>
      <c r="AQ99" s="492">
        <v>2</v>
      </c>
      <c r="AR99" s="473">
        <v>2.99</v>
      </c>
      <c r="AS99" s="494">
        <v>5</v>
      </c>
      <c r="AT99" s="477">
        <v>6.99</v>
      </c>
      <c r="AU99" s="496">
        <v>2</v>
      </c>
      <c r="AV99" s="497">
        <v>2.99</v>
      </c>
      <c r="AW99" s="492">
        <v>2</v>
      </c>
      <c r="AX99" s="473">
        <v>2.99</v>
      </c>
      <c r="AY99" s="492">
        <v>2</v>
      </c>
      <c r="AZ99" s="473">
        <v>2.99</v>
      </c>
      <c r="BA99" s="481"/>
      <c r="BB99" s="481"/>
    </row>
    <row r="100" spans="37:54" ht="15.75" x14ac:dyDescent="0.25">
      <c r="AK100" s="501" t="s">
        <v>586</v>
      </c>
      <c r="AL100" s="428">
        <v>18</v>
      </c>
      <c r="AM100" s="429">
        <v>238</v>
      </c>
      <c r="AN100" s="430" t="s">
        <v>94</v>
      </c>
      <c r="AO100" s="490"/>
      <c r="AP100" s="476">
        <v>1.99</v>
      </c>
      <c r="AQ100" s="493">
        <v>4</v>
      </c>
      <c r="AR100" s="471">
        <v>4.99</v>
      </c>
      <c r="AS100" s="492">
        <v>2</v>
      </c>
      <c r="AT100" s="473">
        <v>2.99</v>
      </c>
      <c r="AU100" s="492">
        <v>3</v>
      </c>
      <c r="AV100" s="473">
        <v>3.99</v>
      </c>
      <c r="AW100" s="492">
        <v>1</v>
      </c>
      <c r="AX100" s="473">
        <v>1.99</v>
      </c>
      <c r="AY100" s="494">
        <v>4</v>
      </c>
      <c r="AZ100" s="477">
        <v>6.99</v>
      </c>
      <c r="BA100" s="490"/>
      <c r="BB100" s="490"/>
    </row>
    <row r="101" spans="37:54" ht="15.75" x14ac:dyDescent="0.25">
      <c r="AK101" s="501" t="s">
        <v>587</v>
      </c>
      <c r="AL101" s="434">
        <v>17</v>
      </c>
      <c r="AM101" s="435">
        <v>105</v>
      </c>
      <c r="AN101" s="437" t="s">
        <v>94</v>
      </c>
      <c r="AO101" s="481"/>
      <c r="AP101" s="476">
        <v>1.99</v>
      </c>
      <c r="AQ101" s="492">
        <v>3</v>
      </c>
      <c r="AR101" s="473">
        <v>3.99</v>
      </c>
      <c r="AS101" s="493">
        <v>5</v>
      </c>
      <c r="AT101" s="472">
        <v>5.99</v>
      </c>
      <c r="AU101" s="492">
        <v>4</v>
      </c>
      <c r="AV101" s="473">
        <v>4.99</v>
      </c>
      <c r="AW101" s="492">
        <v>4</v>
      </c>
      <c r="AX101" s="473">
        <v>4.99</v>
      </c>
      <c r="AY101" s="481"/>
      <c r="AZ101" s="476">
        <v>2.99</v>
      </c>
      <c r="BA101" s="481"/>
      <c r="BB101" s="481"/>
    </row>
    <row r="102" spans="37:54" ht="15.75" x14ac:dyDescent="0.25">
      <c r="AK102" s="501" t="s">
        <v>588</v>
      </c>
      <c r="AL102" s="434">
        <v>17</v>
      </c>
      <c r="AM102" s="435">
        <v>181</v>
      </c>
      <c r="AN102" s="437" t="s">
        <v>105</v>
      </c>
      <c r="AO102" s="481"/>
      <c r="AP102" s="481"/>
      <c r="AQ102" s="493">
        <v>5</v>
      </c>
      <c r="AR102" s="472">
        <v>5.99</v>
      </c>
      <c r="AS102" s="493">
        <v>4</v>
      </c>
      <c r="AT102" s="471">
        <v>4.99</v>
      </c>
      <c r="AU102" s="481"/>
      <c r="AV102" s="475">
        <v>5.99</v>
      </c>
      <c r="AW102" s="492">
        <v>3</v>
      </c>
      <c r="AX102" s="473">
        <v>3.99</v>
      </c>
      <c r="AY102" s="481"/>
      <c r="AZ102" s="476">
        <v>2.99</v>
      </c>
      <c r="BA102" s="481"/>
      <c r="BB102" s="481"/>
    </row>
    <row r="103" spans="37:54" ht="15.75" x14ac:dyDescent="0.25">
      <c r="AK103" s="501" t="s">
        <v>589</v>
      </c>
      <c r="AL103" s="434">
        <v>17</v>
      </c>
      <c r="AM103" s="435">
        <v>34</v>
      </c>
      <c r="AN103" s="437" t="s">
        <v>220</v>
      </c>
      <c r="AO103" s="490"/>
      <c r="AP103" s="476">
        <v>0.99</v>
      </c>
      <c r="AQ103" s="492">
        <v>5</v>
      </c>
      <c r="AR103" s="474">
        <v>5.99</v>
      </c>
      <c r="AS103" s="494">
        <v>4</v>
      </c>
      <c r="AT103" s="475">
        <v>5.99</v>
      </c>
      <c r="AU103" s="498">
        <v>6</v>
      </c>
      <c r="AV103" s="499">
        <v>6.99</v>
      </c>
      <c r="AW103" s="490"/>
      <c r="AX103" s="476">
        <v>2.99</v>
      </c>
      <c r="AY103" s="498">
        <v>5</v>
      </c>
      <c r="AZ103" s="500">
        <v>5.99</v>
      </c>
      <c r="BA103" s="490"/>
      <c r="BB103" s="490"/>
    </row>
    <row r="104" spans="37:54" ht="15.75" x14ac:dyDescent="0.25">
      <c r="AK104" s="636" t="s">
        <v>477</v>
      </c>
      <c r="AL104" s="436">
        <v>17</v>
      </c>
      <c r="AM104" s="435">
        <v>51</v>
      </c>
      <c r="AN104" s="437" t="s">
        <v>67</v>
      </c>
      <c r="AO104" s="481"/>
      <c r="AP104" s="481"/>
      <c r="AQ104" s="492">
        <v>5</v>
      </c>
      <c r="AR104" s="474">
        <v>5.99</v>
      </c>
      <c r="AS104" s="493">
        <v>4</v>
      </c>
      <c r="AT104" s="471">
        <v>4.99</v>
      </c>
      <c r="AU104" s="481"/>
      <c r="AV104" s="476">
        <v>2.99</v>
      </c>
      <c r="AW104" s="481"/>
      <c r="AX104" s="476">
        <v>3.99</v>
      </c>
      <c r="AY104" s="496">
        <v>3</v>
      </c>
      <c r="AZ104" s="497">
        <v>3.99</v>
      </c>
      <c r="BA104" s="481"/>
      <c r="BB104" s="481"/>
    </row>
  </sheetData>
  <mergeCells count="7">
    <mergeCell ref="A14:E14"/>
    <mergeCell ref="AK3:AN3"/>
    <mergeCell ref="AO3:BB3"/>
    <mergeCell ref="AK1:AN1"/>
    <mergeCell ref="A1:E1"/>
    <mergeCell ref="A3:E3"/>
    <mergeCell ref="A7:E7"/>
  </mergeCells>
  <conditionalFormatting sqref="E6 E10:E13 E18:E28">
    <cfRule type="cellIs" dxfId="42" priority="2" operator="between">
      <formula>1</formula>
      <formula>50</formula>
    </cfRule>
    <cfRule type="cellIs" dxfId="41" priority="3" operator="greaterThan">
      <formula>50</formula>
    </cfRule>
    <cfRule type="cellIs" dxfId="40" priority="4" operator="lessThan">
      <formula>1</formula>
    </cfRule>
  </conditionalFormatting>
  <conditionalFormatting sqref="W18:W28 W10:W13 W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P13" sqref="P13"/>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5"/>
      <c r="B1" s="505"/>
      <c r="C1" s="505"/>
      <c r="D1" s="660" t="s">
        <v>671</v>
      </c>
      <c r="E1" s="661"/>
      <c r="F1" s="661"/>
      <c r="G1" s="661"/>
      <c r="H1" s="661"/>
      <c r="I1" s="662"/>
      <c r="K1" s="505"/>
      <c r="L1" s="506"/>
      <c r="M1" s="506"/>
      <c r="N1" s="507">
        <v>43637</v>
      </c>
      <c r="O1" s="507">
        <f t="shared" ref="O1:AD1" si="0">N1+7</f>
        <v>43644</v>
      </c>
      <c r="P1" s="580">
        <f t="shared" si="0"/>
        <v>43651</v>
      </c>
      <c r="Q1" s="507">
        <f t="shared" si="0"/>
        <v>43658</v>
      </c>
      <c r="R1" s="507">
        <f t="shared" si="0"/>
        <v>43665</v>
      </c>
      <c r="S1" s="507">
        <f t="shared" si="0"/>
        <v>43672</v>
      </c>
      <c r="T1" s="507">
        <f t="shared" si="0"/>
        <v>43679</v>
      </c>
      <c r="U1" s="507">
        <f t="shared" si="0"/>
        <v>43686</v>
      </c>
      <c r="V1" s="507">
        <f t="shared" si="0"/>
        <v>43693</v>
      </c>
      <c r="W1" s="507">
        <f t="shared" si="0"/>
        <v>43700</v>
      </c>
      <c r="X1" s="507">
        <f t="shared" si="0"/>
        <v>43707</v>
      </c>
      <c r="Y1" s="507">
        <f t="shared" si="0"/>
        <v>43714</v>
      </c>
      <c r="Z1" s="507">
        <f t="shared" si="0"/>
        <v>43721</v>
      </c>
      <c r="AA1" s="507">
        <f t="shared" si="0"/>
        <v>43728</v>
      </c>
      <c r="AB1" s="507">
        <f t="shared" si="0"/>
        <v>43735</v>
      </c>
      <c r="AC1" s="507">
        <f t="shared" si="0"/>
        <v>43742</v>
      </c>
      <c r="AD1" s="507">
        <f t="shared" si="0"/>
        <v>43749</v>
      </c>
    </row>
    <row r="2" spans="1:33" x14ac:dyDescent="0.25">
      <c r="A2" s="510"/>
      <c r="B2" s="510"/>
      <c r="C2" s="510"/>
      <c r="D2" s="663" t="s">
        <v>609</v>
      </c>
      <c r="E2" s="664"/>
      <c r="F2" s="665"/>
      <c r="G2" s="665"/>
      <c r="H2" s="665"/>
      <c r="I2" s="666"/>
      <c r="K2" s="508"/>
      <c r="L2" s="508"/>
      <c r="M2" s="508" t="s">
        <v>608</v>
      </c>
      <c r="N2" s="509" t="s">
        <v>43</v>
      </c>
      <c r="O2" s="509" t="s">
        <v>28</v>
      </c>
      <c r="P2" s="596" t="s">
        <v>29</v>
      </c>
      <c r="Q2" s="509" t="s">
        <v>30</v>
      </c>
      <c r="R2" s="509" t="s">
        <v>31</v>
      </c>
      <c r="S2" s="509" t="s">
        <v>32</v>
      </c>
      <c r="T2" s="509" t="s">
        <v>33</v>
      </c>
      <c r="U2" s="509" t="s">
        <v>34</v>
      </c>
      <c r="V2" s="509" t="s">
        <v>35</v>
      </c>
      <c r="W2" s="509" t="s">
        <v>36</v>
      </c>
      <c r="X2" s="509" t="s">
        <v>37</v>
      </c>
      <c r="Y2" s="509" t="s">
        <v>38</v>
      </c>
      <c r="Z2" s="509" t="s">
        <v>39</v>
      </c>
      <c r="AA2" s="509" t="s">
        <v>40</v>
      </c>
      <c r="AB2" s="509" t="s">
        <v>41</v>
      </c>
      <c r="AC2" s="509" t="s">
        <v>42</v>
      </c>
      <c r="AD2" s="509" t="s">
        <v>43</v>
      </c>
    </row>
    <row r="3" spans="1:33" ht="18.75" x14ac:dyDescent="0.3">
      <c r="A3" s="513"/>
      <c r="B3" s="513"/>
      <c r="C3" s="513"/>
      <c r="D3" s="667" t="s">
        <v>611</v>
      </c>
      <c r="E3" s="668"/>
      <c r="F3" s="629"/>
      <c r="G3" s="669" t="s">
        <v>612</v>
      </c>
      <c r="H3" s="670"/>
      <c r="I3" s="514"/>
      <c r="K3" s="502"/>
      <c r="L3" s="511"/>
      <c r="M3" s="511" t="s">
        <v>610</v>
      </c>
      <c r="N3" s="512">
        <f>3345+6</f>
        <v>3351</v>
      </c>
      <c r="O3" s="512">
        <v>3345</v>
      </c>
      <c r="P3" s="581">
        <f>O3+O11</f>
        <v>3345</v>
      </c>
      <c r="Q3" s="512">
        <f t="shared" ref="Q3:AD3" si="1">P3+P11</f>
        <v>3375</v>
      </c>
      <c r="R3" s="512">
        <f t="shared" si="1"/>
        <v>3375</v>
      </c>
      <c r="S3" s="512">
        <f t="shared" si="1"/>
        <v>3375</v>
      </c>
      <c r="T3" s="512">
        <f t="shared" si="1"/>
        <v>3375</v>
      </c>
      <c r="U3" s="512">
        <f t="shared" si="1"/>
        <v>3375</v>
      </c>
      <c r="V3" s="512">
        <f t="shared" si="1"/>
        <v>3375</v>
      </c>
      <c r="W3" s="512">
        <f t="shared" si="1"/>
        <v>3375</v>
      </c>
      <c r="X3" s="512">
        <f t="shared" si="1"/>
        <v>3375</v>
      </c>
      <c r="Y3" s="512">
        <f t="shared" si="1"/>
        <v>3375</v>
      </c>
      <c r="Z3" s="512">
        <f t="shared" si="1"/>
        <v>3375</v>
      </c>
      <c r="AA3" s="512">
        <f t="shared" si="1"/>
        <v>3375</v>
      </c>
      <c r="AB3" s="512">
        <f t="shared" si="1"/>
        <v>3375</v>
      </c>
      <c r="AC3" s="512">
        <f t="shared" si="1"/>
        <v>3375</v>
      </c>
      <c r="AD3" s="512">
        <f t="shared" si="1"/>
        <v>3375</v>
      </c>
    </row>
    <row r="4" spans="1:33" ht="18.75" x14ac:dyDescent="0.3">
      <c r="A4" s="513"/>
      <c r="B4" s="513"/>
      <c r="C4" s="513"/>
      <c r="D4" s="523"/>
      <c r="E4" s="533"/>
      <c r="F4" s="565"/>
      <c r="G4" s="519"/>
      <c r="H4" s="565"/>
      <c r="I4" s="520"/>
      <c r="K4" s="597" t="s">
        <v>666</v>
      </c>
      <c r="L4" s="597"/>
      <c r="M4" s="598">
        <f>10164100+500000</f>
        <v>10664100</v>
      </c>
      <c r="N4" s="599">
        <f>M4</f>
        <v>10664100</v>
      </c>
      <c r="O4" s="599">
        <f>N4-N13+N23</f>
        <v>10164100</v>
      </c>
      <c r="P4" s="599">
        <f t="shared" ref="P4:AD4" si="2">O4-O13+O23</f>
        <v>9664100</v>
      </c>
      <c r="Q4" s="599">
        <f t="shared" si="2"/>
        <v>9164100</v>
      </c>
      <c r="R4" s="599">
        <f t="shared" si="2"/>
        <v>8664100</v>
      </c>
      <c r="S4" s="599">
        <f t="shared" si="2"/>
        <v>8164100</v>
      </c>
      <c r="T4" s="599">
        <f t="shared" si="2"/>
        <v>7664100</v>
      </c>
      <c r="U4" s="599">
        <f t="shared" si="2"/>
        <v>7164100</v>
      </c>
      <c r="V4" s="599">
        <f t="shared" si="2"/>
        <v>6664100</v>
      </c>
      <c r="W4" s="599">
        <f t="shared" si="2"/>
        <v>6164100</v>
      </c>
      <c r="X4" s="599">
        <f t="shared" si="2"/>
        <v>5664100</v>
      </c>
      <c r="Y4" s="599">
        <f t="shared" si="2"/>
        <v>5164100</v>
      </c>
      <c r="Z4" s="599">
        <f t="shared" si="2"/>
        <v>4664100</v>
      </c>
      <c r="AA4" s="599">
        <f t="shared" si="2"/>
        <v>4164100</v>
      </c>
      <c r="AB4" s="599">
        <f t="shared" si="2"/>
        <v>3664100</v>
      </c>
      <c r="AC4" s="599">
        <f t="shared" si="2"/>
        <v>3164100</v>
      </c>
      <c r="AD4" s="599">
        <f t="shared" si="2"/>
        <v>2664100</v>
      </c>
    </row>
    <row r="5" spans="1:33" ht="18.75" x14ac:dyDescent="0.3">
      <c r="A5" s="518"/>
      <c r="B5" s="518"/>
      <c r="C5" s="518"/>
      <c r="D5" s="523" t="s">
        <v>615</v>
      </c>
      <c r="E5" s="524">
        <f>SUM(E6:E8)</f>
        <v>8627340</v>
      </c>
      <c r="F5" s="603">
        <f>E5/E35</f>
        <v>0.11007466269033844</v>
      </c>
      <c r="G5" s="523" t="s">
        <v>616</v>
      </c>
      <c r="H5" s="613">
        <f>H6+H7</f>
        <v>63454367</v>
      </c>
      <c r="I5" s="525">
        <f>H5/$H$35</f>
        <v>0.80960273314300157</v>
      </c>
      <c r="K5" s="515" t="s">
        <v>613</v>
      </c>
      <c r="L5" s="515"/>
      <c r="M5" s="516">
        <f>16859431-5919847+1711665-500000</f>
        <v>12151249</v>
      </c>
      <c r="N5" s="517">
        <f>M5</f>
        <v>12151249</v>
      </c>
      <c r="O5" s="517">
        <f t="shared" ref="O5:AD5" si="3">N26</f>
        <v>16853431</v>
      </c>
      <c r="P5" s="517">
        <f t="shared" si="3"/>
        <v>11755916</v>
      </c>
      <c r="Q5" s="517">
        <f t="shared" si="3"/>
        <v>12310622</v>
      </c>
      <c r="R5" s="517">
        <f t="shared" si="3"/>
        <v>13163298</v>
      </c>
      <c r="S5" s="517">
        <f t="shared" si="3"/>
        <v>13725974</v>
      </c>
      <c r="T5" s="517">
        <f t="shared" si="3"/>
        <v>14558650</v>
      </c>
      <c r="U5" s="517">
        <f t="shared" si="3"/>
        <v>15091326</v>
      </c>
      <c r="V5" s="517">
        <f t="shared" si="3"/>
        <v>15924002</v>
      </c>
      <c r="W5" s="517">
        <f t="shared" si="3"/>
        <v>16456678</v>
      </c>
      <c r="X5" s="517">
        <f t="shared" si="3"/>
        <v>17289354</v>
      </c>
      <c r="Y5" s="517">
        <f t="shared" si="3"/>
        <v>17822030</v>
      </c>
      <c r="Z5" s="517">
        <f t="shared" si="3"/>
        <v>18654706</v>
      </c>
      <c r="AA5" s="517">
        <f t="shared" si="3"/>
        <v>19187382</v>
      </c>
      <c r="AB5" s="517">
        <f t="shared" si="3"/>
        <v>20020058</v>
      </c>
      <c r="AC5" s="517">
        <f t="shared" si="3"/>
        <v>20552734</v>
      </c>
      <c r="AD5" s="517">
        <f t="shared" si="3"/>
        <v>21085410</v>
      </c>
    </row>
    <row r="6" spans="1:33" x14ac:dyDescent="0.25">
      <c r="A6" s="521" t="str">
        <f t="shared" ref="A6:A13" si="4">L6</f>
        <v>Taquillas</v>
      </c>
      <c r="B6" s="522">
        <f t="shared" ref="B6:B13" si="5">M6/$M$14</f>
        <v>0.11766594980579234</v>
      </c>
      <c r="D6" s="526" t="s">
        <v>618</v>
      </c>
      <c r="E6" s="527">
        <v>4158040</v>
      </c>
      <c r="F6" s="604">
        <f>E6/E35</f>
        <v>5.3051676467246553E-2</v>
      </c>
      <c r="G6" s="528" t="s">
        <v>619</v>
      </c>
      <c r="H6" s="614">
        <v>300000</v>
      </c>
      <c r="I6" s="529">
        <f>H6/$H$35</f>
        <v>3.8276454628079493E-3</v>
      </c>
      <c r="K6" s="577" t="s">
        <v>614</v>
      </c>
      <c r="L6" s="577" t="s">
        <v>614</v>
      </c>
      <c r="M6" s="594">
        <f t="shared" ref="M6:M25" si="6">SUM(N6:AD6)</f>
        <v>2384853</v>
      </c>
      <c r="N6" s="578">
        <v>27384</v>
      </c>
      <c r="O6" s="578">
        <f>2819+34650</f>
        <v>37469</v>
      </c>
      <c r="P6" s="578">
        <v>50000</v>
      </c>
      <c r="Q6" s="578">
        <v>350000</v>
      </c>
      <c r="R6" s="578">
        <v>60000</v>
      </c>
      <c r="S6" s="578">
        <v>330000</v>
      </c>
      <c r="T6" s="578">
        <v>30000</v>
      </c>
      <c r="U6" s="578">
        <v>330000</v>
      </c>
      <c r="V6" s="578">
        <v>30000</v>
      </c>
      <c r="W6" s="578">
        <v>330000</v>
      </c>
      <c r="X6" s="578">
        <v>30000</v>
      </c>
      <c r="Y6" s="578">
        <v>330000</v>
      </c>
      <c r="Z6" s="578">
        <v>30000</v>
      </c>
      <c r="AA6" s="578">
        <v>330000</v>
      </c>
      <c r="AB6" s="578">
        <v>30000</v>
      </c>
      <c r="AC6" s="578">
        <v>30000</v>
      </c>
      <c r="AD6" s="578">
        <v>30000</v>
      </c>
    </row>
    <row r="7" spans="1:33" x14ac:dyDescent="0.25">
      <c r="A7" s="521" t="str">
        <f t="shared" si="4"/>
        <v>Patrocinadores</v>
      </c>
      <c r="B7" s="522">
        <f t="shared" si="5"/>
        <v>0.18335601605605212</v>
      </c>
      <c r="D7" s="526" t="s">
        <v>622</v>
      </c>
      <c r="E7" s="527">
        <f>1916000+300+2553000</f>
        <v>4469300</v>
      </c>
      <c r="F7" s="604">
        <f>E7/E35</f>
        <v>5.702298622309189E-2</v>
      </c>
      <c r="G7" s="528" t="s">
        <v>623</v>
      </c>
      <c r="H7" s="614">
        <f>63609618-455251</f>
        <v>63154367</v>
      </c>
      <c r="I7" s="529">
        <f>H7/$H$35</f>
        <v>0.80577508768019357</v>
      </c>
      <c r="K7" s="577" t="s">
        <v>617</v>
      </c>
      <c r="L7" s="577" t="s">
        <v>617</v>
      </c>
      <c r="M7" s="594">
        <f t="shared" si="6"/>
        <v>3716259</v>
      </c>
      <c r="N7" s="579">
        <v>270844</v>
      </c>
      <c r="O7" s="579">
        <v>187040</v>
      </c>
      <c r="P7" s="579">
        <v>224225</v>
      </c>
      <c r="Q7" s="579">
        <f>P7-1000</f>
        <v>223225</v>
      </c>
      <c r="R7" s="579">
        <f t="shared" ref="R7:AD7" si="7">Q7-1000</f>
        <v>222225</v>
      </c>
      <c r="S7" s="579">
        <f t="shared" si="7"/>
        <v>221225</v>
      </c>
      <c r="T7" s="579">
        <f t="shared" si="7"/>
        <v>220225</v>
      </c>
      <c r="U7" s="579">
        <f t="shared" si="7"/>
        <v>219225</v>
      </c>
      <c r="V7" s="579">
        <f t="shared" si="7"/>
        <v>218225</v>
      </c>
      <c r="W7" s="579">
        <f t="shared" si="7"/>
        <v>217225</v>
      </c>
      <c r="X7" s="579">
        <f t="shared" si="7"/>
        <v>216225</v>
      </c>
      <c r="Y7" s="579">
        <f t="shared" si="7"/>
        <v>215225</v>
      </c>
      <c r="Z7" s="579">
        <f t="shared" si="7"/>
        <v>214225</v>
      </c>
      <c r="AA7" s="579">
        <f t="shared" si="7"/>
        <v>213225</v>
      </c>
      <c r="AB7" s="579">
        <f t="shared" si="7"/>
        <v>212225</v>
      </c>
      <c r="AC7" s="579">
        <f t="shared" si="7"/>
        <v>211225</v>
      </c>
      <c r="AD7" s="579">
        <f t="shared" si="7"/>
        <v>210225</v>
      </c>
    </row>
    <row r="8" spans="1:33" x14ac:dyDescent="0.25">
      <c r="A8" s="521" t="str">
        <f t="shared" si="4"/>
        <v>Ventas</v>
      </c>
      <c r="B8" s="522">
        <f t="shared" si="5"/>
        <v>0.19218668683376491</v>
      </c>
      <c r="D8" s="530" t="s">
        <v>625</v>
      </c>
      <c r="E8" s="531">
        <v>0</v>
      </c>
      <c r="F8" s="604">
        <f>E8/E35</f>
        <v>0</v>
      </c>
      <c r="G8" s="534"/>
      <c r="H8" s="612"/>
      <c r="I8" s="525"/>
      <c r="K8" s="577" t="s">
        <v>620</v>
      </c>
      <c r="L8" s="577" t="s">
        <v>621</v>
      </c>
      <c r="M8" s="594">
        <f t="shared" si="6"/>
        <v>3895239</v>
      </c>
      <c r="N8" s="578">
        <f>959086+1751596+1184557</f>
        <v>3895239</v>
      </c>
      <c r="O8" s="578">
        <v>0</v>
      </c>
      <c r="P8" s="578">
        <v>0</v>
      </c>
      <c r="Q8" s="578">
        <v>0</v>
      </c>
      <c r="R8" s="578">
        <v>0</v>
      </c>
      <c r="S8" s="578">
        <v>0</v>
      </c>
      <c r="T8" s="578">
        <v>0</v>
      </c>
      <c r="U8" s="578">
        <v>0</v>
      </c>
      <c r="V8" s="578">
        <v>0</v>
      </c>
      <c r="W8" s="578">
        <v>0</v>
      </c>
      <c r="X8" s="578">
        <v>0</v>
      </c>
      <c r="Y8" s="578">
        <v>0</v>
      </c>
      <c r="Z8" s="578">
        <v>0</v>
      </c>
      <c r="AA8" s="578">
        <v>0</v>
      </c>
      <c r="AB8" s="578">
        <v>0</v>
      </c>
      <c r="AC8" s="578">
        <v>0</v>
      </c>
      <c r="AD8" s="578">
        <v>0</v>
      </c>
      <c r="AF8" s="504"/>
      <c r="AG8" s="504"/>
    </row>
    <row r="9" spans="1:33" x14ac:dyDescent="0.25">
      <c r="A9" s="521" t="str">
        <f t="shared" si="4"/>
        <v>VentasCantera</v>
      </c>
      <c r="B9" s="522">
        <f t="shared" si="5"/>
        <v>2.5451455585446137E-2</v>
      </c>
      <c r="D9" s="532"/>
      <c r="E9" s="533"/>
      <c r="F9" s="603"/>
      <c r="G9" s="534"/>
      <c r="H9" s="612"/>
      <c r="I9" s="525"/>
      <c r="K9" s="577"/>
      <c r="L9" s="577" t="s">
        <v>624</v>
      </c>
      <c r="M9" s="594">
        <f t="shared" si="6"/>
        <v>515850</v>
      </c>
      <c r="N9" s="578">
        <f>515850</f>
        <v>515850</v>
      </c>
      <c r="O9" s="578">
        <v>0</v>
      </c>
      <c r="P9" s="578">
        <v>0</v>
      </c>
      <c r="Q9" s="578">
        <v>0</v>
      </c>
      <c r="R9" s="578">
        <v>0</v>
      </c>
      <c r="S9" s="578">
        <v>0</v>
      </c>
      <c r="T9" s="578">
        <v>0</v>
      </c>
      <c r="U9" s="578">
        <v>0</v>
      </c>
      <c r="V9" s="578">
        <v>0</v>
      </c>
      <c r="W9" s="578">
        <v>0</v>
      </c>
      <c r="X9" s="578">
        <v>0</v>
      </c>
      <c r="Y9" s="578">
        <v>0</v>
      </c>
      <c r="Z9" s="578">
        <v>0</v>
      </c>
      <c r="AA9" s="578">
        <v>0</v>
      </c>
      <c r="AB9" s="578">
        <v>0</v>
      </c>
      <c r="AC9" s="578">
        <v>0</v>
      </c>
      <c r="AD9" s="578">
        <v>0</v>
      </c>
    </row>
    <row r="10" spans="1:33" x14ac:dyDescent="0.25">
      <c r="A10" s="521" t="str">
        <f t="shared" si="4"/>
        <v>Comisiones</v>
      </c>
      <c r="B10" s="522">
        <f t="shared" si="5"/>
        <v>5.1921758816214489E-3</v>
      </c>
      <c r="D10" s="523" t="s">
        <v>668</v>
      </c>
      <c r="E10" s="524">
        <f>E11+E12+E13</f>
        <v>2164100</v>
      </c>
      <c r="F10" s="603">
        <f>E10/E35</f>
        <v>2.7611358486875608E-2</v>
      </c>
      <c r="G10" s="523" t="s">
        <v>630</v>
      </c>
      <c r="H10" s="613">
        <f>SUM(H11:H16)</f>
        <v>4121639</v>
      </c>
      <c r="I10" s="525">
        <f t="shared" ref="I10:I16" si="8">H10/$H$35</f>
        <v>5.2587242725607643E-2</v>
      </c>
      <c r="K10" s="577" t="s">
        <v>626</v>
      </c>
      <c r="L10" s="577" t="s">
        <v>626</v>
      </c>
      <c r="M10" s="594">
        <f t="shared" si="6"/>
        <v>105235</v>
      </c>
      <c r="N10" s="579">
        <v>60000</v>
      </c>
      <c r="O10" s="579">
        <f>15320+1915</f>
        <v>17235</v>
      </c>
      <c r="P10" s="579">
        <v>0</v>
      </c>
      <c r="Q10" s="579">
        <v>2000</v>
      </c>
      <c r="R10" s="579">
        <f t="shared" ref="R10:AD10" si="9">Q10</f>
        <v>2000</v>
      </c>
      <c r="S10" s="579">
        <f t="shared" si="9"/>
        <v>2000</v>
      </c>
      <c r="T10" s="579">
        <f t="shared" si="9"/>
        <v>2000</v>
      </c>
      <c r="U10" s="579">
        <f t="shared" si="9"/>
        <v>2000</v>
      </c>
      <c r="V10" s="579">
        <f t="shared" si="9"/>
        <v>2000</v>
      </c>
      <c r="W10" s="579">
        <f t="shared" si="9"/>
        <v>2000</v>
      </c>
      <c r="X10" s="579">
        <f t="shared" si="9"/>
        <v>2000</v>
      </c>
      <c r="Y10" s="579">
        <f t="shared" si="9"/>
        <v>2000</v>
      </c>
      <c r="Z10" s="579">
        <f t="shared" si="9"/>
        <v>2000</v>
      </c>
      <c r="AA10" s="579">
        <f t="shared" si="9"/>
        <v>2000</v>
      </c>
      <c r="AB10" s="579">
        <f t="shared" si="9"/>
        <v>2000</v>
      </c>
      <c r="AC10" s="579">
        <f t="shared" si="9"/>
        <v>2000</v>
      </c>
      <c r="AD10" s="579">
        <f t="shared" si="9"/>
        <v>2000</v>
      </c>
    </row>
    <row r="11" spans="1:33" x14ac:dyDescent="0.25">
      <c r="A11" s="521" t="str">
        <f t="shared" si="4"/>
        <v>Nuevos Socios</v>
      </c>
      <c r="B11" s="522">
        <f t="shared" si="5"/>
        <v>4.9615166689395435E-3</v>
      </c>
      <c r="D11" s="535" t="s">
        <v>673</v>
      </c>
      <c r="E11" s="536">
        <f>N4</f>
        <v>10664100</v>
      </c>
      <c r="F11" s="604">
        <f>E11/E35</f>
        <v>0.13606131326643417</v>
      </c>
      <c r="G11" s="558" t="s">
        <v>633</v>
      </c>
      <c r="H11" s="626">
        <v>0</v>
      </c>
      <c r="I11" s="529">
        <f t="shared" si="8"/>
        <v>0</v>
      </c>
      <c r="K11" s="651" t="s">
        <v>627</v>
      </c>
      <c r="L11" s="577" t="s">
        <v>628</v>
      </c>
      <c r="M11" s="594">
        <f t="shared" si="6"/>
        <v>100560</v>
      </c>
      <c r="N11" s="579">
        <v>100530</v>
      </c>
      <c r="O11" s="579">
        <v>0</v>
      </c>
      <c r="P11" s="579">
        <v>30</v>
      </c>
      <c r="Q11" s="579">
        <v>0</v>
      </c>
      <c r="R11" s="579">
        <f t="shared" ref="R11:AD11" si="10">Q11</f>
        <v>0</v>
      </c>
      <c r="S11" s="579">
        <f t="shared" si="10"/>
        <v>0</v>
      </c>
      <c r="T11" s="579">
        <f t="shared" si="10"/>
        <v>0</v>
      </c>
      <c r="U11" s="579">
        <f t="shared" si="10"/>
        <v>0</v>
      </c>
      <c r="V11" s="579">
        <f t="shared" si="10"/>
        <v>0</v>
      </c>
      <c r="W11" s="579">
        <f t="shared" si="10"/>
        <v>0</v>
      </c>
      <c r="X11" s="579">
        <f t="shared" si="10"/>
        <v>0</v>
      </c>
      <c r="Y11" s="579">
        <f t="shared" si="10"/>
        <v>0</v>
      </c>
      <c r="Z11" s="579">
        <f t="shared" si="10"/>
        <v>0</v>
      </c>
      <c r="AA11" s="579">
        <f t="shared" si="10"/>
        <v>0</v>
      </c>
      <c r="AB11" s="579">
        <f t="shared" si="10"/>
        <v>0</v>
      </c>
      <c r="AC11" s="579">
        <f t="shared" si="10"/>
        <v>0</v>
      </c>
      <c r="AD11" s="579">
        <f t="shared" si="10"/>
        <v>0</v>
      </c>
    </row>
    <row r="12" spans="1:33" x14ac:dyDescent="0.25">
      <c r="A12" s="521" t="str">
        <f t="shared" si="4"/>
        <v>Premios</v>
      </c>
      <c r="B12" s="522">
        <f t="shared" si="5"/>
        <v>5.1805812474010754E-2</v>
      </c>
      <c r="D12" s="535" t="str">
        <f>L13</f>
        <v>Ing Reservas</v>
      </c>
      <c r="E12" s="536">
        <f>M13*-1</f>
        <v>-8500000</v>
      </c>
      <c r="F12" s="604">
        <f>E12/E35</f>
        <v>-0.10844995477955856</v>
      </c>
      <c r="G12" s="627" t="s">
        <v>635</v>
      </c>
      <c r="H12" s="628">
        <v>0</v>
      </c>
      <c r="I12" s="602">
        <f t="shared" si="8"/>
        <v>0</v>
      </c>
      <c r="K12" s="652"/>
      <c r="L12" s="577" t="s">
        <v>631</v>
      </c>
      <c r="M12" s="594">
        <f t="shared" si="6"/>
        <v>1050000</v>
      </c>
      <c r="N12" s="579">
        <v>1050000</v>
      </c>
      <c r="O12" s="579">
        <v>0</v>
      </c>
      <c r="P12" s="579">
        <v>0</v>
      </c>
      <c r="Q12" s="579">
        <v>0</v>
      </c>
      <c r="R12" s="579">
        <v>0</v>
      </c>
      <c r="S12" s="579">
        <v>0</v>
      </c>
      <c r="T12" s="579">
        <v>0</v>
      </c>
      <c r="U12" s="579">
        <v>0</v>
      </c>
      <c r="V12" s="579">
        <v>0</v>
      </c>
      <c r="W12" s="579">
        <v>0</v>
      </c>
      <c r="X12" s="579">
        <v>0</v>
      </c>
      <c r="Y12" s="579">
        <v>0</v>
      </c>
      <c r="Z12" s="579">
        <v>0</v>
      </c>
      <c r="AA12" s="579">
        <v>0</v>
      </c>
      <c r="AB12" s="579">
        <v>0</v>
      </c>
      <c r="AC12" s="579">
        <v>0</v>
      </c>
      <c r="AD12" s="579">
        <v>0</v>
      </c>
    </row>
    <row r="13" spans="1:33" s="593" customFormat="1" ht="18.75" x14ac:dyDescent="0.3">
      <c r="A13" s="521" t="str">
        <f t="shared" si="4"/>
        <v>Ing Reservas</v>
      </c>
      <c r="B13" s="522">
        <f t="shared" si="5"/>
        <v>0.41938038669437272</v>
      </c>
      <c r="C13" s="591"/>
      <c r="D13" s="535" t="str">
        <f>L23</f>
        <v>Pago Reservas</v>
      </c>
      <c r="E13" s="536">
        <f>M23</f>
        <v>0</v>
      </c>
      <c r="F13" s="604">
        <f>E13/E35</f>
        <v>0</v>
      </c>
      <c r="G13" s="558" t="s">
        <v>638</v>
      </c>
      <c r="H13" s="626">
        <f>515850</f>
        <v>515850</v>
      </c>
      <c r="I13" s="529">
        <f t="shared" si="8"/>
        <v>6.5816363732982691E-3</v>
      </c>
      <c r="K13" s="653"/>
      <c r="L13" s="577" t="s">
        <v>669</v>
      </c>
      <c r="M13" s="594">
        <f t="shared" si="6"/>
        <v>8500000</v>
      </c>
      <c r="N13" s="579">
        <v>500000</v>
      </c>
      <c r="O13" s="579">
        <f>N13</f>
        <v>500000</v>
      </c>
      <c r="P13" s="579">
        <f t="shared" ref="P13:AD13" si="11">O13</f>
        <v>500000</v>
      </c>
      <c r="Q13" s="579">
        <f t="shared" si="11"/>
        <v>500000</v>
      </c>
      <c r="R13" s="579">
        <f t="shared" si="11"/>
        <v>500000</v>
      </c>
      <c r="S13" s="579">
        <f t="shared" si="11"/>
        <v>500000</v>
      </c>
      <c r="T13" s="579">
        <f t="shared" si="11"/>
        <v>500000</v>
      </c>
      <c r="U13" s="579">
        <f t="shared" si="11"/>
        <v>500000</v>
      </c>
      <c r="V13" s="579">
        <f t="shared" si="11"/>
        <v>500000</v>
      </c>
      <c r="W13" s="579">
        <f t="shared" si="11"/>
        <v>500000</v>
      </c>
      <c r="X13" s="579">
        <f t="shared" si="11"/>
        <v>500000</v>
      </c>
      <c r="Y13" s="579">
        <f t="shared" si="11"/>
        <v>500000</v>
      </c>
      <c r="Z13" s="579">
        <f t="shared" si="11"/>
        <v>500000</v>
      </c>
      <c r="AA13" s="579">
        <f t="shared" si="11"/>
        <v>500000</v>
      </c>
      <c r="AB13" s="579">
        <f t="shared" si="11"/>
        <v>500000</v>
      </c>
      <c r="AC13" s="579">
        <f t="shared" si="11"/>
        <v>500000</v>
      </c>
      <c r="AD13" s="579">
        <f t="shared" si="11"/>
        <v>500000</v>
      </c>
    </row>
    <row r="14" spans="1:33" ht="18.75" x14ac:dyDescent="0.3">
      <c r="A14" s="591"/>
      <c r="B14" s="592">
        <f>SUM(B6:B13)</f>
        <v>1</v>
      </c>
      <c r="D14" s="532"/>
      <c r="E14" s="606"/>
      <c r="G14" s="558" t="s">
        <v>641</v>
      </c>
      <c r="H14" s="626">
        <f>959086-941000-910+1751596-1140-1841100+1184557-1900-1169788</f>
        <v>-60599</v>
      </c>
      <c r="I14" s="529">
        <f t="shared" si="8"/>
        <v>-7.7317162466899634E-4</v>
      </c>
      <c r="K14" s="588" t="s">
        <v>634</v>
      </c>
      <c r="L14" s="589"/>
      <c r="M14" s="595">
        <f t="shared" si="6"/>
        <v>20267996</v>
      </c>
      <c r="N14" s="590">
        <f>SUM(N6:N13)</f>
        <v>6419847</v>
      </c>
      <c r="O14" s="590">
        <f t="shared" ref="O14:AD14" si="12">SUM(O6:O13)</f>
        <v>741744</v>
      </c>
      <c r="P14" s="590">
        <f t="shared" si="12"/>
        <v>774255</v>
      </c>
      <c r="Q14" s="590">
        <f t="shared" si="12"/>
        <v>1075225</v>
      </c>
      <c r="R14" s="590">
        <f t="shared" si="12"/>
        <v>784225</v>
      </c>
      <c r="S14" s="590">
        <f t="shared" si="12"/>
        <v>1053225</v>
      </c>
      <c r="T14" s="590">
        <f t="shared" si="12"/>
        <v>752225</v>
      </c>
      <c r="U14" s="590">
        <f t="shared" si="12"/>
        <v>1051225</v>
      </c>
      <c r="V14" s="590">
        <f t="shared" si="12"/>
        <v>750225</v>
      </c>
      <c r="W14" s="590">
        <f t="shared" si="12"/>
        <v>1049225</v>
      </c>
      <c r="X14" s="590">
        <f t="shared" si="12"/>
        <v>748225</v>
      </c>
      <c r="Y14" s="590">
        <f t="shared" si="12"/>
        <v>1047225</v>
      </c>
      <c r="Z14" s="590">
        <f t="shared" si="12"/>
        <v>746225</v>
      </c>
      <c r="AA14" s="590">
        <f t="shared" si="12"/>
        <v>1045225</v>
      </c>
      <c r="AB14" s="590">
        <f t="shared" si="12"/>
        <v>744225</v>
      </c>
      <c r="AC14" s="590">
        <f t="shared" si="12"/>
        <v>743225</v>
      </c>
      <c r="AD14" s="590">
        <f t="shared" si="12"/>
        <v>742225</v>
      </c>
    </row>
    <row r="15" spans="1:33" ht="18.75" x14ac:dyDescent="0.3">
      <c r="A15" s="671">
        <f>M14</f>
        <v>20267996</v>
      </c>
      <c r="B15" s="671"/>
      <c r="D15" s="523" t="s">
        <v>629</v>
      </c>
      <c r="E15" s="524">
        <f>SUM(E16:E19)</f>
        <v>35166480</v>
      </c>
      <c r="F15" s="603">
        <f>E15/E35</f>
        <v>0.44868272538308829</v>
      </c>
      <c r="G15" s="558" t="s">
        <v>643</v>
      </c>
      <c r="H15" s="626">
        <v>0</v>
      </c>
      <c r="I15" s="529">
        <f t="shared" si="8"/>
        <v>0</v>
      </c>
      <c r="K15" s="584" t="s">
        <v>636</v>
      </c>
      <c r="L15" s="585" t="str">
        <f>K15</f>
        <v>Sueldos</v>
      </c>
      <c r="M15" s="537">
        <f t="shared" si="6"/>
        <v>1335110</v>
      </c>
      <c r="N15" s="582">
        <v>82664</v>
      </c>
      <c r="O15" s="582">
        <v>79866</v>
      </c>
      <c r="P15" s="582">
        <v>85172</v>
      </c>
      <c r="Q15" s="582">
        <f t="shared" ref="Q15:AD15" si="13">P15-1000</f>
        <v>84172</v>
      </c>
      <c r="R15" s="582">
        <f t="shared" si="13"/>
        <v>83172</v>
      </c>
      <c r="S15" s="582">
        <f t="shared" si="13"/>
        <v>82172</v>
      </c>
      <c r="T15" s="582">
        <f t="shared" si="13"/>
        <v>81172</v>
      </c>
      <c r="U15" s="582">
        <f t="shared" si="13"/>
        <v>80172</v>
      </c>
      <c r="V15" s="582">
        <f t="shared" si="13"/>
        <v>79172</v>
      </c>
      <c r="W15" s="582">
        <f t="shared" si="13"/>
        <v>78172</v>
      </c>
      <c r="X15" s="582">
        <f t="shared" si="13"/>
        <v>77172</v>
      </c>
      <c r="Y15" s="582">
        <f t="shared" si="13"/>
        <v>76172</v>
      </c>
      <c r="Z15" s="582">
        <f t="shared" si="13"/>
        <v>75172</v>
      </c>
      <c r="AA15" s="582">
        <f t="shared" si="13"/>
        <v>74172</v>
      </c>
      <c r="AB15" s="582">
        <f t="shared" si="13"/>
        <v>73172</v>
      </c>
      <c r="AC15" s="582">
        <f t="shared" si="13"/>
        <v>72172</v>
      </c>
      <c r="AD15" s="582">
        <f t="shared" si="13"/>
        <v>71172</v>
      </c>
    </row>
    <row r="16" spans="1:33" x14ac:dyDescent="0.25">
      <c r="D16" s="535" t="s">
        <v>632</v>
      </c>
      <c r="E16" s="536">
        <v>0</v>
      </c>
      <c r="F16" s="604">
        <f>E16/E35</f>
        <v>0</v>
      </c>
      <c r="G16" s="621" t="s">
        <v>645</v>
      </c>
      <c r="H16" s="615">
        <f>E29-H26</f>
        <v>3666388</v>
      </c>
      <c r="I16" s="529">
        <f t="shared" si="8"/>
        <v>4.6778777976978374E-2</v>
      </c>
      <c r="K16" s="584" t="s">
        <v>639</v>
      </c>
      <c r="L16" s="585" t="str">
        <f>K16</f>
        <v xml:space="preserve">Mantenimiento </v>
      </c>
      <c r="M16" s="537">
        <f t="shared" si="6"/>
        <v>834649</v>
      </c>
      <c r="N16" s="582">
        <v>49097</v>
      </c>
      <c r="O16" s="582">
        <f>N16</f>
        <v>49097</v>
      </c>
      <c r="P16" s="582">
        <f t="shared" ref="P16:AD16" si="14">O16</f>
        <v>49097</v>
      </c>
      <c r="Q16" s="582">
        <f t="shared" si="14"/>
        <v>49097</v>
      </c>
      <c r="R16" s="582">
        <f t="shared" si="14"/>
        <v>49097</v>
      </c>
      <c r="S16" s="582">
        <f t="shared" si="14"/>
        <v>49097</v>
      </c>
      <c r="T16" s="582">
        <f t="shared" si="14"/>
        <v>49097</v>
      </c>
      <c r="U16" s="582">
        <f t="shared" si="14"/>
        <v>49097</v>
      </c>
      <c r="V16" s="582">
        <f t="shared" si="14"/>
        <v>49097</v>
      </c>
      <c r="W16" s="582">
        <f t="shared" si="14"/>
        <v>49097</v>
      </c>
      <c r="X16" s="582">
        <f t="shared" si="14"/>
        <v>49097</v>
      </c>
      <c r="Y16" s="582">
        <f t="shared" si="14"/>
        <v>49097</v>
      </c>
      <c r="Z16" s="582">
        <f t="shared" si="14"/>
        <v>49097</v>
      </c>
      <c r="AA16" s="582">
        <f t="shared" si="14"/>
        <v>49097</v>
      </c>
      <c r="AB16" s="582">
        <f t="shared" si="14"/>
        <v>49097</v>
      </c>
      <c r="AC16" s="582">
        <f t="shared" si="14"/>
        <v>49097</v>
      </c>
      <c r="AD16" s="582">
        <f t="shared" si="14"/>
        <v>49097</v>
      </c>
    </row>
    <row r="17" spans="1:30" ht="15.75" customHeight="1" x14ac:dyDescent="0.25">
      <c r="D17" s="600" t="s">
        <v>629</v>
      </c>
      <c r="E17" s="601">
        <f>11662680+35000</f>
        <v>11697680</v>
      </c>
      <c r="F17" s="605">
        <f>E17/E35</f>
        <v>0.14924857259126431</v>
      </c>
      <c r="G17" s="532"/>
      <c r="H17" s="612"/>
      <c r="I17" s="541"/>
      <c r="K17" s="584" t="s">
        <v>642</v>
      </c>
      <c r="L17" s="585" t="s">
        <v>618</v>
      </c>
      <c r="M17" s="537">
        <f t="shared" si="6"/>
        <v>0</v>
      </c>
      <c r="N17" s="582">
        <v>0</v>
      </c>
      <c r="O17" s="582">
        <v>0</v>
      </c>
      <c r="P17" s="582">
        <v>0</v>
      </c>
      <c r="Q17" s="582">
        <v>0</v>
      </c>
      <c r="R17" s="582">
        <v>0</v>
      </c>
      <c r="S17" s="582">
        <v>0</v>
      </c>
      <c r="T17" s="582">
        <v>0</v>
      </c>
      <c r="U17" s="582">
        <v>0</v>
      </c>
      <c r="V17" s="582">
        <v>0</v>
      </c>
      <c r="W17" s="582">
        <v>0</v>
      </c>
      <c r="X17" s="582">
        <v>0</v>
      </c>
      <c r="Y17" s="582">
        <v>0</v>
      </c>
      <c r="Z17" s="582">
        <v>0</v>
      </c>
      <c r="AA17" s="582">
        <v>0</v>
      </c>
      <c r="AB17" s="582">
        <v>0</v>
      </c>
      <c r="AC17" s="582">
        <v>0</v>
      </c>
      <c r="AD17" s="582">
        <v>0</v>
      </c>
    </row>
    <row r="18" spans="1:30" x14ac:dyDescent="0.25">
      <c r="D18" s="535" t="s">
        <v>637</v>
      </c>
      <c r="E18" s="536">
        <f>3852540+924+1308000+870+4689000+1490+1887000+1044+740000+948+2327000+684</f>
        <v>14809500</v>
      </c>
      <c r="F18" s="604">
        <f>E18/E35</f>
        <v>0.18895171827151441</v>
      </c>
      <c r="G18" s="523" t="s">
        <v>649</v>
      </c>
      <c r="H18" s="616">
        <f>H19</f>
        <v>7110640</v>
      </c>
      <c r="I18" s="525">
        <f>H18/$H$35</f>
        <v>9.0723363112202388E-2</v>
      </c>
      <c r="K18" s="584" t="s">
        <v>644</v>
      </c>
      <c r="L18" s="585" t="str">
        <f>K18</f>
        <v>Empleados</v>
      </c>
      <c r="M18" s="537">
        <f t="shared" si="6"/>
        <v>1109760</v>
      </c>
      <c r="N18" s="582">
        <v>65280</v>
      </c>
      <c r="O18" s="582">
        <f>N18</f>
        <v>65280</v>
      </c>
      <c r="P18" s="582">
        <f t="shared" ref="P18:AD18" si="15">O18</f>
        <v>65280</v>
      </c>
      <c r="Q18" s="582">
        <f t="shared" si="15"/>
        <v>65280</v>
      </c>
      <c r="R18" s="582">
        <f t="shared" si="15"/>
        <v>65280</v>
      </c>
      <c r="S18" s="582">
        <f t="shared" si="15"/>
        <v>65280</v>
      </c>
      <c r="T18" s="582">
        <f t="shared" si="15"/>
        <v>65280</v>
      </c>
      <c r="U18" s="582">
        <f t="shared" si="15"/>
        <v>65280</v>
      </c>
      <c r="V18" s="582">
        <f t="shared" si="15"/>
        <v>65280</v>
      </c>
      <c r="W18" s="582">
        <f t="shared" si="15"/>
        <v>65280</v>
      </c>
      <c r="X18" s="582">
        <f t="shared" si="15"/>
        <v>65280</v>
      </c>
      <c r="Y18" s="582">
        <f t="shared" si="15"/>
        <v>65280</v>
      </c>
      <c r="Z18" s="582">
        <f t="shared" si="15"/>
        <v>65280</v>
      </c>
      <c r="AA18" s="582">
        <f t="shared" si="15"/>
        <v>65280</v>
      </c>
      <c r="AB18" s="582">
        <f t="shared" si="15"/>
        <v>65280</v>
      </c>
      <c r="AC18" s="582">
        <f t="shared" si="15"/>
        <v>65280</v>
      </c>
      <c r="AD18" s="582">
        <f t="shared" si="15"/>
        <v>65280</v>
      </c>
    </row>
    <row r="19" spans="1:30" x14ac:dyDescent="0.25">
      <c r="D19" s="535" t="s">
        <v>640</v>
      </c>
      <c r="E19" s="536">
        <f>1486140+2484+1548000+660+3600000+3132+2017000+1884</f>
        <v>8659300</v>
      </c>
      <c r="F19" s="604">
        <f>E19/E35</f>
        <v>0.11048243452030958</v>
      </c>
      <c r="G19" s="542" t="s">
        <v>648</v>
      </c>
      <c r="H19" s="617">
        <f>M20</f>
        <v>7110640</v>
      </c>
      <c r="I19" s="529">
        <f>H19/$H$35</f>
        <v>9.0723363112202388E-2</v>
      </c>
      <c r="K19" s="584" t="s">
        <v>646</v>
      </c>
      <c r="L19" s="585" t="str">
        <f>K19</f>
        <v>Juveniles</v>
      </c>
      <c r="M19" s="537">
        <f t="shared" si="6"/>
        <v>340000</v>
      </c>
      <c r="N19" s="582">
        <v>20000</v>
      </c>
      <c r="O19" s="582">
        <f>N19</f>
        <v>20000</v>
      </c>
      <c r="P19" s="582">
        <f t="shared" ref="P19:AD19" si="16">O19</f>
        <v>20000</v>
      </c>
      <c r="Q19" s="582">
        <f t="shared" si="16"/>
        <v>20000</v>
      </c>
      <c r="R19" s="582">
        <f t="shared" si="16"/>
        <v>20000</v>
      </c>
      <c r="S19" s="582">
        <f t="shared" si="16"/>
        <v>20000</v>
      </c>
      <c r="T19" s="582">
        <f t="shared" si="16"/>
        <v>20000</v>
      </c>
      <c r="U19" s="582">
        <f t="shared" si="16"/>
        <v>20000</v>
      </c>
      <c r="V19" s="582">
        <f t="shared" si="16"/>
        <v>20000</v>
      </c>
      <c r="W19" s="582">
        <f t="shared" si="16"/>
        <v>20000</v>
      </c>
      <c r="X19" s="582">
        <f t="shared" si="16"/>
        <v>20000</v>
      </c>
      <c r="Y19" s="582">
        <f t="shared" si="16"/>
        <v>20000</v>
      </c>
      <c r="Z19" s="582">
        <f t="shared" si="16"/>
        <v>20000</v>
      </c>
      <c r="AA19" s="582">
        <f t="shared" si="16"/>
        <v>20000</v>
      </c>
      <c r="AB19" s="582">
        <f t="shared" si="16"/>
        <v>20000</v>
      </c>
      <c r="AC19" s="582">
        <f t="shared" si="16"/>
        <v>20000</v>
      </c>
      <c r="AD19" s="582">
        <f t="shared" si="16"/>
        <v>20000</v>
      </c>
    </row>
    <row r="20" spans="1:30" x14ac:dyDescent="0.25">
      <c r="D20" s="532"/>
      <c r="E20" s="606"/>
      <c r="F20" s="609"/>
      <c r="G20" s="538"/>
      <c r="H20" s="618"/>
      <c r="I20" s="543"/>
      <c r="K20" s="584" t="s">
        <v>647</v>
      </c>
      <c r="L20" s="585" t="s">
        <v>648</v>
      </c>
      <c r="M20" s="537">
        <f t="shared" si="6"/>
        <v>7110640</v>
      </c>
      <c r="N20" s="582">
        <f>1486140+2484</f>
        <v>1488624</v>
      </c>
      <c r="O20" s="582">
        <f>3600000+3132+2017000+1884</f>
        <v>5622016</v>
      </c>
      <c r="P20" s="582">
        <v>0</v>
      </c>
      <c r="Q20" s="582">
        <f t="shared" ref="Q20:AD20" si="17">P20</f>
        <v>0</v>
      </c>
      <c r="R20" s="582">
        <f t="shared" si="17"/>
        <v>0</v>
      </c>
      <c r="S20" s="582">
        <f t="shared" si="17"/>
        <v>0</v>
      </c>
      <c r="T20" s="582">
        <f t="shared" si="17"/>
        <v>0</v>
      </c>
      <c r="U20" s="582">
        <f t="shared" si="17"/>
        <v>0</v>
      </c>
      <c r="V20" s="582">
        <f t="shared" si="17"/>
        <v>0</v>
      </c>
      <c r="W20" s="582">
        <f t="shared" si="17"/>
        <v>0</v>
      </c>
      <c r="X20" s="582">
        <f t="shared" si="17"/>
        <v>0</v>
      </c>
      <c r="Y20" s="582">
        <f t="shared" si="17"/>
        <v>0</v>
      </c>
      <c r="Z20" s="582">
        <f t="shared" si="17"/>
        <v>0</v>
      </c>
      <c r="AA20" s="582">
        <f t="shared" si="17"/>
        <v>0</v>
      </c>
      <c r="AB20" s="582">
        <f t="shared" si="17"/>
        <v>0</v>
      </c>
      <c r="AC20" s="582">
        <f t="shared" si="17"/>
        <v>0</v>
      </c>
      <c r="AD20" s="582">
        <f t="shared" si="17"/>
        <v>0</v>
      </c>
    </row>
    <row r="21" spans="1:30" x14ac:dyDescent="0.25">
      <c r="D21" s="523" t="s">
        <v>621</v>
      </c>
      <c r="E21" s="540">
        <f>E22</f>
        <v>4411089</v>
      </c>
      <c r="F21" s="603">
        <f>E21/E35</f>
        <v>5.6280282656306843E-2</v>
      </c>
      <c r="G21" s="538"/>
      <c r="H21" s="618"/>
      <c r="I21" s="543"/>
      <c r="K21" s="654" t="s">
        <v>627</v>
      </c>
      <c r="L21" s="585" t="s">
        <v>622</v>
      </c>
      <c r="M21" s="537">
        <f t="shared" si="6"/>
        <v>0</v>
      </c>
      <c r="N21" s="582">
        <v>0</v>
      </c>
      <c r="O21" s="582">
        <f>N21</f>
        <v>0</v>
      </c>
      <c r="P21" s="582">
        <f t="shared" ref="P21:AD21" si="18">O21</f>
        <v>0</v>
      </c>
      <c r="Q21" s="582">
        <f t="shared" si="18"/>
        <v>0</v>
      </c>
      <c r="R21" s="582">
        <f t="shared" si="18"/>
        <v>0</v>
      </c>
      <c r="S21" s="582">
        <f t="shared" si="18"/>
        <v>0</v>
      </c>
      <c r="T21" s="582">
        <f t="shared" si="18"/>
        <v>0</v>
      </c>
      <c r="U21" s="582">
        <f t="shared" si="18"/>
        <v>0</v>
      </c>
      <c r="V21" s="582">
        <f t="shared" si="18"/>
        <v>0</v>
      </c>
      <c r="W21" s="582">
        <f t="shared" si="18"/>
        <v>0</v>
      </c>
      <c r="X21" s="582">
        <f t="shared" si="18"/>
        <v>0</v>
      </c>
      <c r="Y21" s="582">
        <f t="shared" si="18"/>
        <v>0</v>
      </c>
      <c r="Z21" s="582">
        <f t="shared" si="18"/>
        <v>0</v>
      </c>
      <c r="AA21" s="582">
        <f t="shared" si="18"/>
        <v>0</v>
      </c>
      <c r="AB21" s="582">
        <f t="shared" si="18"/>
        <v>0</v>
      </c>
      <c r="AC21" s="582">
        <f t="shared" si="18"/>
        <v>0</v>
      </c>
      <c r="AD21" s="582">
        <f t="shared" si="18"/>
        <v>0</v>
      </c>
    </row>
    <row r="22" spans="1:30" x14ac:dyDescent="0.25">
      <c r="D22" s="535" t="s">
        <v>621</v>
      </c>
      <c r="E22" s="536">
        <f>M8+M9</f>
        <v>4411089</v>
      </c>
      <c r="F22" s="604">
        <f>E22/E35</f>
        <v>5.6280282656306843E-2</v>
      </c>
      <c r="G22" s="523" t="s">
        <v>653</v>
      </c>
      <c r="H22" s="613">
        <f>SUM(H23:H24)</f>
        <v>0</v>
      </c>
      <c r="I22" s="525">
        <f>H22/$H$35</f>
        <v>0</v>
      </c>
      <c r="K22" s="655"/>
      <c r="L22" s="585" t="s">
        <v>650</v>
      </c>
      <c r="M22" s="537">
        <f t="shared" si="6"/>
        <v>71000</v>
      </c>
      <c r="N22" s="582">
        <v>12000</v>
      </c>
      <c r="O22" s="582">
        <v>3000</v>
      </c>
      <c r="P22" s="582">
        <v>0</v>
      </c>
      <c r="Q22" s="582">
        <v>4000</v>
      </c>
      <c r="R22" s="582">
        <f t="shared" ref="R22:AD22" si="19">Q22</f>
        <v>4000</v>
      </c>
      <c r="S22" s="582">
        <f t="shared" si="19"/>
        <v>4000</v>
      </c>
      <c r="T22" s="582">
        <f t="shared" si="19"/>
        <v>4000</v>
      </c>
      <c r="U22" s="582">
        <f t="shared" si="19"/>
        <v>4000</v>
      </c>
      <c r="V22" s="582">
        <f t="shared" si="19"/>
        <v>4000</v>
      </c>
      <c r="W22" s="582">
        <f t="shared" si="19"/>
        <v>4000</v>
      </c>
      <c r="X22" s="582">
        <f t="shared" si="19"/>
        <v>4000</v>
      </c>
      <c r="Y22" s="582">
        <f t="shared" si="19"/>
        <v>4000</v>
      </c>
      <c r="Z22" s="582">
        <f t="shared" si="19"/>
        <v>4000</v>
      </c>
      <c r="AA22" s="582">
        <f t="shared" si="19"/>
        <v>4000</v>
      </c>
      <c r="AB22" s="582">
        <f t="shared" si="19"/>
        <v>4000</v>
      </c>
      <c r="AC22" s="582">
        <f t="shared" si="19"/>
        <v>4000</v>
      </c>
      <c r="AD22" s="582">
        <f t="shared" si="19"/>
        <v>4000</v>
      </c>
    </row>
    <row r="23" spans="1:30" ht="18.75" x14ac:dyDescent="0.3">
      <c r="C23" s="545"/>
      <c r="D23" s="532"/>
      <c r="E23" s="606"/>
      <c r="F23" s="609"/>
      <c r="G23" s="542" t="s">
        <v>618</v>
      </c>
      <c r="H23" s="619">
        <f>M17</f>
        <v>0</v>
      </c>
      <c r="I23" s="529">
        <f>H23/$H$35</f>
        <v>0</v>
      </c>
      <c r="K23" s="656"/>
      <c r="L23" s="585" t="s">
        <v>667</v>
      </c>
      <c r="M23" s="537">
        <f t="shared" si="6"/>
        <v>0</v>
      </c>
      <c r="N23" s="582">
        <v>0</v>
      </c>
      <c r="O23" s="582">
        <f>N23</f>
        <v>0</v>
      </c>
      <c r="P23" s="582">
        <f t="shared" ref="P23:AD24" si="20">O23</f>
        <v>0</v>
      </c>
      <c r="Q23" s="582">
        <f t="shared" si="20"/>
        <v>0</v>
      </c>
      <c r="R23" s="582">
        <f t="shared" si="20"/>
        <v>0</v>
      </c>
      <c r="S23" s="582">
        <f t="shared" si="20"/>
        <v>0</v>
      </c>
      <c r="T23" s="582">
        <f t="shared" si="20"/>
        <v>0</v>
      </c>
      <c r="U23" s="582">
        <f t="shared" si="20"/>
        <v>0</v>
      </c>
      <c r="V23" s="582">
        <f t="shared" si="20"/>
        <v>0</v>
      </c>
      <c r="W23" s="582">
        <f t="shared" si="20"/>
        <v>0</v>
      </c>
      <c r="X23" s="582">
        <f t="shared" si="20"/>
        <v>0</v>
      </c>
      <c r="Y23" s="582">
        <f t="shared" si="20"/>
        <v>0</v>
      </c>
      <c r="Z23" s="582">
        <f t="shared" si="20"/>
        <v>0</v>
      </c>
      <c r="AA23" s="582">
        <f t="shared" si="20"/>
        <v>0</v>
      </c>
      <c r="AB23" s="582">
        <f t="shared" si="20"/>
        <v>0</v>
      </c>
      <c r="AC23" s="582">
        <f t="shared" si="20"/>
        <v>0</v>
      </c>
      <c r="AD23" s="582">
        <f t="shared" si="20"/>
        <v>0</v>
      </c>
    </row>
    <row r="24" spans="1:30" ht="18.75" x14ac:dyDescent="0.3">
      <c r="A24" s="546" t="str">
        <f t="shared" ref="A24:A31" si="21">L15</f>
        <v>Sueldos</v>
      </c>
      <c r="B24" s="547">
        <f t="shared" ref="B24:B31" si="22">M15/$M$25</f>
        <v>0.12360803132330521</v>
      </c>
      <c r="C24" s="518"/>
      <c r="D24" s="523" t="s">
        <v>672</v>
      </c>
      <c r="E24" s="524">
        <f>E25+E26-E27</f>
        <v>20651249</v>
      </c>
      <c r="F24" s="603">
        <f>E24/E35</f>
        <v>0.263485531787224</v>
      </c>
      <c r="G24" s="542" t="s">
        <v>622</v>
      </c>
      <c r="H24" s="619">
        <f>M21</f>
        <v>0</v>
      </c>
      <c r="I24" s="529">
        <f>H24/$H$35</f>
        <v>0</v>
      </c>
      <c r="K24" s="584" t="s">
        <v>651</v>
      </c>
      <c r="L24" s="585" t="str">
        <f>K24</f>
        <v>Intereses</v>
      </c>
      <c r="M24" s="537">
        <f t="shared" si="6"/>
        <v>0</v>
      </c>
      <c r="N24" s="582">
        <v>0</v>
      </c>
      <c r="O24" s="582">
        <f t="shared" ref="O24" si="23">N24</f>
        <v>0</v>
      </c>
      <c r="P24" s="582">
        <f t="shared" si="20"/>
        <v>0</v>
      </c>
      <c r="Q24" s="582">
        <f t="shared" si="20"/>
        <v>0</v>
      </c>
      <c r="R24" s="582">
        <f t="shared" si="20"/>
        <v>0</v>
      </c>
      <c r="S24" s="582">
        <f t="shared" si="20"/>
        <v>0</v>
      </c>
      <c r="T24" s="582">
        <f t="shared" si="20"/>
        <v>0</v>
      </c>
      <c r="U24" s="582">
        <f t="shared" si="20"/>
        <v>0</v>
      </c>
      <c r="V24" s="582">
        <f t="shared" si="20"/>
        <v>0</v>
      </c>
      <c r="W24" s="582">
        <f t="shared" si="20"/>
        <v>0</v>
      </c>
      <c r="X24" s="582">
        <f t="shared" si="20"/>
        <v>0</v>
      </c>
      <c r="Y24" s="582">
        <f t="shared" si="20"/>
        <v>0</v>
      </c>
      <c r="Z24" s="582">
        <f t="shared" si="20"/>
        <v>0</v>
      </c>
      <c r="AA24" s="582">
        <f t="shared" si="20"/>
        <v>0</v>
      </c>
      <c r="AB24" s="582">
        <f t="shared" si="20"/>
        <v>0</v>
      </c>
      <c r="AC24" s="582">
        <f t="shared" si="20"/>
        <v>0</v>
      </c>
      <c r="AD24" s="582">
        <f t="shared" si="20"/>
        <v>0</v>
      </c>
    </row>
    <row r="25" spans="1:30" ht="18.75" x14ac:dyDescent="0.3">
      <c r="A25" s="546" t="str">
        <f t="shared" si="21"/>
        <v xml:space="preserve">Mantenimiento </v>
      </c>
      <c r="B25" s="547">
        <f t="shared" si="22"/>
        <v>7.7274022167435924E-2</v>
      </c>
      <c r="C25" s="505"/>
      <c r="D25" s="558" t="s">
        <v>674</v>
      </c>
      <c r="E25" s="559">
        <f>N5</f>
        <v>12151249</v>
      </c>
      <c r="F25" s="604">
        <f>E25/E35</f>
        <v>0.15503557700766543</v>
      </c>
      <c r="G25" s="552"/>
      <c r="H25" s="620"/>
      <c r="I25" s="553"/>
      <c r="K25" s="586" t="s">
        <v>652</v>
      </c>
      <c r="L25" s="587"/>
      <c r="M25" s="544">
        <f t="shared" si="6"/>
        <v>10801159</v>
      </c>
      <c r="N25" s="583">
        <f>SUM(N15:N24)</f>
        <v>1717665</v>
      </c>
      <c r="O25" s="583">
        <f t="shared" ref="O25:AD25" si="24">SUM(O15:O24)</f>
        <v>5839259</v>
      </c>
      <c r="P25" s="583">
        <f t="shared" si="24"/>
        <v>219549</v>
      </c>
      <c r="Q25" s="583">
        <f t="shared" si="24"/>
        <v>222549</v>
      </c>
      <c r="R25" s="583">
        <f t="shared" si="24"/>
        <v>221549</v>
      </c>
      <c r="S25" s="583">
        <f t="shared" si="24"/>
        <v>220549</v>
      </c>
      <c r="T25" s="583">
        <f t="shared" si="24"/>
        <v>219549</v>
      </c>
      <c r="U25" s="583">
        <f t="shared" si="24"/>
        <v>218549</v>
      </c>
      <c r="V25" s="583">
        <f t="shared" si="24"/>
        <v>217549</v>
      </c>
      <c r="W25" s="583">
        <f t="shared" si="24"/>
        <v>216549</v>
      </c>
      <c r="X25" s="583">
        <f t="shared" si="24"/>
        <v>215549</v>
      </c>
      <c r="Y25" s="583">
        <f t="shared" si="24"/>
        <v>214549</v>
      </c>
      <c r="Z25" s="583">
        <f t="shared" si="24"/>
        <v>213549</v>
      </c>
      <c r="AA25" s="583">
        <f t="shared" si="24"/>
        <v>212549</v>
      </c>
      <c r="AB25" s="583">
        <f t="shared" si="24"/>
        <v>211549</v>
      </c>
      <c r="AC25" s="583">
        <f t="shared" si="24"/>
        <v>210549</v>
      </c>
      <c r="AD25" s="583">
        <f t="shared" si="24"/>
        <v>209549</v>
      </c>
    </row>
    <row r="26" spans="1:30" ht="18.75" x14ac:dyDescent="0.3">
      <c r="A26" s="546" t="str">
        <f t="shared" si="21"/>
        <v>Estadio</v>
      </c>
      <c r="B26" s="547">
        <f t="shared" si="22"/>
        <v>0</v>
      </c>
      <c r="C26" s="513"/>
      <c r="D26" s="558" t="str">
        <f>D12</f>
        <v>Ing Reservas</v>
      </c>
      <c r="E26" s="559">
        <f>M13</f>
        <v>8500000</v>
      </c>
      <c r="F26" s="604">
        <f>E26/E35</f>
        <v>0.10844995477955856</v>
      </c>
      <c r="G26" s="523" t="s">
        <v>656</v>
      </c>
      <c r="H26" s="613">
        <f>SUM(H27:H32)</f>
        <v>3690519</v>
      </c>
      <c r="I26" s="525">
        <f t="shared" ref="I26:I32" si="25">H26/$H$35</f>
        <v>4.708666101918843E-2</v>
      </c>
      <c r="K26" s="548" t="s">
        <v>654</v>
      </c>
      <c r="L26" s="548"/>
      <c r="M26" s="517">
        <f t="shared" ref="M26:AD26" si="26">M5+M14-M25</f>
        <v>21618086</v>
      </c>
      <c r="N26" s="517">
        <f t="shared" si="26"/>
        <v>16853431</v>
      </c>
      <c r="O26" s="517">
        <f t="shared" si="26"/>
        <v>11755916</v>
      </c>
      <c r="P26" s="517">
        <f t="shared" si="26"/>
        <v>12310622</v>
      </c>
      <c r="Q26" s="517">
        <f t="shared" si="26"/>
        <v>13163298</v>
      </c>
      <c r="R26" s="517">
        <f t="shared" si="26"/>
        <v>13725974</v>
      </c>
      <c r="S26" s="517">
        <f t="shared" si="26"/>
        <v>14558650</v>
      </c>
      <c r="T26" s="517">
        <f t="shared" si="26"/>
        <v>15091326</v>
      </c>
      <c r="U26" s="517">
        <f t="shared" si="26"/>
        <v>15924002</v>
      </c>
      <c r="V26" s="517">
        <f t="shared" si="26"/>
        <v>16456678</v>
      </c>
      <c r="W26" s="517">
        <f t="shared" si="26"/>
        <v>17289354</v>
      </c>
      <c r="X26" s="517">
        <f t="shared" si="26"/>
        <v>17822030</v>
      </c>
      <c r="Y26" s="517">
        <f t="shared" si="26"/>
        <v>18654706</v>
      </c>
      <c r="Z26" s="517">
        <f t="shared" si="26"/>
        <v>19187382</v>
      </c>
      <c r="AA26" s="517">
        <f t="shared" si="26"/>
        <v>20020058</v>
      </c>
      <c r="AB26" s="517">
        <f t="shared" si="26"/>
        <v>20552734</v>
      </c>
      <c r="AC26" s="517">
        <f t="shared" si="26"/>
        <v>21085410</v>
      </c>
      <c r="AD26" s="517">
        <f t="shared" si="26"/>
        <v>21618086</v>
      </c>
    </row>
    <row r="27" spans="1:30" x14ac:dyDescent="0.25">
      <c r="A27" s="546" t="str">
        <f t="shared" si="21"/>
        <v>Empleados</v>
      </c>
      <c r="B27" s="547">
        <f t="shared" si="22"/>
        <v>0.10274452954539416</v>
      </c>
      <c r="C27" s="510"/>
      <c r="D27" s="558" t="str">
        <f>D13</f>
        <v>Pago Reservas</v>
      </c>
      <c r="E27" s="559">
        <f>M23*-1</f>
        <v>0</v>
      </c>
      <c r="F27" s="604">
        <f>E27/E35</f>
        <v>0</v>
      </c>
      <c r="G27" s="542" t="s">
        <v>658</v>
      </c>
      <c r="H27" s="619">
        <f>M15</f>
        <v>1335110</v>
      </c>
      <c r="I27" s="529">
        <f t="shared" si="25"/>
        <v>1.7034425779498402E-2</v>
      </c>
      <c r="K27" s="549"/>
      <c r="L27" s="549"/>
      <c r="M27" s="549"/>
      <c r="N27" s="550">
        <f>N1+7</f>
        <v>43644</v>
      </c>
      <c r="O27" s="550">
        <f t="shared" ref="O27:AD27" si="27">N27+7</f>
        <v>43651</v>
      </c>
      <c r="P27" s="550">
        <f t="shared" si="27"/>
        <v>43658</v>
      </c>
      <c r="Q27" s="550">
        <f t="shared" si="27"/>
        <v>43665</v>
      </c>
      <c r="R27" s="550">
        <f t="shared" si="27"/>
        <v>43672</v>
      </c>
      <c r="S27" s="550">
        <f t="shared" si="27"/>
        <v>43679</v>
      </c>
      <c r="T27" s="550">
        <f t="shared" si="27"/>
        <v>43686</v>
      </c>
      <c r="U27" s="550">
        <f t="shared" si="27"/>
        <v>43693</v>
      </c>
      <c r="V27" s="550">
        <f t="shared" si="27"/>
        <v>43700</v>
      </c>
      <c r="W27" s="550">
        <f t="shared" si="27"/>
        <v>43707</v>
      </c>
      <c r="X27" s="550">
        <f t="shared" si="27"/>
        <v>43714</v>
      </c>
      <c r="Y27" s="550">
        <f t="shared" si="27"/>
        <v>43721</v>
      </c>
      <c r="Z27" s="550">
        <f t="shared" si="27"/>
        <v>43728</v>
      </c>
      <c r="AA27" s="550">
        <f t="shared" si="27"/>
        <v>43735</v>
      </c>
      <c r="AB27" s="550">
        <f t="shared" si="27"/>
        <v>43742</v>
      </c>
      <c r="AC27" s="550">
        <f t="shared" si="27"/>
        <v>43749</v>
      </c>
      <c r="AD27" s="550">
        <f t="shared" si="27"/>
        <v>43756</v>
      </c>
    </row>
    <row r="28" spans="1:30" x14ac:dyDescent="0.25">
      <c r="A28" s="546" t="str">
        <f t="shared" si="21"/>
        <v>Juveniles</v>
      </c>
      <c r="B28" s="547">
        <f t="shared" si="22"/>
        <v>3.147810341464282E-2</v>
      </c>
      <c r="C28" s="513"/>
      <c r="D28" s="538"/>
      <c r="E28" s="539"/>
      <c r="F28" s="604"/>
      <c r="G28" s="542" t="s">
        <v>639</v>
      </c>
      <c r="H28" s="619">
        <f>M16</f>
        <v>834649</v>
      </c>
      <c r="I28" s="529">
        <f t="shared" si="25"/>
        <v>1.0649134859623974E-2</v>
      </c>
      <c r="K28" s="551"/>
      <c r="L28" s="551"/>
      <c r="M28" s="551"/>
      <c r="N28" s="551"/>
      <c r="O28" s="551"/>
      <c r="P28" s="551"/>
      <c r="Q28" s="551"/>
      <c r="R28" s="551"/>
      <c r="S28" s="551"/>
      <c r="T28" s="551"/>
      <c r="U28" s="551"/>
      <c r="V28" s="551"/>
      <c r="W28" s="551"/>
      <c r="X28" s="551"/>
      <c r="Y28" s="551"/>
      <c r="Z28" s="551"/>
      <c r="AA28" s="551"/>
      <c r="AB28" s="551"/>
      <c r="AC28" s="551"/>
      <c r="AD28" s="551"/>
    </row>
    <row r="29" spans="1:30" x14ac:dyDescent="0.25">
      <c r="A29" s="546" t="str">
        <f t="shared" si="21"/>
        <v>Compra</v>
      </c>
      <c r="B29" s="547">
        <f t="shared" si="22"/>
        <v>0.65832194489498763</v>
      </c>
      <c r="D29" s="523" t="s">
        <v>655</v>
      </c>
      <c r="E29" s="524">
        <f>SUM(E30:E34)</f>
        <v>7356907</v>
      </c>
      <c r="F29" s="603">
        <f>E29/E35</f>
        <v>9.3865438996166811E-2</v>
      </c>
      <c r="G29" s="542" t="s">
        <v>644</v>
      </c>
      <c r="H29" s="619">
        <f>M18</f>
        <v>1109760</v>
      </c>
      <c r="I29" s="529">
        <f t="shared" si="25"/>
        <v>1.4159226096019165E-2</v>
      </c>
      <c r="K29" s="554"/>
      <c r="L29" s="554"/>
      <c r="M29" s="555" t="s">
        <v>629</v>
      </c>
      <c r="N29" s="556"/>
      <c r="O29" s="556">
        <v>22</v>
      </c>
      <c r="P29" s="556">
        <v>25</v>
      </c>
      <c r="Q29" s="556"/>
      <c r="R29" s="556"/>
      <c r="S29" s="556"/>
      <c r="T29" s="556"/>
      <c r="U29" s="556"/>
      <c r="V29" s="556"/>
      <c r="W29" s="556"/>
      <c r="X29" s="556"/>
      <c r="Y29" s="556"/>
      <c r="Z29" s="556"/>
      <c r="AA29" s="556"/>
      <c r="AB29" s="556"/>
      <c r="AC29" s="556"/>
      <c r="AD29" s="556"/>
    </row>
    <row r="30" spans="1:30" x14ac:dyDescent="0.25">
      <c r="A30" s="546" t="str">
        <f t="shared" si="21"/>
        <v>Entrenador</v>
      </c>
      <c r="B30" s="547">
        <f t="shared" si="22"/>
        <v>0</v>
      </c>
      <c r="D30" s="558" t="s">
        <v>610</v>
      </c>
      <c r="E30" s="559">
        <f>M11</f>
        <v>100560</v>
      </c>
      <c r="F30" s="604">
        <f>E30/E35</f>
        <v>1.2830267591332246E-3</v>
      </c>
      <c r="G30" s="542" t="s">
        <v>646</v>
      </c>
      <c r="H30" s="619">
        <f>M19</f>
        <v>340000</v>
      </c>
      <c r="I30" s="529">
        <f t="shared" si="25"/>
        <v>4.3379981911823426E-3</v>
      </c>
      <c r="K30" s="502"/>
      <c r="L30" s="657" t="s">
        <v>657</v>
      </c>
      <c r="M30" s="557" t="s">
        <v>73</v>
      </c>
      <c r="N30" s="556"/>
      <c r="O30" s="556">
        <v>345970</v>
      </c>
      <c r="P30" s="556">
        <v>414040</v>
      </c>
      <c r="Q30" s="556"/>
      <c r="R30" s="556"/>
      <c r="S30" s="556"/>
      <c r="T30" s="556"/>
      <c r="U30" s="556"/>
      <c r="V30" s="556"/>
      <c r="W30" s="556"/>
      <c r="X30" s="556"/>
      <c r="Y30" s="556"/>
      <c r="Z30" s="556"/>
      <c r="AA30" s="556"/>
      <c r="AB30" s="556"/>
      <c r="AC30" s="556"/>
      <c r="AD30" s="556"/>
    </row>
    <row r="31" spans="1:30" x14ac:dyDescent="0.25">
      <c r="A31" s="546" t="str">
        <f t="shared" si="21"/>
        <v>Viajes+Venta</v>
      </c>
      <c r="B31" s="547">
        <f t="shared" si="22"/>
        <v>6.5733686542342358E-3</v>
      </c>
      <c r="D31" s="558" t="s">
        <v>631</v>
      </c>
      <c r="E31" s="559">
        <f>M12</f>
        <v>1050000</v>
      </c>
      <c r="F31" s="604">
        <f>E31/E35</f>
        <v>1.3396759119827822E-2</v>
      </c>
      <c r="G31" s="542" t="s">
        <v>650</v>
      </c>
      <c r="H31" s="619">
        <f>M22</f>
        <v>71000</v>
      </c>
      <c r="I31" s="529">
        <f t="shared" si="25"/>
        <v>9.0587609286454799E-4</v>
      </c>
      <c r="K31" s="502"/>
      <c r="L31" s="657"/>
      <c r="M31" s="557" t="s">
        <v>65</v>
      </c>
      <c r="N31" s="556"/>
      <c r="O31" s="556">
        <v>79566</v>
      </c>
      <c r="P31" s="556">
        <v>84872</v>
      </c>
      <c r="Q31" s="556"/>
      <c r="R31" s="556"/>
      <c r="S31" s="556"/>
      <c r="T31" s="556"/>
      <c r="U31" s="556"/>
      <c r="V31" s="556"/>
      <c r="W31" s="556"/>
      <c r="X31" s="556"/>
      <c r="Y31" s="556"/>
      <c r="Z31" s="556"/>
      <c r="AA31" s="556"/>
      <c r="AB31" s="556"/>
      <c r="AC31" s="556"/>
      <c r="AD31" s="556"/>
    </row>
    <row r="32" spans="1:30" x14ac:dyDescent="0.25">
      <c r="A32" s="546" t="str">
        <f>L24</f>
        <v>Intereses</v>
      </c>
      <c r="B32" s="547">
        <f>M24/$M$25</f>
        <v>0</v>
      </c>
      <c r="D32" s="558" t="s">
        <v>614</v>
      </c>
      <c r="E32" s="559">
        <f>M6</f>
        <v>2384853</v>
      </c>
      <c r="F32" s="604">
        <f>E32/E35</f>
        <v>3.0427905883046419E-2</v>
      </c>
      <c r="G32" s="542" t="s">
        <v>651</v>
      </c>
      <c r="H32" s="619">
        <f>M24</f>
        <v>0</v>
      </c>
      <c r="I32" s="529">
        <f t="shared" si="25"/>
        <v>0</v>
      </c>
      <c r="K32" s="502"/>
      <c r="L32" s="657"/>
      <c r="M32" s="557" t="s">
        <v>659</v>
      </c>
      <c r="N32" s="556"/>
      <c r="O32" s="556">
        <v>280250</v>
      </c>
      <c r="P32" s="556">
        <v>325260</v>
      </c>
      <c r="Q32" s="556"/>
      <c r="R32" s="556"/>
      <c r="S32" s="556"/>
      <c r="T32" s="556"/>
      <c r="U32" s="556"/>
      <c r="V32" s="556"/>
      <c r="W32" s="556"/>
      <c r="X32" s="556"/>
      <c r="Y32" s="556"/>
      <c r="Z32" s="556"/>
      <c r="AA32" s="556"/>
      <c r="AB32" s="556"/>
      <c r="AC32" s="556"/>
      <c r="AD32" s="556"/>
    </row>
    <row r="33" spans="1:30" ht="18.75" x14ac:dyDescent="0.3">
      <c r="A33" s="513"/>
      <c r="B33" s="561">
        <f>SUM(B24:B32)</f>
        <v>0.99999999999999989</v>
      </c>
      <c r="D33" s="558" t="s">
        <v>617</v>
      </c>
      <c r="E33" s="559">
        <f>M7</f>
        <v>3716259</v>
      </c>
      <c r="F33" s="604">
        <f>E33/E35</f>
        <v>4.7415072999897355E-2</v>
      </c>
      <c r="G33" s="538"/>
      <c r="H33" s="618"/>
      <c r="I33" s="543"/>
      <c r="K33" s="502"/>
      <c r="L33" s="657"/>
      <c r="M33" s="557" t="s">
        <v>660</v>
      </c>
      <c r="N33" s="556"/>
      <c r="O33" s="556">
        <v>65410</v>
      </c>
      <c r="P33" s="556">
        <v>60046</v>
      </c>
      <c r="Q33" s="556"/>
      <c r="R33" s="556"/>
      <c r="S33" s="556"/>
      <c r="T33" s="556"/>
      <c r="U33" s="556"/>
      <c r="V33" s="556"/>
      <c r="W33" s="556"/>
      <c r="X33" s="556"/>
      <c r="Y33" s="556"/>
      <c r="Z33" s="556"/>
      <c r="AA33" s="556"/>
      <c r="AB33" s="556"/>
      <c r="AC33" s="556"/>
      <c r="AD33" s="556"/>
    </row>
    <row r="34" spans="1:30" ht="18.75" x14ac:dyDescent="0.3">
      <c r="A34" s="510"/>
      <c r="B34" s="563"/>
      <c r="D34" s="607" t="s">
        <v>626</v>
      </c>
      <c r="E34" s="608">
        <f>M10</f>
        <v>105235</v>
      </c>
      <c r="F34" s="604">
        <f>E34/E35</f>
        <v>1.3426742342619819E-3</v>
      </c>
      <c r="G34" s="624"/>
      <c r="H34" s="625"/>
      <c r="I34" s="623"/>
      <c r="K34" s="502"/>
      <c r="L34" s="657"/>
      <c r="M34" s="557" t="s">
        <v>661</v>
      </c>
      <c r="N34" s="560"/>
      <c r="O34" s="560" t="s">
        <v>670</v>
      </c>
      <c r="P34" s="560" t="s">
        <v>677</v>
      </c>
      <c r="Q34" s="560"/>
      <c r="R34" s="560"/>
      <c r="S34" s="560"/>
      <c r="T34" s="560"/>
      <c r="U34" s="560"/>
      <c r="V34" s="560"/>
      <c r="W34" s="560"/>
      <c r="X34" s="560"/>
      <c r="Y34" s="560"/>
      <c r="Z34" s="560"/>
      <c r="AA34" s="560"/>
      <c r="AB34" s="560"/>
      <c r="AC34" s="560"/>
      <c r="AD34" s="560"/>
    </row>
    <row r="35" spans="1:30" ht="18.75" x14ac:dyDescent="0.3">
      <c r="A35" s="658">
        <f>M25</f>
        <v>10801159</v>
      </c>
      <c r="B35" s="658"/>
      <c r="D35" s="610" t="s">
        <v>27</v>
      </c>
      <c r="E35" s="611">
        <f>E29+E21+E15+E5+E10+E24</f>
        <v>78377165</v>
      </c>
      <c r="F35" s="564">
        <f>F29+F21+F15+F5+F10+F24</f>
        <v>1</v>
      </c>
      <c r="G35" s="610" t="s">
        <v>27</v>
      </c>
      <c r="H35" s="611">
        <f>H26+H18+H10+H5+H22</f>
        <v>78377165</v>
      </c>
      <c r="I35" s="622">
        <f>H35/$H$35</f>
        <v>1</v>
      </c>
      <c r="K35" s="502"/>
      <c r="L35" s="657"/>
      <c r="M35" s="557" t="s">
        <v>662</v>
      </c>
      <c r="N35" s="562"/>
      <c r="O35" s="562">
        <v>5.5</v>
      </c>
      <c r="P35" s="562">
        <v>5.75</v>
      </c>
      <c r="Q35" s="562"/>
      <c r="R35" s="562"/>
      <c r="S35" s="562"/>
      <c r="T35" s="562"/>
      <c r="U35" s="562"/>
      <c r="V35" s="562"/>
      <c r="W35" s="562"/>
      <c r="X35" s="562"/>
      <c r="Y35" s="562"/>
      <c r="Z35" s="562"/>
      <c r="AA35" s="562"/>
      <c r="AB35" s="562"/>
      <c r="AC35" s="562"/>
      <c r="AD35" s="562"/>
    </row>
    <row r="36" spans="1:30" x14ac:dyDescent="0.25">
      <c r="E36" s="504"/>
      <c r="F36" s="565"/>
      <c r="G36" s="566"/>
      <c r="H36" s="567">
        <f>E35-H35</f>
        <v>0</v>
      </c>
      <c r="I36" s="504"/>
      <c r="K36" s="513"/>
      <c r="L36" s="657"/>
      <c r="M36" s="557" t="s">
        <v>663</v>
      </c>
      <c r="N36" s="562"/>
      <c r="O36" s="562">
        <v>5.5</v>
      </c>
      <c r="P36" s="562">
        <v>6</v>
      </c>
      <c r="Q36" s="562"/>
      <c r="R36" s="562"/>
      <c r="S36" s="562"/>
      <c r="T36" s="562"/>
      <c r="U36" s="562"/>
      <c r="V36" s="562"/>
      <c r="W36" s="562"/>
      <c r="X36" s="562"/>
      <c r="Y36" s="562"/>
      <c r="Z36" s="562"/>
      <c r="AA36" s="562"/>
      <c r="AB36" s="562"/>
      <c r="AC36" s="562"/>
      <c r="AD36" s="562"/>
    </row>
    <row r="37" spans="1:30" x14ac:dyDescent="0.25">
      <c r="E37" s="504"/>
      <c r="F37" s="504"/>
      <c r="H37" s="504"/>
      <c r="I37" s="504"/>
      <c r="K37" s="513"/>
      <c r="L37" s="657"/>
      <c r="M37" s="557" t="s">
        <v>664</v>
      </c>
      <c r="N37" s="562"/>
      <c r="O37" s="562">
        <v>11.75</v>
      </c>
      <c r="P37" s="562">
        <v>10.75</v>
      </c>
      <c r="Q37" s="562"/>
      <c r="R37" s="562"/>
      <c r="S37" s="562"/>
      <c r="T37" s="562"/>
      <c r="U37" s="562"/>
      <c r="V37" s="562"/>
      <c r="W37" s="562"/>
      <c r="X37" s="562"/>
      <c r="Y37" s="562"/>
      <c r="Z37" s="562"/>
      <c r="AA37" s="562"/>
      <c r="AB37" s="562"/>
      <c r="AC37" s="562"/>
      <c r="AD37" s="562"/>
    </row>
    <row r="38" spans="1:30" ht="15.75" x14ac:dyDescent="0.25">
      <c r="D38" s="570"/>
      <c r="E38" s="571"/>
      <c r="F38" s="504"/>
      <c r="G38" s="2"/>
      <c r="H38" s="572"/>
      <c r="I38" s="572"/>
      <c r="K38" s="513"/>
      <c r="L38" s="513"/>
      <c r="M38" s="568" t="s">
        <v>665</v>
      </c>
      <c r="N38" s="569"/>
      <c r="O38" s="569">
        <f t="shared" ref="O38:AD38" si="28">O30/O31</f>
        <v>4.3482140612824569</v>
      </c>
      <c r="P38" s="569">
        <f t="shared" si="28"/>
        <v>4.8784051277217459</v>
      </c>
      <c r="Q38" s="569" t="e">
        <f t="shared" si="28"/>
        <v>#DIV/0!</v>
      </c>
      <c r="R38" s="569" t="e">
        <f t="shared" si="28"/>
        <v>#DIV/0!</v>
      </c>
      <c r="S38" s="569" t="e">
        <f t="shared" si="28"/>
        <v>#DIV/0!</v>
      </c>
      <c r="T38" s="569" t="e">
        <f t="shared" si="28"/>
        <v>#DIV/0!</v>
      </c>
      <c r="U38" s="569" t="e">
        <f t="shared" si="28"/>
        <v>#DIV/0!</v>
      </c>
      <c r="V38" s="569" t="e">
        <f t="shared" si="28"/>
        <v>#DIV/0!</v>
      </c>
      <c r="W38" s="569" t="e">
        <f t="shared" si="28"/>
        <v>#DIV/0!</v>
      </c>
      <c r="X38" s="569" t="e">
        <f t="shared" si="28"/>
        <v>#DIV/0!</v>
      </c>
      <c r="Y38" s="569" t="e">
        <f t="shared" si="28"/>
        <v>#DIV/0!</v>
      </c>
      <c r="Z38" s="569" t="e">
        <f t="shared" si="28"/>
        <v>#DIV/0!</v>
      </c>
      <c r="AA38" s="569" t="e">
        <f t="shared" si="28"/>
        <v>#DIV/0!</v>
      </c>
      <c r="AB38" s="569" t="e">
        <f t="shared" si="28"/>
        <v>#DIV/0!</v>
      </c>
      <c r="AC38" s="569" t="e">
        <f t="shared" si="28"/>
        <v>#DIV/0!</v>
      </c>
      <c r="AD38" s="569" t="e">
        <f t="shared" si="28"/>
        <v>#DIV/0!</v>
      </c>
    </row>
    <row r="39" spans="1:30" x14ac:dyDescent="0.25">
      <c r="E39" s="572"/>
      <c r="F39" s="504"/>
      <c r="H39" s="504"/>
      <c r="I39" s="504"/>
      <c r="K39" s="513"/>
      <c r="L39" s="513"/>
      <c r="M39" s="513"/>
      <c r="N39" s="346"/>
      <c r="O39" s="503"/>
      <c r="P39" s="659"/>
      <c r="Q39" s="659"/>
      <c r="R39" s="659"/>
      <c r="S39" s="659"/>
    </row>
    <row r="40" spans="1:30" x14ac:dyDescent="0.25">
      <c r="E40" s="504"/>
      <c r="F40" s="504"/>
      <c r="H40" s="504"/>
      <c r="I40" s="504"/>
      <c r="K40" s="513"/>
      <c r="L40" s="513"/>
      <c r="M40" s="513"/>
      <c r="N40" s="573"/>
      <c r="O40" s="573"/>
      <c r="P40" s="573"/>
      <c r="Q40" s="573"/>
      <c r="R40" s="573"/>
      <c r="S40" s="573"/>
      <c r="T40" s="573"/>
      <c r="U40" s="573"/>
      <c r="V40" s="573"/>
      <c r="W40" s="573"/>
      <c r="X40" s="573"/>
      <c r="Y40" s="573"/>
    </row>
    <row r="41" spans="1:30" x14ac:dyDescent="0.25">
      <c r="K41" s="513"/>
      <c r="L41" s="513"/>
      <c r="M41" s="513"/>
      <c r="O41" s="503"/>
      <c r="P41" s="503"/>
      <c r="Q41" s="503"/>
      <c r="R41" s="503"/>
      <c r="S41" s="503"/>
      <c r="T41" s="503"/>
      <c r="U41" s="503"/>
      <c r="V41" s="503"/>
      <c r="W41" s="503"/>
      <c r="X41" s="503"/>
      <c r="Y41" s="503"/>
      <c r="Z41" s="503"/>
      <c r="AA41" s="503"/>
      <c r="AB41" s="503"/>
      <c r="AC41" s="503"/>
      <c r="AD41" s="503"/>
    </row>
    <row r="42" spans="1:30" x14ac:dyDescent="0.25">
      <c r="K42" s="513"/>
      <c r="L42" s="513"/>
      <c r="M42" s="513"/>
      <c r="O42" s="503"/>
      <c r="P42" s="650"/>
      <c r="Q42" s="650"/>
      <c r="R42" s="650"/>
      <c r="S42" s="650"/>
      <c r="V42" s="574"/>
    </row>
    <row r="43" spans="1:30" x14ac:dyDescent="0.25">
      <c r="K43" s="513"/>
      <c r="L43" s="513"/>
      <c r="M43" s="513"/>
      <c r="N43" s="574"/>
      <c r="O43" s="503"/>
      <c r="P43" s="575"/>
      <c r="Q43" s="575"/>
      <c r="R43" s="575"/>
      <c r="S43" s="575"/>
    </row>
    <row r="44" spans="1:30" x14ac:dyDescent="0.25">
      <c r="K44" s="513"/>
      <c r="L44" s="513"/>
      <c r="M44" s="513"/>
      <c r="O44" s="503"/>
      <c r="P44" s="650"/>
      <c r="Q44" s="650"/>
      <c r="R44" s="650"/>
      <c r="S44" s="650"/>
      <c r="Y44" s="574"/>
    </row>
    <row r="45" spans="1:30" x14ac:dyDescent="0.25">
      <c r="K45" s="513"/>
      <c r="L45" s="513"/>
      <c r="M45" s="513"/>
      <c r="O45" s="503"/>
      <c r="P45" s="650"/>
      <c r="Q45" s="650"/>
      <c r="R45" s="650"/>
      <c r="S45" s="576"/>
    </row>
    <row r="46" spans="1:30" x14ac:dyDescent="0.25">
      <c r="K46" s="513"/>
      <c r="L46" s="513"/>
      <c r="M46" s="513"/>
      <c r="O46" s="503"/>
    </row>
    <row r="47" spans="1:30" x14ac:dyDescent="0.25">
      <c r="K47" s="513"/>
      <c r="L47" s="513"/>
      <c r="M47" s="513"/>
      <c r="O47" s="503"/>
    </row>
    <row r="48" spans="1:30" x14ac:dyDescent="0.25">
      <c r="K48" s="513"/>
      <c r="L48" s="513"/>
      <c r="M48" s="513"/>
      <c r="O48" s="503"/>
    </row>
    <row r="49" spans="11:15" x14ac:dyDescent="0.25">
      <c r="K49" s="513"/>
      <c r="L49" s="513"/>
      <c r="M49" s="513"/>
      <c r="O49" s="503"/>
    </row>
    <row r="50" spans="11:15" x14ac:dyDescent="0.25">
      <c r="K50" s="513"/>
      <c r="L50" s="513"/>
      <c r="M50" s="513"/>
      <c r="O50" s="503"/>
    </row>
    <row r="51" spans="11:15" x14ac:dyDescent="0.25">
      <c r="K51" s="513"/>
      <c r="L51" s="513"/>
      <c r="M51" s="513"/>
      <c r="O51" s="503"/>
    </row>
    <row r="52" spans="11:15" x14ac:dyDescent="0.25">
      <c r="K52" s="513"/>
      <c r="L52" s="513"/>
      <c r="M52" s="513"/>
      <c r="O52" s="503"/>
    </row>
    <row r="53" spans="11:15" x14ac:dyDescent="0.25">
      <c r="K53" s="513"/>
      <c r="L53" s="513"/>
      <c r="M53" s="513"/>
      <c r="O53" s="503"/>
    </row>
    <row r="54" spans="11:15" x14ac:dyDescent="0.25">
      <c r="K54" s="513"/>
      <c r="L54" s="513"/>
      <c r="M54" s="513"/>
      <c r="O54" s="503"/>
    </row>
    <row r="55" spans="11:15" x14ac:dyDescent="0.25">
      <c r="K55" s="513"/>
      <c r="L55" s="513"/>
      <c r="M55" s="513"/>
      <c r="O55" s="503"/>
    </row>
    <row r="56" spans="11:15" x14ac:dyDescent="0.25">
      <c r="K56" s="513"/>
      <c r="L56" s="513"/>
      <c r="M56" s="513"/>
      <c r="O56" s="503"/>
    </row>
    <row r="57" spans="11:15" x14ac:dyDescent="0.25">
      <c r="K57" s="513"/>
      <c r="L57" s="513"/>
      <c r="M57" s="513"/>
      <c r="O57" s="503"/>
    </row>
    <row r="58" spans="11:15" x14ac:dyDescent="0.25">
      <c r="K58" s="513"/>
      <c r="L58" s="513"/>
      <c r="M58" s="513"/>
      <c r="O58" s="503"/>
    </row>
    <row r="59" spans="11:15" x14ac:dyDescent="0.25">
      <c r="K59" s="513"/>
      <c r="L59" s="513"/>
      <c r="M59" s="513"/>
      <c r="O59" s="503"/>
    </row>
    <row r="60" spans="11:15" x14ac:dyDescent="0.25">
      <c r="K60" s="513"/>
      <c r="L60" s="513"/>
      <c r="M60" s="513"/>
      <c r="O60" s="503"/>
    </row>
    <row r="61" spans="11:15" x14ac:dyDescent="0.25">
      <c r="K61" s="513"/>
      <c r="L61" s="513"/>
      <c r="M61" s="513"/>
      <c r="O61" s="503"/>
    </row>
    <row r="62" spans="11:15" x14ac:dyDescent="0.25">
      <c r="K62" s="513"/>
      <c r="L62" s="513"/>
      <c r="M62" s="513"/>
      <c r="O62" s="503"/>
    </row>
    <row r="63" spans="11:15" x14ac:dyDescent="0.25">
      <c r="K63" s="513"/>
      <c r="L63" s="513"/>
      <c r="M63" s="513"/>
      <c r="O63" s="503"/>
    </row>
    <row r="64" spans="11:15" x14ac:dyDescent="0.25">
      <c r="K64" s="513"/>
      <c r="L64" s="513"/>
      <c r="M64" s="513"/>
      <c r="O64" s="503"/>
    </row>
    <row r="65" spans="11:15" x14ac:dyDescent="0.25">
      <c r="K65" s="513"/>
      <c r="L65" s="513"/>
      <c r="M65" s="513"/>
      <c r="O65" s="503"/>
    </row>
    <row r="66" spans="11:15" x14ac:dyDescent="0.25">
      <c r="K66" s="513"/>
      <c r="L66" s="513"/>
      <c r="M66" s="513"/>
      <c r="O66" s="503"/>
    </row>
    <row r="67" spans="11:15" x14ac:dyDescent="0.25">
      <c r="K67" s="513"/>
      <c r="L67" s="513"/>
      <c r="M67" s="513"/>
      <c r="O67" s="503"/>
    </row>
    <row r="68" spans="11:15" x14ac:dyDescent="0.25">
      <c r="K68" s="513"/>
      <c r="L68" s="513"/>
      <c r="M68" s="513"/>
      <c r="O68" s="503"/>
    </row>
    <row r="69" spans="11:15" x14ac:dyDescent="0.25">
      <c r="K69" s="513"/>
      <c r="L69" s="513"/>
      <c r="M69" s="513"/>
      <c r="O69" s="503"/>
    </row>
    <row r="70" spans="11:15" x14ac:dyDescent="0.25">
      <c r="K70" s="513"/>
      <c r="L70" s="513"/>
      <c r="M70" s="513"/>
      <c r="O70" s="503"/>
    </row>
    <row r="71" spans="11:15" x14ac:dyDescent="0.25">
      <c r="K71" s="513"/>
      <c r="L71" s="513"/>
      <c r="M71" s="513"/>
      <c r="O71" s="503"/>
    </row>
    <row r="72" spans="11:15" x14ac:dyDescent="0.25">
      <c r="K72" s="513"/>
      <c r="L72" s="513"/>
      <c r="M72" s="513"/>
      <c r="O72" s="503"/>
    </row>
    <row r="73" spans="11:15" x14ac:dyDescent="0.25">
      <c r="K73" s="513"/>
      <c r="L73" s="513"/>
      <c r="M73" s="513"/>
      <c r="O73" s="503"/>
    </row>
    <row r="74" spans="11:15" x14ac:dyDescent="0.25">
      <c r="K74" s="513"/>
      <c r="L74" s="513"/>
      <c r="M74" s="513"/>
      <c r="O74" s="503"/>
    </row>
    <row r="75" spans="11:15" x14ac:dyDescent="0.25">
      <c r="K75" s="513"/>
      <c r="L75" s="513"/>
      <c r="M75" s="513"/>
      <c r="O75" s="503"/>
    </row>
    <row r="76" spans="11:15" x14ac:dyDescent="0.25">
      <c r="K76" s="513"/>
      <c r="L76" s="513"/>
      <c r="M76" s="513"/>
      <c r="O76" s="503"/>
    </row>
    <row r="77" spans="11:15" x14ac:dyDescent="0.25">
      <c r="K77" s="513"/>
      <c r="L77" s="513"/>
      <c r="M77" s="513"/>
      <c r="O77" s="503"/>
    </row>
    <row r="78" spans="11:15" x14ac:dyDescent="0.25">
      <c r="K78" s="513"/>
      <c r="L78" s="513"/>
      <c r="M78" s="513"/>
      <c r="O78" s="503"/>
    </row>
    <row r="79" spans="11:15" x14ac:dyDescent="0.25">
      <c r="K79" s="513"/>
      <c r="L79" s="513"/>
      <c r="M79" s="513"/>
      <c r="O79" s="503"/>
    </row>
    <row r="80" spans="11:15" x14ac:dyDescent="0.25">
      <c r="K80" s="513"/>
      <c r="L80" s="513"/>
      <c r="M80" s="513"/>
      <c r="O80" s="503"/>
    </row>
    <row r="81" spans="11:15" x14ac:dyDescent="0.25">
      <c r="K81" s="513"/>
      <c r="L81" s="513"/>
      <c r="M81" s="513"/>
      <c r="O81" s="503"/>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9" priority="4" operator="lessThan">
      <formula>0</formula>
    </cfRule>
    <cfRule type="cellIs" dxfId="38" priority="5" operator="greaterThan">
      <formula>0</formula>
    </cfRule>
  </conditionalFormatting>
  <conditionalFormatting sqref="H38">
    <cfRule type="cellIs" dxfId="37" priority="3" operator="lessThan">
      <formula>0</formula>
    </cfRule>
  </conditionalFormatting>
  <conditionalFormatting sqref="E39">
    <cfRule type="cellIs" dxfId="36" priority="1" operator="greaterThan">
      <formula>0</formula>
    </cfRule>
    <cfRule type="cellIs" dxfId="35"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7"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72" t="s">
        <v>445</v>
      </c>
      <c r="B1" s="672"/>
      <c r="C1" s="672"/>
      <c r="D1" s="672"/>
      <c r="E1" s="672"/>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8" t="s">
        <v>71</v>
      </c>
      <c r="B2" s="188" t="s">
        <v>313</v>
      </c>
      <c r="C2" s="188" t="s">
        <v>61</v>
      </c>
      <c r="D2" s="189" t="s">
        <v>314</v>
      </c>
      <c r="E2" s="188" t="s">
        <v>315</v>
      </c>
      <c r="F2" s="190" t="s">
        <v>316</v>
      </c>
      <c r="G2" s="190" t="s">
        <v>317</v>
      </c>
      <c r="H2" s="190" t="s">
        <v>318</v>
      </c>
      <c r="I2" s="191" t="s">
        <v>319</v>
      </c>
      <c r="J2" s="192" t="s">
        <v>320</v>
      </c>
      <c r="K2" s="192" t="s">
        <v>1</v>
      </c>
      <c r="L2" s="192" t="s">
        <v>2</v>
      </c>
      <c r="M2" s="192" t="s">
        <v>321</v>
      </c>
      <c r="N2" s="192" t="s">
        <v>63</v>
      </c>
      <c r="O2" s="192" t="s">
        <v>262</v>
      </c>
      <c r="P2" s="192" t="s">
        <v>322</v>
      </c>
      <c r="Q2" s="192" t="s">
        <v>0</v>
      </c>
      <c r="R2" s="193" t="s">
        <v>257</v>
      </c>
      <c r="S2" s="193" t="s">
        <v>367</v>
      </c>
      <c r="T2" s="193" t="s">
        <v>323</v>
      </c>
      <c r="U2" s="193" t="s">
        <v>324</v>
      </c>
      <c r="V2" s="193" t="s">
        <v>265</v>
      </c>
      <c r="W2" s="193" t="s">
        <v>266</v>
      </c>
      <c r="X2" s="194" t="s">
        <v>325</v>
      </c>
      <c r="Y2" s="194" t="s">
        <v>326</v>
      </c>
      <c r="Z2" s="194" t="s">
        <v>325</v>
      </c>
      <c r="AA2" s="195" t="s">
        <v>325</v>
      </c>
      <c r="AB2" s="195" t="s">
        <v>326</v>
      </c>
      <c r="AC2" s="195" t="s">
        <v>325</v>
      </c>
      <c r="AD2" s="195" t="s">
        <v>62</v>
      </c>
      <c r="AE2" s="195" t="s">
        <v>325</v>
      </c>
      <c r="AF2" s="195" t="s">
        <v>326</v>
      </c>
      <c r="AG2" s="195" t="s">
        <v>325</v>
      </c>
      <c r="AH2" s="195" t="s">
        <v>62</v>
      </c>
      <c r="AI2" s="194" t="s">
        <v>325</v>
      </c>
      <c r="AJ2" s="194" t="s">
        <v>326</v>
      </c>
      <c r="AK2" s="194" t="s">
        <v>62</v>
      </c>
      <c r="AL2" s="194" t="s">
        <v>327</v>
      </c>
      <c r="AM2" s="194" t="s">
        <v>325</v>
      </c>
      <c r="AN2" s="194" t="s">
        <v>326</v>
      </c>
      <c r="AO2" s="194" t="s">
        <v>62</v>
      </c>
      <c r="AP2" s="194" t="s">
        <v>327</v>
      </c>
      <c r="AQ2" s="194" t="s">
        <v>325</v>
      </c>
      <c r="AR2" s="194" t="s">
        <v>326</v>
      </c>
      <c r="AS2" s="194" t="s">
        <v>325</v>
      </c>
      <c r="AT2" s="194" t="s">
        <v>62</v>
      </c>
      <c r="AU2" s="194" t="s">
        <v>327</v>
      </c>
      <c r="AV2" s="194" t="s">
        <v>328</v>
      </c>
      <c r="AW2" s="194" t="s">
        <v>327</v>
      </c>
      <c r="AX2" s="194" t="s">
        <v>325</v>
      </c>
      <c r="AY2" s="194" t="s">
        <v>326</v>
      </c>
      <c r="AZ2" s="194" t="s">
        <v>325</v>
      </c>
      <c r="BA2" s="194" t="s">
        <v>62</v>
      </c>
      <c r="BB2" s="194" t="s">
        <v>327</v>
      </c>
      <c r="BC2" s="194" t="s">
        <v>328</v>
      </c>
      <c r="BD2" s="194" t="s">
        <v>327</v>
      </c>
      <c r="BE2" s="195" t="s">
        <v>325</v>
      </c>
      <c r="BF2" s="195" t="s">
        <v>326</v>
      </c>
      <c r="BG2" s="195" t="s">
        <v>62</v>
      </c>
      <c r="BH2" s="195" t="s">
        <v>327</v>
      </c>
      <c r="BI2" s="195" t="s">
        <v>328</v>
      </c>
      <c r="BJ2" s="195" t="s">
        <v>325</v>
      </c>
      <c r="BK2" s="195" t="s">
        <v>326</v>
      </c>
      <c r="BL2" s="195" t="s">
        <v>62</v>
      </c>
      <c r="BM2" s="195" t="s">
        <v>327</v>
      </c>
      <c r="BN2" s="195" t="s">
        <v>328</v>
      </c>
      <c r="BO2" s="194" t="s">
        <v>325</v>
      </c>
      <c r="BP2" s="194" t="s">
        <v>326</v>
      </c>
      <c r="BQ2" s="194" t="s">
        <v>62</v>
      </c>
      <c r="BR2" s="194" t="s">
        <v>327</v>
      </c>
      <c r="BS2" s="194" t="s">
        <v>328</v>
      </c>
      <c r="BT2" s="194" t="s">
        <v>325</v>
      </c>
      <c r="BU2" s="194" t="s">
        <v>326</v>
      </c>
      <c r="BV2" s="194" t="s">
        <v>62</v>
      </c>
      <c r="BW2" s="194" t="s">
        <v>327</v>
      </c>
      <c r="BX2" s="194" t="s">
        <v>328</v>
      </c>
      <c r="BY2" s="194" t="s">
        <v>325</v>
      </c>
      <c r="BZ2" s="194" t="s">
        <v>326</v>
      </c>
      <c r="CA2" s="194" t="s">
        <v>62</v>
      </c>
      <c r="CB2" s="194" t="s">
        <v>327</v>
      </c>
      <c r="CC2" s="194" t="s">
        <v>328</v>
      </c>
      <c r="CD2" s="195" t="s">
        <v>62</v>
      </c>
      <c r="CE2" s="195" t="s">
        <v>327</v>
      </c>
      <c r="CF2" s="195" t="s">
        <v>328</v>
      </c>
      <c r="CG2" s="195" t="s">
        <v>327</v>
      </c>
      <c r="CH2" s="194" t="s">
        <v>327</v>
      </c>
      <c r="CI2" s="194" t="s">
        <v>328</v>
      </c>
      <c r="CJ2" s="194" t="s">
        <v>327</v>
      </c>
      <c r="CK2" s="194" t="s">
        <v>62</v>
      </c>
    </row>
    <row r="3" spans="1:89" x14ac:dyDescent="0.25">
      <c r="A3" t="str">
        <f>Plantilla!D4</f>
        <v>D. Gehmacher</v>
      </c>
      <c r="B3" s="187">
        <f>Plantilla!E4</f>
        <v>35</v>
      </c>
      <c r="C3" s="116">
        <f ca="1">Plantilla!F4</f>
        <v>17</v>
      </c>
      <c r="D3" s="187">
        <f>Plantilla!G4</f>
        <v>0</v>
      </c>
      <c r="E3" s="267">
        <f>Plantilla!O4</f>
        <v>42468</v>
      </c>
      <c r="F3" s="116">
        <f>Plantilla!Q4</f>
        <v>5</v>
      </c>
      <c r="G3" s="143">
        <f>(F3/7)^0.5</f>
        <v>0.84515425472851657</v>
      </c>
      <c r="H3" s="143">
        <f>IF(F3=7,1,((F3+0.99)/7)^0.5)</f>
        <v>0.92504826128926143</v>
      </c>
      <c r="I3" s="196">
        <f ca="1">Plantilla!P4</f>
        <v>1</v>
      </c>
      <c r="J3" s="197">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7">
        <f>((2*(O3+1))+(L3+1))/8</f>
        <v>2.1062499999999997</v>
      </c>
      <c r="S3" s="197">
        <f ca="1">1.66*(P3+(LOG(J3)*4/3)+I3)+0.55*(Q3+(LOG(J3)*4/3)+I3)-7.6</f>
        <v>8.6709251262431071</v>
      </c>
      <c r="T3" s="49">
        <f>(0.5*P3+ 0.3*Q3)/10</f>
        <v>0.54600000000000004</v>
      </c>
      <c r="U3" s="49">
        <f>(0.4*L3+0.3*Q3)/10</f>
        <v>1.024</v>
      </c>
      <c r="V3" s="197">
        <f ca="1">IF(TODAY()-E3&gt;335,(Q3+1+(LOG(J3)*4/3))*(F3/7)^0.5,(Q3+((TODAY()-E3)^0.5)/(336^0.5)+(LOG(J3)*4/3))*(F3/7)^0.5)</f>
        <v>17.776127575869424</v>
      </c>
      <c r="W3" s="197">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22">
        <f>Plantilla!E5</f>
        <v>39</v>
      </c>
      <c r="C4" s="116">
        <f ca="1">Plantilla!F5</f>
        <v>26</v>
      </c>
      <c r="D4" s="322" t="str">
        <f>Plantilla!G5</f>
        <v>CAB</v>
      </c>
      <c r="E4" s="267">
        <v>36526</v>
      </c>
      <c r="F4" s="116">
        <f>Plantilla!Q5</f>
        <v>4</v>
      </c>
      <c r="G4" s="143">
        <f t="shared" ref="G4:G26" si="0">(F4/7)^0.5</f>
        <v>0.7559289460184544</v>
      </c>
      <c r="H4" s="143">
        <f t="shared" ref="H4:H26" si="1">IF(F4=7,1,((F4+0.99)/7)^0.5)</f>
        <v>0.84430867747355465</v>
      </c>
      <c r="I4" s="196">
        <f>Plantilla!P5</f>
        <v>1.5</v>
      </c>
      <c r="J4" s="197">
        <f>Plantilla!I5</f>
        <v>8.4</v>
      </c>
      <c r="K4" s="49">
        <f>Plantilla!X5</f>
        <v>7.95</v>
      </c>
      <c r="L4" s="49">
        <f>Plantilla!Y5</f>
        <v>6.95</v>
      </c>
      <c r="M4" s="49">
        <f>Plantilla!Z5</f>
        <v>0.95</v>
      </c>
      <c r="N4" s="49">
        <f>Plantilla!AA5</f>
        <v>0.95</v>
      </c>
      <c r="O4" s="49">
        <f>Plantilla!AB5</f>
        <v>1.95</v>
      </c>
      <c r="P4" s="49">
        <f>Plantilla!AC5</f>
        <v>0</v>
      </c>
      <c r="Q4" s="49">
        <f>Plantilla!AD5</f>
        <v>14.95</v>
      </c>
      <c r="R4" s="197">
        <f t="shared" ref="R4:R26" si="2">((2*(O4+1))+(L4+1))/8</f>
        <v>1.7312500000000002</v>
      </c>
      <c r="S4" s="197">
        <f t="shared" ref="S4:S26" si="3">1.66*(P4+(LOG(J4)*4/3)+I4)+0.55*(Q4+(LOG(J4)*4/3)+I4)-7.6</f>
        <v>6.6610429629290131</v>
      </c>
      <c r="T4" s="49">
        <f t="shared" ref="T4:T26" si="4">(0.5*P4+ 0.3*Q4)/10</f>
        <v>0.44849999999999995</v>
      </c>
      <c r="U4" s="49">
        <f t="shared" ref="U4:U26" si="5">(0.4*L4+0.3*Q4)/10</f>
        <v>0.72649999999999992</v>
      </c>
      <c r="V4" s="197">
        <f t="shared" ref="V4:V26" ca="1" si="6">IF(TODAY()-E4&gt;335,(Q4+1+(LOG(J4)*4/3))*(F4/7)^0.5,(Q4+((TODAY()-E4)^0.5)/(336^0.5)+(LOG(J4)*4/3))*(F4/7)^0.5)</f>
        <v>12.988652644380277</v>
      </c>
      <c r="W4" s="197">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22">
        <f>Plantilla!E6</f>
        <v>36</v>
      </c>
      <c r="C5" s="116">
        <f ca="1">Plantilla!F6</f>
        <v>28</v>
      </c>
      <c r="D5" s="322">
        <f>Plantilla!G6</f>
        <v>0</v>
      </c>
      <c r="E5" s="267">
        <v>36526</v>
      </c>
      <c r="F5" s="116">
        <f>Plantilla!Q6</f>
        <v>6</v>
      </c>
      <c r="G5" s="143">
        <f t="shared" si="0"/>
        <v>0.92582009977255142</v>
      </c>
      <c r="H5" s="143">
        <f t="shared" si="1"/>
        <v>0.99928545900129484</v>
      </c>
      <c r="I5" s="196">
        <f>Plantilla!P6</f>
        <v>1.5</v>
      </c>
      <c r="J5" s="197">
        <f>Plantilla!I6</f>
        <v>18</v>
      </c>
      <c r="K5" s="49">
        <f>Plantilla!X6</f>
        <v>0</v>
      </c>
      <c r="L5" s="49">
        <f>Plantilla!Y6</f>
        <v>11.95</v>
      </c>
      <c r="M5" s="49">
        <f>Plantilla!Z6</f>
        <v>12.95</v>
      </c>
      <c r="N5" s="49">
        <f>Plantilla!AA6</f>
        <v>8.9499999999999993</v>
      </c>
      <c r="O5" s="49">
        <f>Plantilla!AB6</f>
        <v>8.9499999999999993</v>
      </c>
      <c r="P5" s="49">
        <f>Plantilla!AC6</f>
        <v>0.95</v>
      </c>
      <c r="Q5" s="49">
        <f>Plantilla!AD6</f>
        <v>17.177777777777774</v>
      </c>
      <c r="R5" s="197">
        <f t="shared" si="2"/>
        <v>4.1062499999999993</v>
      </c>
      <c r="S5" s="197">
        <f t="shared" si="3"/>
        <v>10.438647426148853</v>
      </c>
      <c r="T5" s="49">
        <f t="shared" si="4"/>
        <v>0.56283333333333307</v>
      </c>
      <c r="U5" s="49">
        <f t="shared" si="5"/>
        <v>0.99333333333333318</v>
      </c>
      <c r="V5" s="197">
        <f t="shared" ca="1" si="6"/>
        <v>18.378894057087464</v>
      </c>
      <c r="W5" s="197">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2.1682431253270247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5.0001568670825627</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5.3004459668784296</v>
      </c>
      <c r="CF5" s="83">
        <f t="shared" si="68"/>
        <v>8.9872824543284295</v>
      </c>
      <c r="CG5" s="83">
        <f t="shared" si="69"/>
        <v>5.3004459668784296</v>
      </c>
      <c r="CH5" s="83">
        <f t="shared" si="70"/>
        <v>5.3430630275724793</v>
      </c>
      <c r="CI5" s="83">
        <f t="shared" si="71"/>
        <v>8.5973407459819011</v>
      </c>
      <c r="CJ5" s="83">
        <f t="shared" si="72"/>
        <v>5.3430630275724793</v>
      </c>
      <c r="CK5" s="83">
        <f t="shared" si="73"/>
        <v>4.0309241683677683</v>
      </c>
    </row>
    <row r="6" spans="1:89" x14ac:dyDescent="0.25">
      <c r="A6" t="str">
        <f>Plantilla!D7</f>
        <v>B. Bartolache</v>
      </c>
      <c r="B6" s="322">
        <f>Plantilla!E7</f>
        <v>36</v>
      </c>
      <c r="C6" s="116">
        <f ca="1">Plantilla!F7</f>
        <v>13</v>
      </c>
      <c r="D6" s="322">
        <f>Plantilla!G7</f>
        <v>0</v>
      </c>
      <c r="E6" s="267">
        <v>36526</v>
      </c>
      <c r="F6" s="116">
        <f>Plantilla!Q7</f>
        <v>7</v>
      </c>
      <c r="G6" s="143">
        <f t="shared" si="0"/>
        <v>1</v>
      </c>
      <c r="H6" s="143">
        <f t="shared" si="1"/>
        <v>1</v>
      </c>
      <c r="I6" s="196">
        <f>Plantilla!P7</f>
        <v>1.5</v>
      </c>
      <c r="J6" s="197">
        <f>Plantilla!I7</f>
        <v>11.8</v>
      </c>
      <c r="K6" s="49">
        <f>Plantilla!X7</f>
        <v>0</v>
      </c>
      <c r="L6" s="49">
        <f>Plantilla!Y7</f>
        <v>11.95</v>
      </c>
      <c r="M6" s="49">
        <f>Plantilla!Z7</f>
        <v>5.95</v>
      </c>
      <c r="N6" s="49">
        <f>Plantilla!AA7</f>
        <v>6.95</v>
      </c>
      <c r="O6" s="49">
        <f>Plantilla!AB7</f>
        <v>7.95</v>
      </c>
      <c r="P6" s="49">
        <f>Plantilla!AC7</f>
        <v>1.95</v>
      </c>
      <c r="Q6" s="49">
        <f>Plantilla!AD7</f>
        <v>16</v>
      </c>
      <c r="R6" s="197">
        <f t="shared" si="2"/>
        <v>3.8562499999999997</v>
      </c>
      <c r="S6" s="197">
        <f t="shared" si="3"/>
        <v>10.910478981528717</v>
      </c>
      <c r="T6" s="49">
        <f t="shared" si="4"/>
        <v>0.5774999999999999</v>
      </c>
      <c r="U6" s="49">
        <f t="shared" si="5"/>
        <v>0.95799999999999996</v>
      </c>
      <c r="V6" s="197">
        <f t="shared" ca="1" si="6"/>
        <v>18.4291760097415</v>
      </c>
      <c r="W6" s="197">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22">
        <f>Plantilla!E8</f>
        <v>32</v>
      </c>
      <c r="C7" s="116">
        <f ca="1">Plantilla!F8</f>
        <v>36</v>
      </c>
      <c r="D7" s="322">
        <f>Plantilla!G8</f>
        <v>0</v>
      </c>
      <c r="E7" s="267">
        <v>36526</v>
      </c>
      <c r="F7" s="116">
        <f>Plantilla!Q8</f>
        <v>5</v>
      </c>
      <c r="G7" s="143">
        <f t="shared" si="0"/>
        <v>0.84515425472851657</v>
      </c>
      <c r="H7" s="143">
        <f t="shared" si="1"/>
        <v>0.92504826128926143</v>
      </c>
      <c r="I7" s="196">
        <f>Plantilla!P8</f>
        <v>1.5</v>
      </c>
      <c r="J7" s="197">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7">
        <f t="shared" si="2"/>
        <v>3.7914166666666662</v>
      </c>
      <c r="S7" s="197">
        <f t="shared" si="3"/>
        <v>10.302251263501001</v>
      </c>
      <c r="T7" s="49">
        <f t="shared" si="4"/>
        <v>0.5475833333333332</v>
      </c>
      <c r="U7" s="49">
        <f t="shared" si="5"/>
        <v>0.78426999999999991</v>
      </c>
      <c r="V7" s="197">
        <f t="shared" ca="1" si="6"/>
        <v>13.016980056946617</v>
      </c>
      <c r="W7" s="197">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22">
        <f>Plantilla!E9</f>
        <v>35</v>
      </c>
      <c r="C8" s="116">
        <f ca="1">Plantilla!F9</f>
        <v>102</v>
      </c>
      <c r="D8" s="322" t="str">
        <f>Plantilla!G9</f>
        <v>IMP</v>
      </c>
      <c r="E8" s="267">
        <v>36526</v>
      </c>
      <c r="F8" s="116">
        <f>Plantilla!Q9</f>
        <v>6</v>
      </c>
      <c r="G8" s="143">
        <f t="shared" si="0"/>
        <v>0.92582009977255142</v>
      </c>
      <c r="H8" s="143">
        <f t="shared" si="1"/>
        <v>0.99928545900129484</v>
      </c>
      <c r="I8" s="196">
        <f>Plantilla!P9</f>
        <v>1.5</v>
      </c>
      <c r="J8" s="197">
        <f>Plantilla!I9</f>
        <v>17.100000000000001</v>
      </c>
      <c r="K8" s="49">
        <f>Plantilla!X9</f>
        <v>0</v>
      </c>
      <c r="L8" s="49">
        <f>Plantilla!Y9</f>
        <v>11.95</v>
      </c>
      <c r="M8" s="49">
        <f>Plantilla!Z9</f>
        <v>11.95</v>
      </c>
      <c r="N8" s="49">
        <f>Plantilla!AA9</f>
        <v>12.95</v>
      </c>
      <c r="O8" s="49">
        <f>Plantilla!AB9</f>
        <v>9.9499999999999993</v>
      </c>
      <c r="P8" s="49">
        <f>Plantilla!AC9</f>
        <v>5.95</v>
      </c>
      <c r="Q8" s="49">
        <f>Plantilla!AD9</f>
        <v>17.529999999999998</v>
      </c>
      <c r="R8" s="197">
        <f t="shared" si="2"/>
        <v>4.3562499999999993</v>
      </c>
      <c r="S8" s="197">
        <f t="shared" si="3"/>
        <v>18.866728538622212</v>
      </c>
      <c r="T8" s="49">
        <f t="shared" si="4"/>
        <v>0.82340000000000002</v>
      </c>
      <c r="U8" s="49">
        <f t="shared" si="5"/>
        <v>1.0039</v>
      </c>
      <c r="V8" s="197">
        <f t="shared" ca="1" si="6"/>
        <v>18.677489891375284</v>
      </c>
      <c r="W8" s="197">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3.5923707656977766</v>
      </c>
      <c r="AE8" s="83">
        <f t="shared" si="15"/>
        <v>5.7055300396376456</v>
      </c>
      <c r="AF8" s="83">
        <f t="shared" si="16"/>
        <v>10.912958250418034</v>
      </c>
      <c r="AG8" s="83">
        <f t="shared" si="17"/>
        <v>2.8527650198188228</v>
      </c>
      <c r="AH8" s="83">
        <f t="shared" si="18"/>
        <v>5.8111880033346388</v>
      </c>
      <c r="AI8" s="83">
        <f t="shared" si="19"/>
        <v>13.886475228747708</v>
      </c>
      <c r="AJ8" s="83">
        <f t="shared" si="20"/>
        <v>6.2489138529364681</v>
      </c>
      <c r="AK8" s="83">
        <f t="shared" si="21"/>
        <v>2.5206971339139863</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14.248731104280257</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15.093994813856204</v>
      </c>
      <c r="BB8" s="83">
        <f t="shared" si="38"/>
        <v>3.3127806879056196</v>
      </c>
      <c r="BC8" s="83">
        <f t="shared" si="39"/>
        <v>6.3747911424347699</v>
      </c>
      <c r="BD8" s="83">
        <f t="shared" si="40"/>
        <v>1.6563903439528098</v>
      </c>
      <c r="BE8" s="83">
        <f t="shared" si="41"/>
        <v>4.3923524908321552</v>
      </c>
      <c r="BF8" s="83">
        <f t="shared" si="42"/>
        <v>5.252710195221959</v>
      </c>
      <c r="BG8" s="83">
        <f t="shared" si="43"/>
        <v>13.297809431007316</v>
      </c>
      <c r="BH8" s="83">
        <f t="shared" si="44"/>
        <v>13.362561389518167</v>
      </c>
      <c r="BI8" s="83">
        <f t="shared" si="45"/>
        <v>3.1556527501393452</v>
      </c>
      <c r="BJ8" s="83">
        <f t="shared" si="46"/>
        <v>7.3205874847202592</v>
      </c>
      <c r="BK8" s="83">
        <f t="shared" si="47"/>
        <v>3.9848146308580379</v>
      </c>
      <c r="BL8" s="83">
        <f t="shared" si="48"/>
        <v>5.750812024079214</v>
      </c>
      <c r="BM8" s="83">
        <f t="shared" si="49"/>
        <v>13.463151467310325</v>
      </c>
      <c r="BN8" s="83">
        <f t="shared" si="50"/>
        <v>0.68088773032052263</v>
      </c>
      <c r="BO8" s="83">
        <f t="shared" si="51"/>
        <v>2.7169190664941167</v>
      </c>
      <c r="BP8" s="83">
        <f t="shared" si="52"/>
        <v>1.0263916473422219</v>
      </c>
      <c r="BQ8" s="83">
        <f t="shared" si="53"/>
        <v>4.6036684182261425</v>
      </c>
      <c r="BR8" s="83">
        <f t="shared" si="54"/>
        <v>19.838877330619081</v>
      </c>
      <c r="BS8" s="83">
        <f t="shared" si="55"/>
        <v>1.7676892998705878</v>
      </c>
      <c r="BT8" s="83">
        <f t="shared" si="56"/>
        <v>4.286694527135162</v>
      </c>
      <c r="BU8" s="83">
        <f t="shared" si="57"/>
        <v>3.6829347345809138</v>
      </c>
      <c r="BV8" s="83">
        <f t="shared" si="58"/>
        <v>6.8677676403045735</v>
      </c>
      <c r="BW8" s="83">
        <f t="shared" si="59"/>
        <v>17.100146253752676</v>
      </c>
      <c r="BX8" s="83">
        <f t="shared" si="60"/>
        <v>1.5843733724766007</v>
      </c>
      <c r="BY8" s="83">
        <f t="shared" si="61"/>
        <v>4.286694527135162</v>
      </c>
      <c r="BZ8" s="83">
        <f t="shared" si="62"/>
        <v>3.6829347345809138</v>
      </c>
      <c r="CA8" s="83">
        <f t="shared" si="63"/>
        <v>9.5243107275432646</v>
      </c>
      <c r="CB8" s="83">
        <f t="shared" si="64"/>
        <v>13.825125358401305</v>
      </c>
      <c r="CC8" s="83">
        <f t="shared" si="65"/>
        <v>1.9379112324507182</v>
      </c>
      <c r="CD8" s="83">
        <f t="shared" si="66"/>
        <v>6.1281618944256193</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3.773498703464051</v>
      </c>
    </row>
    <row r="9" spans="1:89" x14ac:dyDescent="0.25">
      <c r="A9" t="str">
        <f>Plantilla!D10</f>
        <v>S. Buschelman</v>
      </c>
      <c r="B9" s="322">
        <f>Plantilla!E10</f>
        <v>34</v>
      </c>
      <c r="C9" s="116">
        <f ca="1">Plantilla!F10</f>
        <v>61</v>
      </c>
      <c r="D9" s="322" t="str">
        <f>Plantilla!G10</f>
        <v>TEC</v>
      </c>
      <c r="E9" s="267">
        <v>36526</v>
      </c>
      <c r="F9" s="116">
        <f>Plantilla!Q10</f>
        <v>6</v>
      </c>
      <c r="G9" s="143">
        <f t="shared" si="0"/>
        <v>0.92582009977255142</v>
      </c>
      <c r="H9" s="143">
        <f t="shared" si="1"/>
        <v>0.99928545900129484</v>
      </c>
      <c r="I9" s="196">
        <f>Plantilla!P10</f>
        <v>1.5</v>
      </c>
      <c r="J9" s="197">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197">
        <f t="shared" si="2"/>
        <v>4.0254583333333329</v>
      </c>
      <c r="S9" s="197">
        <f t="shared" si="3"/>
        <v>14.520371188030476</v>
      </c>
      <c r="T9" s="49">
        <f t="shared" si="4"/>
        <v>0.67749999999999999</v>
      </c>
      <c r="U9" s="49">
        <f t="shared" si="5"/>
        <v>0.8521466666666665</v>
      </c>
      <c r="V9" s="197">
        <f t="shared" ca="1" si="6"/>
        <v>17.183544120275982</v>
      </c>
      <c r="W9" s="197">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22">
        <f>Plantilla!E11</f>
        <v>35</v>
      </c>
      <c r="C10" s="116">
        <f ca="1">Plantilla!F11</f>
        <v>89</v>
      </c>
      <c r="D10" s="322">
        <f>Plantilla!G11</f>
        <v>0</v>
      </c>
      <c r="E10" s="267">
        <v>36526</v>
      </c>
      <c r="F10" s="116">
        <f>Plantilla!Q11</f>
        <v>7</v>
      </c>
      <c r="G10" s="143">
        <f t="shared" si="0"/>
        <v>1</v>
      </c>
      <c r="H10" s="143">
        <f t="shared" si="1"/>
        <v>1</v>
      </c>
      <c r="I10" s="196">
        <f>Plantilla!P11</f>
        <v>1.5</v>
      </c>
      <c r="J10" s="197">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7">
        <f t="shared" si="2"/>
        <v>3.9312499999999995</v>
      </c>
      <c r="S10" s="197">
        <f t="shared" si="3"/>
        <v>10.099226084532321</v>
      </c>
      <c r="T10" s="49">
        <f t="shared" si="4"/>
        <v>0.5665</v>
      </c>
      <c r="U10" s="49">
        <f t="shared" si="5"/>
        <v>0.94099999999999984</v>
      </c>
      <c r="V10" s="197">
        <f t="shared" ca="1" si="6"/>
        <v>19.789695060874354</v>
      </c>
      <c r="W10" s="197">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22">
        <f>Plantilla!E12</f>
        <v>34</v>
      </c>
      <c r="C11" s="116">
        <f ca="1">Plantilla!F12</f>
        <v>14</v>
      </c>
      <c r="D11" s="322">
        <f>Plantilla!G12</f>
        <v>0</v>
      </c>
      <c r="E11" s="267">
        <v>36526</v>
      </c>
      <c r="F11" s="116">
        <f>Plantilla!Q12</f>
        <v>5</v>
      </c>
      <c r="G11" s="143">
        <f t="shared" si="0"/>
        <v>0.84515425472851657</v>
      </c>
      <c r="H11" s="143">
        <f t="shared" si="1"/>
        <v>0.92504826128926143</v>
      </c>
      <c r="I11" s="196">
        <f>Plantilla!P12</f>
        <v>1.5</v>
      </c>
      <c r="J11" s="197">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7">
        <f t="shared" si="2"/>
        <v>3.318944444444444</v>
      </c>
      <c r="S11" s="197">
        <f t="shared" si="3"/>
        <v>9.6027717628135694</v>
      </c>
      <c r="T11" s="49">
        <f t="shared" si="4"/>
        <v>0.53291666666666671</v>
      </c>
      <c r="U11" s="49">
        <f t="shared" si="5"/>
        <v>0.61147888888888879</v>
      </c>
      <c r="V11" s="197">
        <f t="shared" ca="1" si="6"/>
        <v>12.439125890961233</v>
      </c>
      <c r="W11" s="197">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22">
        <f>Plantilla!E13</f>
        <v>18</v>
      </c>
      <c r="C12" s="116">
        <f ca="1">Plantilla!F13</f>
        <v>84</v>
      </c>
      <c r="D12" s="322" t="str">
        <f>Plantilla!G13</f>
        <v>CAB</v>
      </c>
      <c r="E12" s="267">
        <f>Plantilla!O13</f>
        <v>43626</v>
      </c>
      <c r="F12" s="116">
        <f>Plantilla!Q13</f>
        <v>5</v>
      </c>
      <c r="G12" s="143">
        <f t="shared" si="0"/>
        <v>0.84515425472851657</v>
      </c>
      <c r="H12" s="143">
        <f t="shared" si="1"/>
        <v>0.92504826128926143</v>
      </c>
      <c r="I12" s="196">
        <f ca="1">Plantilla!P13</f>
        <v>0.20848632838563147</v>
      </c>
      <c r="J12" s="197">
        <f>Plantilla!I13</f>
        <v>0.4</v>
      </c>
      <c r="K12" s="49">
        <f>Plantilla!X13</f>
        <v>0</v>
      </c>
      <c r="L12" s="49">
        <f>Plantilla!Y13</f>
        <v>4</v>
      </c>
      <c r="M12" s="49">
        <f>Plantilla!Z13</f>
        <v>7.8</v>
      </c>
      <c r="N12" s="49">
        <f>Plantilla!AA13</f>
        <v>3</v>
      </c>
      <c r="O12" s="49">
        <f>Plantilla!AB13</f>
        <v>4</v>
      </c>
      <c r="P12" s="49">
        <f>Plantilla!AC13</f>
        <v>7</v>
      </c>
      <c r="Q12" s="49">
        <f>Plantilla!AD13</f>
        <v>6</v>
      </c>
      <c r="R12" s="197">
        <f t="shared" si="2"/>
        <v>1.875</v>
      </c>
      <c r="S12" s="197">
        <f t="shared" ca="1" si="3"/>
        <v>6.6081582268453083</v>
      </c>
      <c r="T12" s="49">
        <f t="shared" si="4"/>
        <v>0.53</v>
      </c>
      <c r="U12" s="49">
        <f t="shared" si="5"/>
        <v>0.33999999999999997</v>
      </c>
      <c r="V12" s="197">
        <f t="shared" ca="1" si="6"/>
        <v>4.8707914351753399</v>
      </c>
      <c r="W12" s="197">
        <f t="shared" ca="1" si="7"/>
        <v>5.3312364257799505</v>
      </c>
      <c r="X12" s="83">
        <f t="shared" ca="1" si="8"/>
        <v>0.82280639458640459</v>
      </c>
      <c r="Y12" s="83">
        <f t="shared" ca="1" si="9"/>
        <v>1.2841684483517162</v>
      </c>
      <c r="Z12" s="83">
        <f t="shared" ca="1" si="10"/>
        <v>0.82280639458640459</v>
      </c>
      <c r="AA12" s="83">
        <f t="shared" ca="1" si="11"/>
        <v>1.8977962194806239</v>
      </c>
      <c r="AB12" s="83">
        <f t="shared" ca="1" si="12"/>
        <v>3.677899650156248</v>
      </c>
      <c r="AC12" s="83">
        <f t="shared" ca="1" si="13"/>
        <v>0.94889810974031197</v>
      </c>
      <c r="AD12" s="83">
        <f t="shared" ca="1" si="14"/>
        <v>1.7797401167371869</v>
      </c>
      <c r="AE12" s="83">
        <f t="shared" ca="1" si="15"/>
        <v>1.3902460677590618</v>
      </c>
      <c r="AF12" s="83">
        <f t="shared" ca="1" si="16"/>
        <v>2.6591214470629674</v>
      </c>
      <c r="AG12" s="83">
        <f t="shared" ca="1" si="17"/>
        <v>0.69512303387953089</v>
      </c>
      <c r="AH12" s="83">
        <f t="shared" ca="1" si="18"/>
        <v>2.8789913653101555</v>
      </c>
      <c r="AI12" s="83">
        <f t="shared" ca="1" si="19"/>
        <v>3.3836676781437482</v>
      </c>
      <c r="AJ12" s="83">
        <f t="shared" ca="1" si="20"/>
        <v>1.5226504551646867</v>
      </c>
      <c r="AK12" s="83">
        <f t="shared" ca="1" si="21"/>
        <v>1.2488092415760934</v>
      </c>
      <c r="AL12" s="83">
        <f t="shared" ca="1" si="22"/>
        <v>1.5746049942918736</v>
      </c>
      <c r="AM12" s="83">
        <f t="shared" ca="1" si="23"/>
        <v>2.773136336217811</v>
      </c>
      <c r="AN12" s="83">
        <f t="shared" ca="1" si="24"/>
        <v>2.6039529523106233</v>
      </c>
      <c r="AO12" s="83">
        <f t="shared" ca="1" si="25"/>
        <v>0.94820924157609343</v>
      </c>
      <c r="AP12" s="83">
        <f t="shared" ca="1" si="26"/>
        <v>0.44723509924499938</v>
      </c>
      <c r="AQ12" s="83">
        <f t="shared" ca="1" si="27"/>
        <v>0.99303290554218704</v>
      </c>
      <c r="AR12" s="83">
        <f t="shared" ca="1" si="28"/>
        <v>2.1846723921928111</v>
      </c>
      <c r="AS12" s="83">
        <f t="shared" ca="1" si="29"/>
        <v>0.49651645277109352</v>
      </c>
      <c r="AT12" s="83">
        <f t="shared" ca="1" si="30"/>
        <v>7.0591372697474979</v>
      </c>
      <c r="AU12" s="83">
        <f t="shared" ca="1" si="31"/>
        <v>0.47812695452031223</v>
      </c>
      <c r="AV12" s="83">
        <f t="shared" ca="1" si="32"/>
        <v>1.5966245974957807</v>
      </c>
      <c r="AW12" s="83">
        <f t="shared" ca="1" si="33"/>
        <v>0.23906347726015612</v>
      </c>
      <c r="AX12" s="83">
        <f t="shared" ca="1" si="34"/>
        <v>0.69512303387953089</v>
      </c>
      <c r="AY12" s="83">
        <f t="shared" ca="1" si="35"/>
        <v>1.4711598600624993</v>
      </c>
      <c r="AZ12" s="83">
        <f t="shared" ca="1" si="36"/>
        <v>0.34756151693976545</v>
      </c>
      <c r="BA12" s="83">
        <f t="shared" ca="1" si="37"/>
        <v>7.4778996501562478</v>
      </c>
      <c r="BB12" s="83">
        <f t="shared" ca="1" si="38"/>
        <v>0.93050861148953079</v>
      </c>
      <c r="BC12" s="83">
        <f t="shared" ca="1" si="39"/>
        <v>2.6565227072360926</v>
      </c>
      <c r="BD12" s="83">
        <f t="shared" ca="1" si="40"/>
        <v>0.4652543057447654</v>
      </c>
      <c r="BE12" s="83">
        <f t="shared" ca="1" si="41"/>
        <v>1.0702687981954682</v>
      </c>
      <c r="BF12" s="83">
        <f t="shared" ca="1" si="42"/>
        <v>1.2799090782543743</v>
      </c>
      <c r="BG12" s="83">
        <f t="shared" ca="1" si="43"/>
        <v>6.5880295917876541</v>
      </c>
      <c r="BH12" s="83">
        <f t="shared" ca="1" si="44"/>
        <v>2.6956527889889044</v>
      </c>
      <c r="BI12" s="83">
        <f t="shared" ca="1" si="45"/>
        <v>0.88637381568765572</v>
      </c>
      <c r="BJ12" s="83">
        <f t="shared" ca="1" si="46"/>
        <v>1.7837813303257801</v>
      </c>
      <c r="BK12" s="83">
        <f t="shared" ca="1" si="47"/>
        <v>0.97096550764124956</v>
      </c>
      <c r="BL12" s="83">
        <f t="shared" ca="1" si="48"/>
        <v>2.8490797667095307</v>
      </c>
      <c r="BM12" s="83">
        <f t="shared" ca="1" si="49"/>
        <v>2.541484294236561</v>
      </c>
      <c r="BN12" s="83">
        <f t="shared" ca="1" si="50"/>
        <v>0.19125078180812488</v>
      </c>
      <c r="BO12" s="83">
        <f t="shared" ca="1" si="51"/>
        <v>0.66202193702812462</v>
      </c>
      <c r="BP12" s="83">
        <f t="shared" ca="1" si="52"/>
        <v>0.25009717621062488</v>
      </c>
      <c r="BQ12" s="83">
        <f t="shared" ca="1" si="53"/>
        <v>2.2807593932976555</v>
      </c>
      <c r="BR12" s="83">
        <f t="shared" ca="1" si="54"/>
        <v>3.7297789501009349</v>
      </c>
      <c r="BS12" s="83">
        <f t="shared" ca="1" si="55"/>
        <v>0.49651645277109352</v>
      </c>
      <c r="BT12" s="83">
        <f t="shared" ca="1" si="56"/>
        <v>1.0445235006443743</v>
      </c>
      <c r="BU12" s="83">
        <f t="shared" ca="1" si="57"/>
        <v>0.89740751463812451</v>
      </c>
      <c r="BV12" s="83">
        <f t="shared" ca="1" si="58"/>
        <v>3.4024443408210927</v>
      </c>
      <c r="BW12" s="83">
        <f t="shared" ca="1" si="59"/>
        <v>3.2111128123731225</v>
      </c>
      <c r="BX12" s="83">
        <f t="shared" ca="1" si="60"/>
        <v>0.44502585766890601</v>
      </c>
      <c r="BY12" s="83">
        <f t="shared" ca="1" si="61"/>
        <v>1.0445235006443743</v>
      </c>
      <c r="BZ12" s="83">
        <f t="shared" ca="1" si="62"/>
        <v>0.89740751463812451</v>
      </c>
      <c r="CA12" s="83">
        <f t="shared" ca="1" si="63"/>
        <v>4.7185546792485926</v>
      </c>
      <c r="CB12" s="83">
        <f t="shared" ca="1" si="64"/>
        <v>2.5897201868898421</v>
      </c>
      <c r="CC12" s="83">
        <f t="shared" ca="1" si="65"/>
        <v>0.54432914822312473</v>
      </c>
      <c r="CD12" s="83">
        <f t="shared" ca="1" si="66"/>
        <v>3.0360272579634366</v>
      </c>
      <c r="CE12" s="83">
        <f t="shared" ca="1" si="67"/>
        <v>2.1531857177314051</v>
      </c>
      <c r="CF12" s="83">
        <f t="shared" ca="1" si="68"/>
        <v>5.8903150060759355</v>
      </c>
      <c r="CG12" s="83">
        <f t="shared" ca="1" si="69"/>
        <v>2.1531857177314051</v>
      </c>
      <c r="CH12" s="83">
        <f t="shared" ca="1" si="70"/>
        <v>3.056125036667078</v>
      </c>
      <c r="CI12" s="83">
        <f t="shared" ca="1" si="71"/>
        <v>8.0350446210639035</v>
      </c>
      <c r="CJ12" s="83">
        <f t="shared" ca="1" si="72"/>
        <v>3.056125036667078</v>
      </c>
      <c r="CK12" s="83">
        <f t="shared" ca="1" si="73"/>
        <v>1.869474912539062</v>
      </c>
    </row>
    <row r="13" spans="1:89" x14ac:dyDescent="0.25">
      <c r="A13" t="str">
        <f>Plantilla!D14</f>
        <v>I. Stone</v>
      </c>
      <c r="B13" s="322">
        <f>Plantilla!E14</f>
        <v>18</v>
      </c>
      <c r="C13" s="116">
        <f ca="1">Plantilla!F14</f>
        <v>27</v>
      </c>
      <c r="D13" s="322" t="str">
        <f>Plantilla!G14</f>
        <v>RAP</v>
      </c>
      <c r="E13" s="267">
        <f>Plantilla!O14</f>
        <v>43633</v>
      </c>
      <c r="F13" s="116">
        <f>Plantilla!Q14</f>
        <v>4</v>
      </c>
      <c r="G13" s="143">
        <f t="shared" si="0"/>
        <v>0.7559289460184544</v>
      </c>
      <c r="H13" s="143">
        <f t="shared" si="1"/>
        <v>0.84430867747355465</v>
      </c>
      <c r="I13" s="196">
        <f ca="1">Plantilla!P14</f>
        <v>0.17470019035584383</v>
      </c>
      <c r="J13" s="197">
        <f>Plantilla!I14</f>
        <v>1.2</v>
      </c>
      <c r="K13" s="49">
        <f>Plantilla!X14</f>
        <v>0</v>
      </c>
      <c r="L13" s="49">
        <f>Plantilla!Y14</f>
        <v>3</v>
      </c>
      <c r="M13" s="49">
        <f>Plantilla!Z14</f>
        <v>6.25</v>
      </c>
      <c r="N13" s="49">
        <f>Plantilla!AA14</f>
        <v>2</v>
      </c>
      <c r="O13" s="49">
        <f>Plantilla!AB14</f>
        <v>6</v>
      </c>
      <c r="P13" s="49">
        <f>Plantilla!AC14</f>
        <v>9</v>
      </c>
      <c r="Q13" s="49">
        <f>Plantilla!AD14</f>
        <v>2</v>
      </c>
      <c r="R13" s="197">
        <f t="shared" si="2"/>
        <v>2.25</v>
      </c>
      <c r="S13" s="197">
        <f t="shared" ca="1" si="3"/>
        <v>9.0594081590400801</v>
      </c>
      <c r="T13" s="49">
        <f t="shared" si="4"/>
        <v>0.51</v>
      </c>
      <c r="U13" s="49">
        <f t="shared" si="5"/>
        <v>0.18000000000000002</v>
      </c>
      <c r="V13" s="197">
        <f t="shared" ca="1" si="6"/>
        <v>1.7850945723538532</v>
      </c>
      <c r="W13" s="197">
        <f t="shared" ca="1" si="7"/>
        <v>1.9937996097221922</v>
      </c>
      <c r="X13" s="83">
        <f t="shared" ca="1" si="8"/>
        <v>1.0726802365800869</v>
      </c>
      <c r="Y13" s="83">
        <f t="shared" ca="1" si="9"/>
        <v>1.6368352639460393</v>
      </c>
      <c r="Z13" s="83">
        <f t="shared" ca="1" si="10"/>
        <v>1.0726802365800869</v>
      </c>
      <c r="AA13" s="83">
        <f t="shared" ca="1" si="11"/>
        <v>1.6926219955043813</v>
      </c>
      <c r="AB13" s="83">
        <f t="shared" ca="1" si="12"/>
        <v>3.2802751850860101</v>
      </c>
      <c r="AC13" s="83">
        <f t="shared" ca="1" si="13"/>
        <v>0.84631099775219065</v>
      </c>
      <c r="AD13" s="83">
        <f t="shared" ca="1" si="14"/>
        <v>1.5542054940504704</v>
      </c>
      <c r="AE13" s="83">
        <f t="shared" ca="1" si="15"/>
        <v>1.2399440199625118</v>
      </c>
      <c r="AF13" s="83">
        <f t="shared" ca="1" si="16"/>
        <v>2.3716389588171851</v>
      </c>
      <c r="AG13" s="83">
        <f t="shared" ca="1" si="17"/>
        <v>0.6199720099812559</v>
      </c>
      <c r="AH13" s="83">
        <f t="shared" ca="1" si="18"/>
        <v>2.5141559462581138</v>
      </c>
      <c r="AI13" s="83">
        <f t="shared" ca="1" si="19"/>
        <v>3.0178531702791296</v>
      </c>
      <c r="AJ13" s="83">
        <f t="shared" ca="1" si="20"/>
        <v>1.3580339266256081</v>
      </c>
      <c r="AK13" s="83">
        <f t="shared" ca="1" si="21"/>
        <v>1.0905559559093638</v>
      </c>
      <c r="AL13" s="83">
        <f t="shared" ca="1" si="22"/>
        <v>1.340801808830574</v>
      </c>
      <c r="AM13" s="83">
        <f t="shared" ca="1" si="23"/>
        <v>2.4733274895548516</v>
      </c>
      <c r="AN13" s="83">
        <f t="shared" ca="1" si="24"/>
        <v>2.3224348310408951</v>
      </c>
      <c r="AO13" s="83">
        <f t="shared" ca="1" si="25"/>
        <v>0.38080595590936372</v>
      </c>
      <c r="AP13" s="83">
        <f t="shared" ca="1" si="26"/>
        <v>0.72871925330477083</v>
      </c>
      <c r="AQ13" s="83">
        <f t="shared" ca="1" si="27"/>
        <v>0.88567429997322278</v>
      </c>
      <c r="AR13" s="83">
        <f t="shared" ca="1" si="28"/>
        <v>1.9484834599410898</v>
      </c>
      <c r="AS13" s="83">
        <f t="shared" ca="1" si="29"/>
        <v>0.44283714998661139</v>
      </c>
      <c r="AT13" s="83">
        <f t="shared" ca="1" si="30"/>
        <v>6.1645797747211937</v>
      </c>
      <c r="AU13" s="83">
        <f t="shared" ca="1" si="31"/>
        <v>0.8164357740611814</v>
      </c>
      <c r="AV13" s="83">
        <f t="shared" ca="1" si="32"/>
        <v>2.3591206292302007</v>
      </c>
      <c r="AW13" s="83">
        <f t="shared" ca="1" si="33"/>
        <v>0.4082178870305907</v>
      </c>
      <c r="AX13" s="83">
        <f t="shared" ca="1" si="34"/>
        <v>0.6199720099812559</v>
      </c>
      <c r="AY13" s="83">
        <f t="shared" ca="1" si="35"/>
        <v>1.3121100740344041</v>
      </c>
      <c r="AZ13" s="83">
        <f t="shared" ca="1" si="36"/>
        <v>0.30998600499062795</v>
      </c>
      <c r="BA13" s="83">
        <f t="shared" ca="1" si="37"/>
        <v>6.5302751850860101</v>
      </c>
      <c r="BB13" s="83">
        <f t="shared" ca="1" si="38"/>
        <v>1.5889096218267607</v>
      </c>
      <c r="BC13" s="83">
        <f t="shared" ca="1" si="39"/>
        <v>4.0904316269823919</v>
      </c>
      <c r="BD13" s="83">
        <f t="shared" ca="1" si="40"/>
        <v>0.79445481091338033</v>
      </c>
      <c r="BE13" s="83">
        <f t="shared" ca="1" si="41"/>
        <v>0.95456007886002892</v>
      </c>
      <c r="BF13" s="83">
        <f t="shared" ca="1" si="42"/>
        <v>1.1415357644099315</v>
      </c>
      <c r="BG13" s="83">
        <f t="shared" ca="1" si="43"/>
        <v>5.7531724380607754</v>
      </c>
      <c r="BH13" s="83">
        <f t="shared" ca="1" si="44"/>
        <v>3.2871646395414631</v>
      </c>
      <c r="BI13" s="83">
        <f t="shared" ca="1" si="45"/>
        <v>1.5135463196057284</v>
      </c>
      <c r="BJ13" s="83">
        <f t="shared" ca="1" si="46"/>
        <v>1.5909334647667148</v>
      </c>
      <c r="BK13" s="83">
        <f t="shared" ca="1" si="47"/>
        <v>0.86599264886270666</v>
      </c>
      <c r="BL13" s="83">
        <f t="shared" ca="1" si="48"/>
        <v>2.4880348455177699</v>
      </c>
      <c r="BM13" s="83">
        <f t="shared" ca="1" si="49"/>
        <v>2.7969605117651728</v>
      </c>
      <c r="BN13" s="83">
        <f t="shared" ca="1" si="50"/>
        <v>0.32657430962447254</v>
      </c>
      <c r="BO13" s="83">
        <f t="shared" ca="1" si="51"/>
        <v>0.59044953331548178</v>
      </c>
      <c r="BP13" s="83">
        <f t="shared" ca="1" si="52"/>
        <v>0.2230587125858487</v>
      </c>
      <c r="BQ13" s="83">
        <f t="shared" ca="1" si="53"/>
        <v>1.991733931451233</v>
      </c>
      <c r="BR13" s="83">
        <f t="shared" ca="1" si="54"/>
        <v>4.0764338880206088</v>
      </c>
      <c r="BS13" s="83">
        <f t="shared" ca="1" si="55"/>
        <v>0.84783714998661142</v>
      </c>
      <c r="BT13" s="83">
        <f t="shared" ca="1" si="56"/>
        <v>0.9315981525644268</v>
      </c>
      <c r="BU13" s="83">
        <f t="shared" ca="1" si="57"/>
        <v>0.80038714516098641</v>
      </c>
      <c r="BV13" s="83">
        <f t="shared" ca="1" si="58"/>
        <v>2.9712752092141348</v>
      </c>
      <c r="BW13" s="83">
        <f t="shared" ca="1" si="59"/>
        <v>3.5025449050752995</v>
      </c>
      <c r="BX13" s="83">
        <f t="shared" ca="1" si="60"/>
        <v>0.75991329739540725</v>
      </c>
      <c r="BY13" s="83">
        <f t="shared" ca="1" si="61"/>
        <v>0.9315981525644268</v>
      </c>
      <c r="BZ13" s="83">
        <f t="shared" ca="1" si="62"/>
        <v>0.80038714516098641</v>
      </c>
      <c r="CA13" s="83">
        <f t="shared" ca="1" si="63"/>
        <v>4.1206036417892724</v>
      </c>
      <c r="CB13" s="83">
        <f t="shared" ca="1" si="64"/>
        <v>2.8128462906519789</v>
      </c>
      <c r="CC13" s="83">
        <f t="shared" ca="1" si="65"/>
        <v>0.92948072739272947</v>
      </c>
      <c r="CD13" s="83">
        <f t="shared" ca="1" si="66"/>
        <v>2.6512917251449202</v>
      </c>
      <c r="CE13" s="83">
        <f t="shared" ca="1" si="67"/>
        <v>3.077023371429811</v>
      </c>
      <c r="CF13" s="83">
        <f t="shared" ca="1" si="68"/>
        <v>8.8205898584068478</v>
      </c>
      <c r="CG13" s="83">
        <f t="shared" ca="1" si="69"/>
        <v>3.077023371429811</v>
      </c>
      <c r="CH13" s="83">
        <f t="shared" ca="1" si="70"/>
        <v>4.0231893908160643</v>
      </c>
      <c r="CI13" s="83">
        <f t="shared" ca="1" si="71"/>
        <v>11.597696728382747</v>
      </c>
      <c r="CJ13" s="83">
        <f t="shared" ca="1" si="72"/>
        <v>4.0231893908160643</v>
      </c>
      <c r="CK13" s="83">
        <f t="shared" ca="1" si="73"/>
        <v>1.6325687962715025</v>
      </c>
    </row>
    <row r="14" spans="1:89" x14ac:dyDescent="0.25">
      <c r="A14" t="str">
        <f>Plantilla!D15</f>
        <v>G. Piscaer</v>
      </c>
      <c r="B14" s="322">
        <f>Plantilla!E15</f>
        <v>18</v>
      </c>
      <c r="C14" s="116">
        <f ca="1">Plantilla!F15</f>
        <v>100</v>
      </c>
      <c r="D14" s="322" t="str">
        <f>Plantilla!G15</f>
        <v>IMP</v>
      </c>
      <c r="E14" s="267">
        <f>Plantilla!O15</f>
        <v>43630</v>
      </c>
      <c r="F14" s="116">
        <f>Plantilla!Q15</f>
        <v>5</v>
      </c>
      <c r="G14" s="143">
        <f t="shared" si="0"/>
        <v>0.84515425472851657</v>
      </c>
      <c r="H14" s="143">
        <f t="shared" si="1"/>
        <v>0.92504826128926143</v>
      </c>
      <c r="I14" s="196">
        <f ca="1">Plantilla!P15</f>
        <v>0.1895939470598198</v>
      </c>
      <c r="J14" s="197">
        <f>Plantilla!I15</f>
        <v>1.8</v>
      </c>
      <c r="K14" s="49">
        <f>Plantilla!X15</f>
        <v>0</v>
      </c>
      <c r="L14" s="49">
        <f>Plantilla!Y15</f>
        <v>4</v>
      </c>
      <c r="M14" s="49">
        <f>Plantilla!Z15</f>
        <v>8.6</v>
      </c>
      <c r="N14" s="49">
        <f>Plantilla!AA15</f>
        <v>3</v>
      </c>
      <c r="O14" s="49">
        <f>Plantilla!AB15</f>
        <v>2</v>
      </c>
      <c r="P14" s="49">
        <f>Plantilla!AC15</f>
        <v>8</v>
      </c>
      <c r="Q14" s="49">
        <f>Plantilla!AD15</f>
        <v>0</v>
      </c>
      <c r="R14" s="197">
        <f t="shared" si="2"/>
        <v>1.375</v>
      </c>
      <c r="S14" s="197">
        <f t="shared" ca="1" si="3"/>
        <v>6.8512056047066103</v>
      </c>
      <c r="T14" s="49">
        <f t="shared" si="4"/>
        <v>0.4</v>
      </c>
      <c r="U14" s="49">
        <f t="shared" si="5"/>
        <v>0.16</v>
      </c>
      <c r="V14" s="197">
        <f t="shared" ca="1" si="6"/>
        <v>0.51819424805955827</v>
      </c>
      <c r="W14" s="197">
        <f t="shared" ca="1" si="7"/>
        <v>0.56718011593229289</v>
      </c>
      <c r="X14" s="83">
        <f t="shared" ca="1" si="8"/>
        <v>1.566652711723471</v>
      </c>
      <c r="Y14" s="83">
        <f t="shared" ca="1" si="9"/>
        <v>2.3841748577720514</v>
      </c>
      <c r="Z14" s="83">
        <f t="shared" ca="1" si="10"/>
        <v>1.566652711723471</v>
      </c>
      <c r="AA14" s="83">
        <f t="shared" ca="1" si="11"/>
        <v>2.3374579601939414</v>
      </c>
      <c r="AB14" s="83">
        <f t="shared" ca="1" si="12"/>
        <v>4.5299572871975604</v>
      </c>
      <c r="AC14" s="83">
        <f t="shared" ca="1" si="13"/>
        <v>1.1687289800969707</v>
      </c>
      <c r="AD14" s="83">
        <f t="shared" ca="1" si="14"/>
        <v>2.1729298343530195</v>
      </c>
      <c r="AE14" s="83">
        <f t="shared" ca="1" si="15"/>
        <v>1.7123238545606778</v>
      </c>
      <c r="AF14" s="83">
        <f t="shared" ca="1" si="16"/>
        <v>3.275159118643836</v>
      </c>
      <c r="AG14" s="83">
        <f t="shared" ca="1" si="17"/>
        <v>0.85616192728033891</v>
      </c>
      <c r="AH14" s="83">
        <f t="shared" ca="1" si="18"/>
        <v>3.515033555571061</v>
      </c>
      <c r="AI14" s="83">
        <f t="shared" ca="1" si="19"/>
        <v>4.1675607042217555</v>
      </c>
      <c r="AJ14" s="83">
        <f t="shared" ca="1" si="20"/>
        <v>1.87540231689979</v>
      </c>
      <c r="AK14" s="83">
        <f t="shared" ca="1" si="21"/>
        <v>1.5247028669619929</v>
      </c>
      <c r="AL14" s="83">
        <f t="shared" ca="1" si="22"/>
        <v>2.0756148848721661</v>
      </c>
      <c r="AM14" s="83">
        <f t="shared" ca="1" si="23"/>
        <v>3.4155877945469606</v>
      </c>
      <c r="AN14" s="83">
        <f t="shared" ca="1" si="24"/>
        <v>3.2072097593358726</v>
      </c>
      <c r="AO14" s="83">
        <f t="shared" ca="1" si="25"/>
        <v>8.8502866961992749E-2</v>
      </c>
      <c r="AP14" s="83">
        <f t="shared" ca="1" si="26"/>
        <v>0.54862769871289763</v>
      </c>
      <c r="AQ14" s="83">
        <f t="shared" ca="1" si="27"/>
        <v>1.2230884675433413</v>
      </c>
      <c r="AR14" s="83">
        <f t="shared" ca="1" si="28"/>
        <v>2.6907946285953508</v>
      </c>
      <c r="AS14" s="83">
        <f t="shared" ca="1" si="29"/>
        <v>0.61154423377167066</v>
      </c>
      <c r="AT14" s="83">
        <f t="shared" ca="1" si="30"/>
        <v>8.6186796791144964</v>
      </c>
      <c r="AU14" s="83">
        <f t="shared" ca="1" si="31"/>
        <v>0.32889444733568296</v>
      </c>
      <c r="AV14" s="83">
        <f t="shared" ca="1" si="32"/>
        <v>1.7792774851488853</v>
      </c>
      <c r="AW14" s="83">
        <f t="shared" ca="1" si="33"/>
        <v>0.16444722366784148</v>
      </c>
      <c r="AX14" s="83">
        <f t="shared" ca="1" si="34"/>
        <v>0.85616192728033891</v>
      </c>
      <c r="AY14" s="83">
        <f t="shared" ca="1" si="35"/>
        <v>1.8119829148790243</v>
      </c>
      <c r="AZ14" s="83">
        <f t="shared" ca="1" si="36"/>
        <v>0.42808096364016945</v>
      </c>
      <c r="BA14" s="83">
        <f t="shared" ca="1" si="37"/>
        <v>9.1299572871975609</v>
      </c>
      <c r="BB14" s="83">
        <f t="shared" ca="1" si="38"/>
        <v>0.64007919366098298</v>
      </c>
      <c r="BC14" s="83">
        <f t="shared" ca="1" si="39"/>
        <v>2.6540064652458559</v>
      </c>
      <c r="BD14" s="83">
        <f t="shared" ca="1" si="40"/>
        <v>0.32003959683049149</v>
      </c>
      <c r="BE14" s="83">
        <f t="shared" ca="1" si="41"/>
        <v>1.3182175705744901</v>
      </c>
      <c r="BF14" s="83">
        <f t="shared" ca="1" si="42"/>
        <v>1.576425135944751</v>
      </c>
      <c r="BG14" s="83">
        <f t="shared" ca="1" si="43"/>
        <v>8.0434923700210508</v>
      </c>
      <c r="BH14" s="83">
        <f t="shared" ca="1" si="44"/>
        <v>2.8231320283186321</v>
      </c>
      <c r="BI14" s="83">
        <f t="shared" ca="1" si="45"/>
        <v>0.60971970621461224</v>
      </c>
      <c r="BJ14" s="83">
        <f t="shared" ca="1" si="46"/>
        <v>2.1970292842908168</v>
      </c>
      <c r="BK14" s="83">
        <f t="shared" ca="1" si="47"/>
        <v>1.195908723820156</v>
      </c>
      <c r="BL14" s="83">
        <f t="shared" ca="1" si="48"/>
        <v>3.4785137264222707</v>
      </c>
      <c r="BM14" s="83">
        <f t="shared" ca="1" si="49"/>
        <v>2.8841826690106687</v>
      </c>
      <c r="BN14" s="83">
        <f t="shared" ca="1" si="50"/>
        <v>0.13155777893427317</v>
      </c>
      <c r="BO14" s="83">
        <f t="shared" ca="1" si="51"/>
        <v>0.81539231169556081</v>
      </c>
      <c r="BP14" s="83">
        <f t="shared" ca="1" si="52"/>
        <v>0.30803709552943415</v>
      </c>
      <c r="BQ14" s="83">
        <f t="shared" ca="1" si="53"/>
        <v>2.7846369725952562</v>
      </c>
      <c r="BR14" s="83">
        <f t="shared" ca="1" si="54"/>
        <v>4.2535250713360639</v>
      </c>
      <c r="BS14" s="83">
        <f t="shared" ca="1" si="55"/>
        <v>0.34154423377167081</v>
      </c>
      <c r="BT14" s="83">
        <f t="shared" ca="1" si="56"/>
        <v>1.286507869564107</v>
      </c>
      <c r="BU14" s="83">
        <f t="shared" ca="1" si="57"/>
        <v>1.1053095780762048</v>
      </c>
      <c r="BV14" s="83">
        <f t="shared" ca="1" si="58"/>
        <v>4.1541305656748904</v>
      </c>
      <c r="BW14" s="83">
        <f t="shared" ca="1" si="59"/>
        <v>3.6671926742148977</v>
      </c>
      <c r="BX14" s="83">
        <f t="shared" ca="1" si="60"/>
        <v>0.30612483175090494</v>
      </c>
      <c r="BY14" s="83">
        <f t="shared" ca="1" si="61"/>
        <v>1.286507869564107</v>
      </c>
      <c r="BZ14" s="83">
        <f t="shared" ca="1" si="62"/>
        <v>1.1053095780762048</v>
      </c>
      <c r="CA14" s="83">
        <f t="shared" ca="1" si="63"/>
        <v>5.761003048221661</v>
      </c>
      <c r="CB14" s="83">
        <f t="shared" ca="1" si="64"/>
        <v>2.9663117720418173</v>
      </c>
      <c r="CC14" s="83">
        <f t="shared" ca="1" si="65"/>
        <v>0.37443367850523906</v>
      </c>
      <c r="CD14" s="83">
        <f t="shared" ca="1" si="66"/>
        <v>3.70676265860221</v>
      </c>
      <c r="CE14" s="83">
        <f t="shared" ca="1" si="67"/>
        <v>2.2241077466299295</v>
      </c>
      <c r="CF14" s="83">
        <f t="shared" ca="1" si="68"/>
        <v>6.3467319053844538</v>
      </c>
      <c r="CG14" s="83">
        <f t="shared" ca="1" si="69"/>
        <v>2.2241077466299295</v>
      </c>
      <c r="CH14" s="83">
        <f t="shared" ca="1" si="70"/>
        <v>3.5678689636885279</v>
      </c>
      <c r="CI14" s="83">
        <f t="shared" ca="1" si="71"/>
        <v>9.4635115261734608</v>
      </c>
      <c r="CJ14" s="83">
        <f t="shared" ca="1" si="72"/>
        <v>3.5678689636885279</v>
      </c>
      <c r="CK14" s="83">
        <f t="shared" ca="1" si="73"/>
        <v>2.2824893217993902</v>
      </c>
    </row>
    <row r="15" spans="1:89" x14ac:dyDescent="0.25">
      <c r="A15" t="str">
        <f>Plantilla!D16</f>
        <v>M. Bondarewski</v>
      </c>
      <c r="B15" s="322">
        <f>Plantilla!E16</f>
        <v>18</v>
      </c>
      <c r="C15" s="116">
        <f ca="1">Plantilla!F16</f>
        <v>100</v>
      </c>
      <c r="D15" s="322" t="str">
        <f>Plantilla!G16</f>
        <v>RAP</v>
      </c>
      <c r="E15" s="267">
        <f>Plantilla!O16</f>
        <v>43627</v>
      </c>
      <c r="F15" s="116">
        <f>Plantilla!Q16</f>
        <v>5</v>
      </c>
      <c r="G15" s="143">
        <f t="shared" si="0"/>
        <v>0.84515425472851657</v>
      </c>
      <c r="H15" s="143">
        <f t="shared" si="1"/>
        <v>0.92504826128926143</v>
      </c>
      <c r="I15" s="196">
        <f ca="1">Plantilla!P16</f>
        <v>0.20385623665224431</v>
      </c>
      <c r="J15" s="197">
        <f>Plantilla!I16</f>
        <v>1.6</v>
      </c>
      <c r="K15" s="49">
        <f>Plantilla!X16</f>
        <v>0</v>
      </c>
      <c r="L15" s="49">
        <f>Plantilla!Y16</f>
        <v>2</v>
      </c>
      <c r="M15" s="49">
        <f>Plantilla!Z16</f>
        <v>8.8000000000000007</v>
      </c>
      <c r="N15" s="49">
        <f>Plantilla!AA16</f>
        <v>5</v>
      </c>
      <c r="O15" s="49">
        <f>Plantilla!AB16</f>
        <v>4</v>
      </c>
      <c r="P15" s="49">
        <f>Plantilla!AC16</f>
        <v>8</v>
      </c>
      <c r="Q15" s="49">
        <f>Plantilla!AD16</f>
        <v>6</v>
      </c>
      <c r="R15" s="197">
        <f t="shared" si="2"/>
        <v>1.625</v>
      </c>
      <c r="S15" s="197">
        <f t="shared" ca="1" si="3"/>
        <v>10.031995831894251</v>
      </c>
      <c r="T15" s="49">
        <f t="shared" si="4"/>
        <v>0.57999999999999996</v>
      </c>
      <c r="U15" s="49">
        <f t="shared" si="5"/>
        <v>0.25999999999999995</v>
      </c>
      <c r="V15" s="197">
        <f t="shared" ca="1" si="6"/>
        <v>5.544917709030587</v>
      </c>
      <c r="W15" s="197">
        <f t="shared" ca="1" si="7"/>
        <v>6.0690891124702873</v>
      </c>
      <c r="X15" s="83">
        <f t="shared" ca="1" si="8"/>
        <v>0.96756215440890569</v>
      </c>
      <c r="Y15" s="83">
        <f t="shared" ca="1" si="9"/>
        <v>1.4645369316631127</v>
      </c>
      <c r="Z15" s="83">
        <f t="shared" ca="1" si="10"/>
        <v>0.96756215440890569</v>
      </c>
      <c r="AA15" s="83">
        <f t="shared" ca="1" si="11"/>
        <v>1.2776243661798345</v>
      </c>
      <c r="AB15" s="83">
        <f t="shared" ca="1" si="12"/>
        <v>2.4760162135268109</v>
      </c>
      <c r="AC15" s="83">
        <f t="shared" ca="1" si="13"/>
        <v>0.63881218308991727</v>
      </c>
      <c r="AD15" s="83">
        <f t="shared" ca="1" si="14"/>
        <v>2.2076918588193815</v>
      </c>
      <c r="AE15" s="83">
        <f t="shared" ca="1" si="15"/>
        <v>0.93593412871313453</v>
      </c>
      <c r="AF15" s="83">
        <f t="shared" ca="1" si="16"/>
        <v>1.7901597223798842</v>
      </c>
      <c r="AG15" s="83">
        <f t="shared" ca="1" si="17"/>
        <v>0.46796706435656726</v>
      </c>
      <c r="AH15" s="83">
        <f t="shared" ca="1" si="18"/>
        <v>3.5712662422078227</v>
      </c>
      <c r="AI15" s="83">
        <f t="shared" ca="1" si="19"/>
        <v>2.2779349164446661</v>
      </c>
      <c r="AJ15" s="83">
        <f t="shared" ca="1" si="20"/>
        <v>1.0250707124000997</v>
      </c>
      <c r="AK15" s="83">
        <f t="shared" ca="1" si="21"/>
        <v>1.5490947076589778</v>
      </c>
      <c r="AL15" s="83">
        <f t="shared" ca="1" si="22"/>
        <v>3.2198975335537647</v>
      </c>
      <c r="AM15" s="83">
        <f t="shared" ca="1" si="23"/>
        <v>1.8669162249992155</v>
      </c>
      <c r="AN15" s="83">
        <f t="shared" ca="1" si="24"/>
        <v>1.753019479176982</v>
      </c>
      <c r="AO15" s="83">
        <f t="shared" ca="1" si="25"/>
        <v>1.0814947076589774</v>
      </c>
      <c r="AP15" s="83">
        <f t="shared" ca="1" si="26"/>
        <v>0.60509266949572149</v>
      </c>
      <c r="AQ15" s="83">
        <f t="shared" ca="1" si="27"/>
        <v>0.66852437765223893</v>
      </c>
      <c r="AR15" s="83">
        <f t="shared" ca="1" si="28"/>
        <v>1.4707536308349256</v>
      </c>
      <c r="AS15" s="83">
        <f t="shared" ca="1" si="29"/>
        <v>0.33426218882611947</v>
      </c>
      <c r="AT15" s="83">
        <f t="shared" ca="1" si="30"/>
        <v>8.7565593055693114</v>
      </c>
      <c r="AU15" s="83">
        <f t="shared" ca="1" si="31"/>
        <v>0.58188210775848548</v>
      </c>
      <c r="AV15" s="83">
        <f t="shared" ca="1" si="32"/>
        <v>2.0034727505633558</v>
      </c>
      <c r="AW15" s="83">
        <f t="shared" ca="1" si="33"/>
        <v>0.29094105387924274</v>
      </c>
      <c r="AX15" s="83">
        <f t="shared" ca="1" si="34"/>
        <v>0.46796706435656726</v>
      </c>
      <c r="AY15" s="83">
        <f t="shared" ca="1" si="35"/>
        <v>0.9904064854107244</v>
      </c>
      <c r="AZ15" s="83">
        <f t="shared" ca="1" si="36"/>
        <v>0.23398353217828363</v>
      </c>
      <c r="BA15" s="83">
        <f t="shared" ca="1" si="37"/>
        <v>9.2760162135268125</v>
      </c>
      <c r="BB15" s="83">
        <f t="shared" ca="1" si="38"/>
        <v>1.1324321020222832</v>
      </c>
      <c r="BC15" s="83">
        <f t="shared" ca="1" si="39"/>
        <v>3.3062849336532727</v>
      </c>
      <c r="BD15" s="83">
        <f t="shared" ca="1" si="40"/>
        <v>0.56621605101114159</v>
      </c>
      <c r="BE15" s="83">
        <f t="shared" ca="1" si="41"/>
        <v>0.72052071813630192</v>
      </c>
      <c r="BF15" s="83">
        <f t="shared" ca="1" si="42"/>
        <v>0.8616536423073301</v>
      </c>
      <c r="BG15" s="83">
        <f t="shared" ca="1" si="43"/>
        <v>8.1721702841171222</v>
      </c>
      <c r="BH15" s="83">
        <f t="shared" ca="1" si="44"/>
        <v>4.5531784138253348</v>
      </c>
      <c r="BI15" s="83">
        <f t="shared" ca="1" si="45"/>
        <v>1.0787199074599614</v>
      </c>
      <c r="BJ15" s="83">
        <f t="shared" ca="1" si="46"/>
        <v>1.2008678635605032</v>
      </c>
      <c r="BK15" s="83">
        <f t="shared" ca="1" si="47"/>
        <v>0.65366828037107816</v>
      </c>
      <c r="BL15" s="83">
        <f t="shared" ca="1" si="48"/>
        <v>3.5341621773537155</v>
      </c>
      <c r="BM15" s="83">
        <f t="shared" ca="1" si="49"/>
        <v>4.5850381706224335</v>
      </c>
      <c r="BN15" s="83">
        <f t="shared" ca="1" si="50"/>
        <v>0.23275284310339417</v>
      </c>
      <c r="BO15" s="83">
        <f t="shared" ca="1" si="51"/>
        <v>0.44568291843482594</v>
      </c>
      <c r="BP15" s="83">
        <f t="shared" ca="1" si="52"/>
        <v>0.16836910251982315</v>
      </c>
      <c r="BQ15" s="83">
        <f t="shared" ca="1" si="53"/>
        <v>2.8291849451256779</v>
      </c>
      <c r="BR15" s="83">
        <f t="shared" ca="1" si="54"/>
        <v>6.7561568505954792</v>
      </c>
      <c r="BS15" s="83">
        <f t="shared" ca="1" si="55"/>
        <v>0.60426218882611948</v>
      </c>
      <c r="BT15" s="83">
        <f t="shared" ca="1" si="56"/>
        <v>0.70318860464161426</v>
      </c>
      <c r="BU15" s="83">
        <f t="shared" ca="1" si="57"/>
        <v>0.60414795610054184</v>
      </c>
      <c r="BV15" s="83">
        <f t="shared" ca="1" si="58"/>
        <v>4.2205873771546996</v>
      </c>
      <c r="BW15" s="83">
        <f t="shared" ca="1" si="59"/>
        <v>5.823425964587706</v>
      </c>
      <c r="BX15" s="83">
        <f t="shared" ca="1" si="60"/>
        <v>0.54159796183674414</v>
      </c>
      <c r="BY15" s="83">
        <f t="shared" ca="1" si="61"/>
        <v>0.70318860464161426</v>
      </c>
      <c r="BZ15" s="83">
        <f t="shared" ca="1" si="62"/>
        <v>0.60414795610054184</v>
      </c>
      <c r="CA15" s="83">
        <f t="shared" ca="1" si="63"/>
        <v>5.8531662307354191</v>
      </c>
      <c r="CB15" s="83">
        <f t="shared" ca="1" si="64"/>
        <v>4.7080345111064954</v>
      </c>
      <c r="CC15" s="83">
        <f t="shared" ca="1" si="65"/>
        <v>0.66245039960196794</v>
      </c>
      <c r="CD15" s="83">
        <f t="shared" ca="1" si="66"/>
        <v>3.7660625826918861</v>
      </c>
      <c r="CE15" s="83">
        <f t="shared" ca="1" si="67"/>
        <v>2.9840044472474685</v>
      </c>
      <c r="CF15" s="83">
        <f t="shared" ca="1" si="68"/>
        <v>7.37199425643119</v>
      </c>
      <c r="CG15" s="83">
        <f t="shared" ca="1" si="69"/>
        <v>2.9840044472474685</v>
      </c>
      <c r="CH15" s="83">
        <f t="shared" ca="1" si="70"/>
        <v>4.256555479497619</v>
      </c>
      <c r="CI15" s="83">
        <f t="shared" ca="1" si="71"/>
        <v>10.127666196318206</v>
      </c>
      <c r="CJ15" s="83">
        <f t="shared" ca="1" si="72"/>
        <v>4.256555479497619</v>
      </c>
      <c r="CK15" s="83">
        <f t="shared" ca="1" si="73"/>
        <v>2.3190040533817031</v>
      </c>
    </row>
    <row r="16" spans="1:89" x14ac:dyDescent="0.25">
      <c r="A16" t="str">
        <f>Plantilla!D17</f>
        <v>J. Vartiainen</v>
      </c>
      <c r="B16" s="322">
        <f>Plantilla!E17</f>
        <v>19</v>
      </c>
      <c r="C16" s="116">
        <f ca="1">Plantilla!F17</f>
        <v>34</v>
      </c>
      <c r="D16" s="322" t="str">
        <f>Plantilla!G17</f>
        <v>CAB</v>
      </c>
      <c r="E16" s="267">
        <f>Plantilla!O17</f>
        <v>43628</v>
      </c>
      <c r="F16" s="116">
        <f>Plantilla!Q17</f>
        <v>5</v>
      </c>
      <c r="G16" s="143">
        <f t="shared" si="0"/>
        <v>0.84515425472851657</v>
      </c>
      <c r="H16" s="143">
        <f t="shared" si="1"/>
        <v>0.92504826128926143</v>
      </c>
      <c r="I16" s="196">
        <f ca="1">Plantilla!P17</f>
        <v>0.199166215696265</v>
      </c>
      <c r="J16" s="197">
        <f>Plantilla!I17</f>
        <v>0.3</v>
      </c>
      <c r="K16" s="49">
        <f>Plantilla!X17</f>
        <v>0</v>
      </c>
      <c r="L16" s="49">
        <f>Plantilla!Y17</f>
        <v>7</v>
      </c>
      <c r="M16" s="49">
        <f>Plantilla!Z17</f>
        <v>7.7111111111111104</v>
      </c>
      <c r="N16" s="49">
        <f>Plantilla!AA17</f>
        <v>1</v>
      </c>
      <c r="O16" s="49">
        <f>Plantilla!AB17</f>
        <v>1</v>
      </c>
      <c r="P16" s="49">
        <f>Plantilla!AC17</f>
        <v>6</v>
      </c>
      <c r="Q16" s="49">
        <f>Plantilla!AD17</f>
        <v>1</v>
      </c>
      <c r="R16" s="197">
        <f t="shared" si="2"/>
        <v>1.5</v>
      </c>
      <c r="S16" s="197">
        <f t="shared" ca="1" si="3"/>
        <v>1.8094079672626862</v>
      </c>
      <c r="T16" s="49">
        <f t="shared" si="4"/>
        <v>0.32999999999999996</v>
      </c>
      <c r="U16" s="49">
        <f t="shared" si="5"/>
        <v>0.31</v>
      </c>
      <c r="V16" s="197">
        <f t="shared" ca="1" si="6"/>
        <v>0.49551537156244652</v>
      </c>
      <c r="W16" s="197">
        <f t="shared" ca="1" si="7"/>
        <v>0.54235736298006865</v>
      </c>
      <c r="X16" s="83">
        <f t="shared" ca="1" si="8"/>
        <v>1.4972412467965266</v>
      </c>
      <c r="Y16" s="83">
        <f t="shared" ca="1" si="9"/>
        <v>2.3320749709213238</v>
      </c>
      <c r="Z16" s="83">
        <f t="shared" ca="1" si="10"/>
        <v>1.4972412467965266</v>
      </c>
      <c r="AA16" s="83">
        <f t="shared" ca="1" si="11"/>
        <v>3.3550291905464009</v>
      </c>
      <c r="AB16" s="83">
        <f t="shared" ca="1" si="12"/>
        <v>6.5019945553224821</v>
      </c>
      <c r="AC16" s="83">
        <f t="shared" ca="1" si="13"/>
        <v>1.6775145952732005</v>
      </c>
      <c r="AD16" s="83">
        <f t="shared" ca="1" si="14"/>
        <v>1.716719148611195</v>
      </c>
      <c r="AE16" s="83">
        <f t="shared" ca="1" si="15"/>
        <v>2.4577539419118981</v>
      </c>
      <c r="AF16" s="83">
        <f t="shared" ca="1" si="16"/>
        <v>4.7009420634981547</v>
      </c>
      <c r="AG16" s="83">
        <f t="shared" ca="1" si="17"/>
        <v>1.2288769709559491</v>
      </c>
      <c r="AH16" s="83">
        <f t="shared" ca="1" si="18"/>
        <v>2.7770456815769333</v>
      </c>
      <c r="AI16" s="83">
        <f t="shared" ca="1" si="19"/>
        <v>5.9818349908966839</v>
      </c>
      <c r="AJ16" s="83">
        <f t="shared" ca="1" si="20"/>
        <v>2.6918257459035075</v>
      </c>
      <c r="AK16" s="83">
        <f t="shared" ca="1" si="21"/>
        <v>1.20458864629441</v>
      </c>
      <c r="AL16" s="83">
        <f t="shared" ca="1" si="22"/>
        <v>0.29517279852961908</v>
      </c>
      <c r="AM16" s="83">
        <f t="shared" ca="1" si="23"/>
        <v>4.9025038947131518</v>
      </c>
      <c r="AN16" s="83">
        <f t="shared" ca="1" si="24"/>
        <v>4.603412145168317</v>
      </c>
      <c r="AO16" s="83">
        <f t="shared" ca="1" si="25"/>
        <v>8.3833090738854421E-2</v>
      </c>
      <c r="AP16" s="83">
        <f t="shared" ca="1" si="26"/>
        <v>0.28857443193287469</v>
      </c>
      <c r="AQ16" s="83">
        <f t="shared" ca="1" si="27"/>
        <v>1.7555385299370703</v>
      </c>
      <c r="AR16" s="83">
        <f t="shared" ca="1" si="28"/>
        <v>3.8621847658615542</v>
      </c>
      <c r="AS16" s="83">
        <f t="shared" ca="1" si="29"/>
        <v>0.87776926496853513</v>
      </c>
      <c r="AT16" s="83">
        <f t="shared" ca="1" si="30"/>
        <v>6.809171749113311</v>
      </c>
      <c r="AU16" s="83">
        <f t="shared" ca="1" si="31"/>
        <v>6.5259292191922599E-2</v>
      </c>
      <c r="AV16" s="83">
        <f t="shared" ca="1" si="32"/>
        <v>1.012084404709487</v>
      </c>
      <c r="AW16" s="83">
        <f t="shared" ca="1" si="33"/>
        <v>3.26296460959613E-2</v>
      </c>
      <c r="AX16" s="83">
        <f t="shared" ca="1" si="34"/>
        <v>1.2288769709559491</v>
      </c>
      <c r="AY16" s="83">
        <f t="shared" ca="1" si="35"/>
        <v>2.6007978221289929</v>
      </c>
      <c r="AZ16" s="83">
        <f t="shared" ca="1" si="36"/>
        <v>0.61443848547797453</v>
      </c>
      <c r="BA16" s="83">
        <f t="shared" ca="1" si="37"/>
        <v>7.2131056664335924</v>
      </c>
      <c r="BB16" s="83">
        <f t="shared" ca="1" si="38"/>
        <v>0.12700462249658781</v>
      </c>
      <c r="BC16" s="83">
        <f t="shared" ca="1" si="39"/>
        <v>1.3265989999826875</v>
      </c>
      <c r="BD16" s="83">
        <f t="shared" ca="1" si="40"/>
        <v>6.3502311248293905E-2</v>
      </c>
      <c r="BE16" s="83">
        <f t="shared" ca="1" si="41"/>
        <v>1.8920804155988422</v>
      </c>
      <c r="BF16" s="83">
        <f t="shared" ca="1" si="42"/>
        <v>2.2626941052522236</v>
      </c>
      <c r="BG16" s="83">
        <f t="shared" ca="1" si="43"/>
        <v>6.3547460921279946</v>
      </c>
      <c r="BH16" s="83">
        <f t="shared" ca="1" si="44"/>
        <v>0.44627315968168602</v>
      </c>
      <c r="BI16" s="83">
        <f t="shared" ca="1" si="45"/>
        <v>0.12098068783271804</v>
      </c>
      <c r="BJ16" s="83">
        <f t="shared" ca="1" si="46"/>
        <v>3.1534673593314038</v>
      </c>
      <c r="BK16" s="83">
        <f t="shared" ca="1" si="47"/>
        <v>1.7165265626051354</v>
      </c>
      <c r="BL16" s="83">
        <f t="shared" ca="1" si="48"/>
        <v>2.7481932589111988</v>
      </c>
      <c r="BM16" s="83">
        <f t="shared" ca="1" si="49"/>
        <v>0.43874324135184883</v>
      </c>
      <c r="BN16" s="83">
        <f t="shared" ca="1" si="50"/>
        <v>2.6103716876769035E-2</v>
      </c>
      <c r="BO16" s="83">
        <f t="shared" ca="1" si="51"/>
        <v>1.1703590199580467</v>
      </c>
      <c r="BP16" s="83">
        <f t="shared" ca="1" si="52"/>
        <v>0.44213562976192883</v>
      </c>
      <c r="BQ16" s="83">
        <f t="shared" ca="1" si="53"/>
        <v>2.1999972282622458</v>
      </c>
      <c r="BR16" s="83">
        <f t="shared" ca="1" si="54"/>
        <v>0.64556499814471113</v>
      </c>
      <c r="BS16" s="83">
        <f t="shared" ca="1" si="55"/>
        <v>6.7769264968535012E-2</v>
      </c>
      <c r="BT16" s="83">
        <f t="shared" ca="1" si="56"/>
        <v>1.8465664537115847</v>
      </c>
      <c r="BU16" s="83">
        <f t="shared" ca="1" si="57"/>
        <v>1.5864866714986856</v>
      </c>
      <c r="BV16" s="83">
        <f t="shared" ca="1" si="58"/>
        <v>3.2819630782272848</v>
      </c>
      <c r="BW16" s="83">
        <f t="shared" ca="1" si="59"/>
        <v>0.55620996729730954</v>
      </c>
      <c r="BX16" s="83">
        <f t="shared" ca="1" si="60"/>
        <v>6.0741341194020262E-2</v>
      </c>
      <c r="BY16" s="83">
        <f t="shared" ca="1" si="61"/>
        <v>1.8465664537115847</v>
      </c>
      <c r="BZ16" s="83">
        <f t="shared" ca="1" si="62"/>
        <v>1.5864866714986856</v>
      </c>
      <c r="CA16" s="83">
        <f t="shared" ca="1" si="63"/>
        <v>4.5514696755195967</v>
      </c>
      <c r="CB16" s="83">
        <f t="shared" ca="1" si="64"/>
        <v>0.44928512701362094</v>
      </c>
      <c r="CC16" s="83">
        <f t="shared" ca="1" si="65"/>
        <v>7.4295194187727259E-2</v>
      </c>
      <c r="CD16" s="83">
        <f t="shared" ca="1" si="66"/>
        <v>2.9285209005720385</v>
      </c>
      <c r="CE16" s="83">
        <f t="shared" ca="1" si="67"/>
        <v>0.89653916332301287</v>
      </c>
      <c r="CF16" s="83">
        <f t="shared" ca="1" si="68"/>
        <v>3.4802458692931144</v>
      </c>
      <c r="CG16" s="83">
        <f t="shared" ca="1" si="69"/>
        <v>0.89653916332301287</v>
      </c>
      <c r="CH16" s="83">
        <f t="shared" ca="1" si="70"/>
        <v>1.8209593918848772</v>
      </c>
      <c r="CI16" s="83">
        <f t="shared" ca="1" si="71"/>
        <v>5.6872305462364778</v>
      </c>
      <c r="CJ16" s="83">
        <f t="shared" ca="1" si="72"/>
        <v>1.8209593918848772</v>
      </c>
      <c r="CK16" s="83">
        <f t="shared" ca="1" si="73"/>
        <v>1.8032764166083981</v>
      </c>
    </row>
    <row r="17" spans="1:89" x14ac:dyDescent="0.25">
      <c r="A17" t="str">
        <f>Plantilla!D18</f>
        <v>R. Forsyth</v>
      </c>
      <c r="B17" s="322">
        <f>Plantilla!E18</f>
        <v>19</v>
      </c>
      <c r="C17" s="116">
        <f ca="1">Plantilla!F18</f>
        <v>29</v>
      </c>
      <c r="D17" s="322" t="str">
        <f>Plantilla!G18</f>
        <v>POT</v>
      </c>
      <c r="E17" s="267">
        <f>Plantilla!O18</f>
        <v>43626</v>
      </c>
      <c r="F17" s="116">
        <f>Plantilla!Q18</f>
        <v>5</v>
      </c>
      <c r="G17" s="143">
        <f t="shared" si="0"/>
        <v>0.84515425472851657</v>
      </c>
      <c r="H17" s="143">
        <f t="shared" si="1"/>
        <v>0.92504826128926143</v>
      </c>
      <c r="I17" s="196">
        <f ca="1">Plantilla!P18</f>
        <v>0.20848632838563147</v>
      </c>
      <c r="J17" s="197">
        <f>Plantilla!I18</f>
        <v>1.8</v>
      </c>
      <c r="K17" s="49">
        <f>Plantilla!X18</f>
        <v>0</v>
      </c>
      <c r="L17" s="49">
        <f>Plantilla!Y18</f>
        <v>7</v>
      </c>
      <c r="M17" s="49">
        <f>Plantilla!Z18</f>
        <v>8</v>
      </c>
      <c r="N17" s="49">
        <f>Plantilla!AA18</f>
        <v>2</v>
      </c>
      <c r="O17" s="49">
        <f>Plantilla!AB18</f>
        <v>4</v>
      </c>
      <c r="P17" s="49">
        <f>Plantilla!AC18</f>
        <v>6</v>
      </c>
      <c r="Q17" s="49">
        <f>Plantilla!AD18</f>
        <v>2</v>
      </c>
      <c r="R17" s="197">
        <f t="shared" si="2"/>
        <v>2.25</v>
      </c>
      <c r="S17" s="197">
        <f t="shared" ca="1" si="3"/>
        <v>4.6729577674366531</v>
      </c>
      <c r="T17" s="49">
        <f t="shared" si="4"/>
        <v>0.36</v>
      </c>
      <c r="U17" s="49">
        <f t="shared" si="5"/>
        <v>0.34</v>
      </c>
      <c r="V17" s="197">
        <f t="shared" ca="1" si="6"/>
        <v>2.2262615299401283</v>
      </c>
      <c r="W17" s="197">
        <f t="shared" ca="1" si="7"/>
        <v>2.4367141807832633</v>
      </c>
      <c r="X17" s="83">
        <f t="shared" ca="1" si="8"/>
        <v>2.4111457606209044</v>
      </c>
      <c r="Y17" s="83">
        <f t="shared" ca="1" si="9"/>
        <v>3.6835649220636739</v>
      </c>
      <c r="Z17" s="83">
        <f t="shared" ca="1" si="10"/>
        <v>2.4111457606209044</v>
      </c>
      <c r="AA17" s="83">
        <f t="shared" ca="1" si="11"/>
        <v>3.8952064289580601</v>
      </c>
      <c r="AB17" s="83">
        <f t="shared" ca="1" si="12"/>
        <v>7.5488496685233724</v>
      </c>
      <c r="AC17" s="83">
        <f t="shared" ca="1" si="13"/>
        <v>1.9476032144790301</v>
      </c>
      <c r="AD17" s="83">
        <f t="shared" ca="1" si="14"/>
        <v>2.0346262211085628</v>
      </c>
      <c r="AE17" s="83">
        <f t="shared" ca="1" si="15"/>
        <v>2.8534651747018347</v>
      </c>
      <c r="AF17" s="83">
        <f t="shared" ca="1" si="16"/>
        <v>5.4578183103423976</v>
      </c>
      <c r="AG17" s="83">
        <f t="shared" ca="1" si="17"/>
        <v>1.4267325873509173</v>
      </c>
      <c r="AH17" s="83">
        <f t="shared" ca="1" si="18"/>
        <v>3.2913071223814989</v>
      </c>
      <c r="AI17" s="83">
        <f t="shared" ca="1" si="19"/>
        <v>6.9449416950415026</v>
      </c>
      <c r="AJ17" s="83">
        <f t="shared" ca="1" si="20"/>
        <v>3.1252237627686759</v>
      </c>
      <c r="AK17" s="83">
        <f t="shared" ca="1" si="21"/>
        <v>1.4276578946434035</v>
      </c>
      <c r="AL17" s="83">
        <f t="shared" ca="1" si="22"/>
        <v>1.4987236050917432</v>
      </c>
      <c r="AM17" s="83">
        <f t="shared" ca="1" si="23"/>
        <v>5.6918326500666225</v>
      </c>
      <c r="AN17" s="83">
        <f t="shared" ca="1" si="24"/>
        <v>5.3445855653145475</v>
      </c>
      <c r="AO17" s="83">
        <f t="shared" ca="1" si="25"/>
        <v>0.42565789464340326</v>
      </c>
      <c r="AP17" s="83">
        <f t="shared" ca="1" si="26"/>
        <v>0.80606870453473134</v>
      </c>
      <c r="AQ17" s="83">
        <f t="shared" ca="1" si="27"/>
        <v>2.0381894105013107</v>
      </c>
      <c r="AR17" s="83">
        <f t="shared" ca="1" si="28"/>
        <v>4.484016703102883</v>
      </c>
      <c r="AS17" s="83">
        <f t="shared" ca="1" si="29"/>
        <v>1.0190947052506554</v>
      </c>
      <c r="AT17" s="83">
        <f t="shared" ca="1" si="30"/>
        <v>8.0701140870860648</v>
      </c>
      <c r="AU17" s="83">
        <f t="shared" ca="1" si="31"/>
        <v>0.59135045690803845</v>
      </c>
      <c r="AV17" s="83">
        <f t="shared" ca="1" si="32"/>
        <v>1.6788129528773479</v>
      </c>
      <c r="AW17" s="83">
        <f t="shared" ca="1" si="33"/>
        <v>0.29567522845401922</v>
      </c>
      <c r="AX17" s="83">
        <f t="shared" ca="1" si="34"/>
        <v>1.4267325873509173</v>
      </c>
      <c r="AY17" s="83">
        <f t="shared" ca="1" si="35"/>
        <v>3.0195398674093492</v>
      </c>
      <c r="AZ17" s="83">
        <f t="shared" ca="1" si="36"/>
        <v>0.71336629367545867</v>
      </c>
      <c r="BA17" s="83">
        <f t="shared" ca="1" si="37"/>
        <v>8.5488496685233741</v>
      </c>
      <c r="BB17" s="83">
        <f t="shared" ca="1" si="38"/>
        <v>1.1508589661364133</v>
      </c>
      <c r="BC17" s="83">
        <f t="shared" ca="1" si="39"/>
        <v>2.9264161673563782</v>
      </c>
      <c r="BD17" s="83">
        <f t="shared" ca="1" si="40"/>
        <v>0.57542948306820663</v>
      </c>
      <c r="BE17" s="83">
        <f t="shared" ca="1" si="41"/>
        <v>2.1967152535403014</v>
      </c>
      <c r="BF17" s="83">
        <f t="shared" ca="1" si="42"/>
        <v>2.6269996846461332</v>
      </c>
      <c r="BG17" s="83">
        <f t="shared" ca="1" si="43"/>
        <v>7.5315365579690923</v>
      </c>
      <c r="BH17" s="83">
        <f t="shared" ca="1" si="44"/>
        <v>2.8959273553172782</v>
      </c>
      <c r="BI17" s="83">
        <f t="shared" ca="1" si="45"/>
        <v>1.0962727701141326</v>
      </c>
      <c r="BJ17" s="83">
        <f t="shared" ca="1" si="46"/>
        <v>3.6611920892338357</v>
      </c>
      <c r="BK17" s="83">
        <f t="shared" ca="1" si="47"/>
        <v>1.9928963124901704</v>
      </c>
      <c r="BL17" s="83">
        <f t="shared" ca="1" si="48"/>
        <v>3.2571117237074056</v>
      </c>
      <c r="BM17" s="83">
        <f t="shared" ca="1" si="49"/>
        <v>2.6296946102894281</v>
      </c>
      <c r="BN17" s="83">
        <f t="shared" ca="1" si="50"/>
        <v>0.23654018276321534</v>
      </c>
      <c r="BO17" s="83">
        <f t="shared" ca="1" si="51"/>
        <v>1.3587929403342069</v>
      </c>
      <c r="BP17" s="83">
        <f t="shared" ca="1" si="52"/>
        <v>0.5133217774595894</v>
      </c>
      <c r="BQ17" s="83">
        <f t="shared" ca="1" si="53"/>
        <v>2.6073991488996291</v>
      </c>
      <c r="BR17" s="83">
        <f t="shared" ca="1" si="54"/>
        <v>3.849820673721057</v>
      </c>
      <c r="BS17" s="83">
        <f t="shared" ca="1" si="55"/>
        <v>0.61409470525065535</v>
      </c>
      <c r="BT17" s="83">
        <f t="shared" ca="1" si="56"/>
        <v>2.1438733058606374</v>
      </c>
      <c r="BU17" s="83">
        <f t="shared" ca="1" si="57"/>
        <v>1.8419193191197027</v>
      </c>
      <c r="BV17" s="83">
        <f t="shared" ca="1" si="58"/>
        <v>3.8897265991781356</v>
      </c>
      <c r="BW17" s="83">
        <f t="shared" ca="1" si="59"/>
        <v>3.3121254327238967</v>
      </c>
      <c r="BX17" s="83">
        <f t="shared" ca="1" si="60"/>
        <v>0.55041080989132807</v>
      </c>
      <c r="BY17" s="83">
        <f t="shared" ca="1" si="61"/>
        <v>2.1438733058606374</v>
      </c>
      <c r="BZ17" s="83">
        <f t="shared" ca="1" si="62"/>
        <v>1.8419193191197027</v>
      </c>
      <c r="CA17" s="83">
        <f t="shared" ca="1" si="63"/>
        <v>5.3943241408382487</v>
      </c>
      <c r="CB17" s="83">
        <f t="shared" ca="1" si="64"/>
        <v>2.6672204533284187</v>
      </c>
      <c r="CC17" s="83">
        <f t="shared" ca="1" si="65"/>
        <v>0.67322975094145909</v>
      </c>
      <c r="CD17" s="83">
        <f t="shared" ca="1" si="66"/>
        <v>3.4708329654204899</v>
      </c>
      <c r="CE17" s="83">
        <f t="shared" ca="1" si="67"/>
        <v>2.3359506773006768</v>
      </c>
      <c r="CF17" s="83">
        <f t="shared" ca="1" si="68"/>
        <v>6.2880047267573174</v>
      </c>
      <c r="CG17" s="83">
        <f t="shared" ca="1" si="69"/>
        <v>2.3359506773006768</v>
      </c>
      <c r="CH17" s="83">
        <f t="shared" ca="1" si="70"/>
        <v>3.1177268981097965</v>
      </c>
      <c r="CI17" s="83">
        <f t="shared" ca="1" si="71"/>
        <v>8.2273751962084969</v>
      </c>
      <c r="CJ17" s="83">
        <f t="shared" ca="1" si="72"/>
        <v>3.1177268981097965</v>
      </c>
      <c r="CK17" s="83">
        <f t="shared" ca="1" si="73"/>
        <v>2.1372124171308435</v>
      </c>
    </row>
    <row r="18" spans="1:89" x14ac:dyDescent="0.25">
      <c r="A18" t="str">
        <f>Plantilla!D19</f>
        <v>M. Grupinski</v>
      </c>
      <c r="B18" s="322">
        <f>Plantilla!E19</f>
        <v>22</v>
      </c>
      <c r="C18" s="116">
        <f ca="1">Plantilla!F19</f>
        <v>99</v>
      </c>
      <c r="D18" s="322" t="str">
        <f>Plantilla!G19</f>
        <v>CAB</v>
      </c>
      <c r="E18" s="267">
        <f>Plantilla!O19</f>
        <v>43650</v>
      </c>
      <c r="F18" s="116">
        <f>Plantilla!Q19</f>
        <v>6</v>
      </c>
      <c r="G18" s="143">
        <f t="shared" si="0"/>
        <v>0.92582009977255142</v>
      </c>
      <c r="H18" s="143">
        <f t="shared" si="1"/>
        <v>0.99928545900129484</v>
      </c>
      <c r="I18" s="196">
        <f ca="1">Plantilla!P19</f>
        <v>6.7683633516304187E-2</v>
      </c>
      <c r="J18" s="197">
        <f>Plantilla!I19</f>
        <v>1.6</v>
      </c>
      <c r="K18" s="49">
        <f>Plantilla!X19</f>
        <v>0</v>
      </c>
      <c r="L18" s="49">
        <f>Plantilla!Y19</f>
        <v>3</v>
      </c>
      <c r="M18" s="49">
        <f>Plantilla!Z19</f>
        <v>8</v>
      </c>
      <c r="N18" s="49">
        <f>Plantilla!AA19</f>
        <v>9</v>
      </c>
      <c r="O18" s="49">
        <f>Plantilla!AB19</f>
        <v>6</v>
      </c>
      <c r="P18" s="49">
        <f>Plantilla!AC19</f>
        <v>3</v>
      </c>
      <c r="Q18" s="49">
        <f>Plantilla!AD19</f>
        <v>3</v>
      </c>
      <c r="R18" s="197">
        <f t="shared" si="2"/>
        <v>2.25</v>
      </c>
      <c r="S18" s="197">
        <f t="shared" ca="1" si="3"/>
        <v>-0.21894562103617599</v>
      </c>
      <c r="T18" s="49">
        <f t="shared" si="4"/>
        <v>0.24</v>
      </c>
      <c r="U18" s="49">
        <f t="shared" si="5"/>
        <v>0.21000000000000002</v>
      </c>
      <c r="V18" s="197">
        <f t="shared" ca="1" si="6"/>
        <v>3.1423699641249172</v>
      </c>
      <c r="W18" s="197">
        <f t="shared" ca="1" si="7"/>
        <v>3.3917222284587392</v>
      </c>
      <c r="X18" s="83">
        <f t="shared" ca="1" si="8"/>
        <v>1.1246834718712302</v>
      </c>
      <c r="Y18" s="83">
        <f t="shared" ca="1" si="9"/>
        <v>1.7137381010146138</v>
      </c>
      <c r="Z18" s="83">
        <f t="shared" ca="1" si="10"/>
        <v>1.1246834718712302</v>
      </c>
      <c r="AA18" s="83">
        <f t="shared" ca="1" si="11"/>
        <v>1.7233593029616892</v>
      </c>
      <c r="AB18" s="83">
        <f t="shared" ca="1" si="12"/>
        <v>3.3398436103908704</v>
      </c>
      <c r="AC18" s="83">
        <f t="shared" ca="1" si="13"/>
        <v>0.86167965148084458</v>
      </c>
      <c r="AD18" s="83">
        <f t="shared" ca="1" si="14"/>
        <v>1.9848827792730275</v>
      </c>
      <c r="AE18" s="83">
        <f t="shared" ca="1" si="15"/>
        <v>1.262460884727749</v>
      </c>
      <c r="AF18" s="83">
        <f t="shared" ca="1" si="16"/>
        <v>2.4147069303125992</v>
      </c>
      <c r="AG18" s="83">
        <f t="shared" ca="1" si="17"/>
        <v>0.63123044236387449</v>
      </c>
      <c r="AH18" s="83">
        <f t="shared" ca="1" si="18"/>
        <v>3.2108397900004859</v>
      </c>
      <c r="AI18" s="83">
        <f t="shared" ca="1" si="19"/>
        <v>3.0726561215596009</v>
      </c>
      <c r="AJ18" s="83">
        <f t="shared" ca="1" si="20"/>
        <v>1.3826952547018203</v>
      </c>
      <c r="AK18" s="83">
        <f t="shared" ca="1" si="21"/>
        <v>1.3927538829352757</v>
      </c>
      <c r="AL18" s="83">
        <f t="shared" ca="1" si="22"/>
        <v>5.491828042909833</v>
      </c>
      <c r="AM18" s="83">
        <f t="shared" ca="1" si="23"/>
        <v>2.5182420822347162</v>
      </c>
      <c r="AN18" s="83">
        <f t="shared" ca="1" si="24"/>
        <v>2.3646092761567363</v>
      </c>
      <c r="AO18" s="83">
        <f t="shared" ca="1" si="25"/>
        <v>0.55775388293527539</v>
      </c>
      <c r="AP18" s="83">
        <f t="shared" ca="1" si="26"/>
        <v>0.74587495979257057</v>
      </c>
      <c r="AQ18" s="83">
        <f t="shared" ca="1" si="27"/>
        <v>0.9017577748055351</v>
      </c>
      <c r="AR18" s="83">
        <f t="shared" ca="1" si="28"/>
        <v>1.983867104572177</v>
      </c>
      <c r="AS18" s="83">
        <f t="shared" ca="1" si="29"/>
        <v>0.45087888740276755</v>
      </c>
      <c r="AT18" s="83">
        <f t="shared" ca="1" si="30"/>
        <v>7.872812368208983</v>
      </c>
      <c r="AU18" s="83">
        <f t="shared" ca="1" si="31"/>
        <v>0.82417966935081322</v>
      </c>
      <c r="AV18" s="83">
        <f t="shared" ca="1" si="32"/>
        <v>1.3385741778445248</v>
      </c>
      <c r="AW18" s="83">
        <f t="shared" ca="1" si="33"/>
        <v>0.41208983467540661</v>
      </c>
      <c r="AX18" s="83">
        <f t="shared" ca="1" si="34"/>
        <v>0.63123044236387449</v>
      </c>
      <c r="AY18" s="83">
        <f t="shared" ca="1" si="35"/>
        <v>1.3359374441563483</v>
      </c>
      <c r="AZ18" s="83">
        <f t="shared" ca="1" si="36"/>
        <v>0.31561522118193724</v>
      </c>
      <c r="BA18" s="83">
        <f t="shared" ca="1" si="37"/>
        <v>8.3398436103908722</v>
      </c>
      <c r="BB18" s="83">
        <f t="shared" ca="1" si="38"/>
        <v>1.6039804334288903</v>
      </c>
      <c r="BC18" s="83">
        <f t="shared" ca="1" si="39"/>
        <v>2.86325382932537</v>
      </c>
      <c r="BD18" s="83">
        <f t="shared" ca="1" si="40"/>
        <v>0.80199021671444515</v>
      </c>
      <c r="BE18" s="83">
        <f t="shared" ca="1" si="41"/>
        <v>0.97189449062374322</v>
      </c>
      <c r="BF18" s="83">
        <f t="shared" ca="1" si="42"/>
        <v>1.1622655764160228</v>
      </c>
      <c r="BG18" s="83">
        <f t="shared" ca="1" si="43"/>
        <v>7.3474022207543586</v>
      </c>
      <c r="BH18" s="83">
        <f t="shared" ca="1" si="44"/>
        <v>7.3581209696374845</v>
      </c>
      <c r="BI18" s="83">
        <f t="shared" ca="1" si="45"/>
        <v>1.5279023101041997</v>
      </c>
      <c r="BJ18" s="83">
        <f t="shared" ca="1" si="46"/>
        <v>1.6198241510395721</v>
      </c>
      <c r="BK18" s="83">
        <f t="shared" ca="1" si="47"/>
        <v>0.88171871314318984</v>
      </c>
      <c r="BL18" s="83">
        <f t="shared" ca="1" si="48"/>
        <v>3.1774804155589225</v>
      </c>
      <c r="BM18" s="83">
        <f t="shared" ca="1" si="49"/>
        <v>7.5600233154816223</v>
      </c>
      <c r="BN18" s="83">
        <f t="shared" ca="1" si="50"/>
        <v>0.32967186774032525</v>
      </c>
      <c r="BO18" s="83">
        <f t="shared" ca="1" si="51"/>
        <v>0.60117184987035666</v>
      </c>
      <c r="BP18" s="83">
        <f t="shared" ca="1" si="52"/>
        <v>0.2271093655065792</v>
      </c>
      <c r="BQ18" s="83">
        <f t="shared" ca="1" si="53"/>
        <v>2.543652301169216</v>
      </c>
      <c r="BR18" s="83">
        <f t="shared" ca="1" si="54"/>
        <v>11.153038882962662</v>
      </c>
      <c r="BS18" s="83">
        <f t="shared" ca="1" si="55"/>
        <v>0.85587888740276752</v>
      </c>
      <c r="BT18" s="83">
        <f t="shared" ca="1" si="56"/>
        <v>0.94851558535100711</v>
      </c>
      <c r="BU18" s="83">
        <f t="shared" ca="1" si="57"/>
        <v>0.81492184093537234</v>
      </c>
      <c r="BV18" s="83">
        <f t="shared" ca="1" si="58"/>
        <v>3.794628842727847</v>
      </c>
      <c r="BW18" s="83">
        <f t="shared" ca="1" si="59"/>
        <v>9.6165467203130852</v>
      </c>
      <c r="BX18" s="83">
        <f t="shared" ca="1" si="60"/>
        <v>0.76712107685729525</v>
      </c>
      <c r="BY18" s="83">
        <f t="shared" ca="1" si="61"/>
        <v>0.94851558535100711</v>
      </c>
      <c r="BZ18" s="83">
        <f t="shared" ca="1" si="62"/>
        <v>0.81492184093537234</v>
      </c>
      <c r="CA18" s="83">
        <f t="shared" ca="1" si="63"/>
        <v>5.2624413181566405</v>
      </c>
      <c r="CB18" s="83">
        <f t="shared" ca="1" si="64"/>
        <v>7.7801600312998298</v>
      </c>
      <c r="CC18" s="83">
        <f t="shared" ca="1" si="65"/>
        <v>0.93829685433784882</v>
      </c>
      <c r="CD18" s="83">
        <f t="shared" ca="1" si="66"/>
        <v>3.3859765058186944</v>
      </c>
      <c r="CE18" s="83">
        <f t="shared" ca="1" si="67"/>
        <v>3.354058521013644</v>
      </c>
      <c r="CF18" s="83">
        <f t="shared" ca="1" si="68"/>
        <v>5.3896639053001199</v>
      </c>
      <c r="CG18" s="83">
        <f t="shared" ca="1" si="69"/>
        <v>3.354058521013644</v>
      </c>
      <c r="CH18" s="83">
        <f t="shared" ca="1" si="70"/>
        <v>4.0751248245592739</v>
      </c>
      <c r="CI18" s="83">
        <f t="shared" ca="1" si="71"/>
        <v>5.6792459026251016</v>
      </c>
      <c r="CJ18" s="83">
        <f t="shared" ca="1" si="72"/>
        <v>4.0751248245592739</v>
      </c>
      <c r="CK18" s="83">
        <f t="shared" ca="1" si="73"/>
        <v>2.084960902597718</v>
      </c>
    </row>
    <row r="19" spans="1:89" x14ac:dyDescent="0.25">
      <c r="A19" t="str">
        <f>Plantilla!D20</f>
        <v>V. Godoi</v>
      </c>
      <c r="B19" s="322">
        <f>Plantilla!E20</f>
        <v>25</v>
      </c>
      <c r="C19" s="116">
        <f ca="1">Plantilla!F20</f>
        <v>105</v>
      </c>
      <c r="D19" s="322">
        <f>Plantilla!G20</f>
        <v>0</v>
      </c>
      <c r="E19" s="267">
        <f>Plantilla!O20</f>
        <v>43639</v>
      </c>
      <c r="F19" s="116">
        <f>Plantilla!Q20</f>
        <v>7</v>
      </c>
      <c r="G19" s="143">
        <f t="shared" si="0"/>
        <v>1</v>
      </c>
      <c r="H19" s="143">
        <f t="shared" si="1"/>
        <v>1</v>
      </c>
      <c r="I19" s="196">
        <f ca="1">Plantilla!P20</f>
        <v>0.14248844644448036</v>
      </c>
      <c r="J19" s="197">
        <f>Plantilla!I20</f>
        <v>4.5</v>
      </c>
      <c r="K19" s="49">
        <f>Plantilla!X20</f>
        <v>0</v>
      </c>
      <c r="L19" s="49">
        <f>Plantilla!Y20</f>
        <v>3</v>
      </c>
      <c r="M19" s="49">
        <f>Plantilla!Z20</f>
        <v>9.1538461538461533</v>
      </c>
      <c r="N19" s="49">
        <f>Plantilla!AA20</f>
        <v>9</v>
      </c>
      <c r="O19" s="49">
        <f>Plantilla!AB20</f>
        <v>5</v>
      </c>
      <c r="P19" s="49">
        <f>Plantilla!AC20</f>
        <v>5</v>
      </c>
      <c r="Q19" s="49">
        <f>Plantilla!AD20</f>
        <v>1</v>
      </c>
      <c r="R19" s="197">
        <f t="shared" si="2"/>
        <v>2</v>
      </c>
      <c r="S19" s="197">
        <f t="shared" ca="1" si="3"/>
        <v>3.4896990072336482</v>
      </c>
      <c r="T19" s="49">
        <f t="shared" si="4"/>
        <v>0.27999999999999997</v>
      </c>
      <c r="U19" s="49">
        <f t="shared" si="5"/>
        <v>0.15000000000000002</v>
      </c>
      <c r="V19" s="197">
        <f t="shared" ca="1" si="6"/>
        <v>2.0891679086031174</v>
      </c>
      <c r="W19" s="197">
        <f t="shared" ca="1" si="7"/>
        <v>2.0891679086031174</v>
      </c>
      <c r="X19" s="83">
        <f t="shared" ca="1" si="8"/>
        <v>1.7127317797805315</v>
      </c>
      <c r="Y19" s="83">
        <f t="shared" ca="1" si="9"/>
        <v>2.5833490580717822</v>
      </c>
      <c r="Z19" s="83">
        <f t="shared" ca="1" si="10"/>
        <v>1.7127317797805315</v>
      </c>
      <c r="AA19" s="83">
        <f t="shared" ca="1" si="11"/>
        <v>2.0709342478427883</v>
      </c>
      <c r="AB19" s="83">
        <f t="shared" ca="1" si="12"/>
        <v>4.013438464811605</v>
      </c>
      <c r="AC19" s="83">
        <f t="shared" ca="1" si="13"/>
        <v>1.0354671239213942</v>
      </c>
      <c r="AD19" s="83">
        <f t="shared" ca="1" si="14"/>
        <v>2.4198137392405465</v>
      </c>
      <c r="AE19" s="83">
        <f t="shared" ca="1" si="15"/>
        <v>1.5170797396987867</v>
      </c>
      <c r="AF19" s="83">
        <f t="shared" ca="1" si="16"/>
        <v>2.9017160100587902</v>
      </c>
      <c r="AG19" s="83">
        <f t="shared" ca="1" si="17"/>
        <v>0.75853986984939337</v>
      </c>
      <c r="AH19" s="83">
        <f t="shared" ca="1" si="18"/>
        <v>3.9144045781832371</v>
      </c>
      <c r="AI19" s="83">
        <f t="shared" ca="1" si="19"/>
        <v>3.6923633876266768</v>
      </c>
      <c r="AJ19" s="83">
        <f t="shared" ca="1" si="20"/>
        <v>1.6615635244320044</v>
      </c>
      <c r="AK19" s="83">
        <f t="shared" ca="1" si="21"/>
        <v>1.6979365313158457</v>
      </c>
      <c r="AL19" s="83">
        <f t="shared" ca="1" si="22"/>
        <v>5.8879018173092232</v>
      </c>
      <c r="AM19" s="83">
        <f t="shared" ca="1" si="23"/>
        <v>3.0261326024679502</v>
      </c>
      <c r="AN19" s="83">
        <f t="shared" ca="1" si="24"/>
        <v>2.8415144330866164</v>
      </c>
      <c r="AO19" s="83">
        <f t="shared" ca="1" si="25"/>
        <v>0.33624422362353812</v>
      </c>
      <c r="AP19" s="83">
        <f t="shared" ca="1" si="26"/>
        <v>0.86787027786574222</v>
      </c>
      <c r="AQ19" s="83">
        <f t="shared" ca="1" si="27"/>
        <v>1.0836283854991335</v>
      </c>
      <c r="AR19" s="83">
        <f t="shared" ca="1" si="28"/>
        <v>2.3839824480980933</v>
      </c>
      <c r="AS19" s="83">
        <f t="shared" ca="1" si="29"/>
        <v>0.54181419274956677</v>
      </c>
      <c r="AT19" s="83">
        <f t="shared" ca="1" si="30"/>
        <v>9.5979166800129239</v>
      </c>
      <c r="AU19" s="83">
        <f t="shared" ca="1" si="31"/>
        <v>0.78174700042550882</v>
      </c>
      <c r="AV19" s="83">
        <f t="shared" ca="1" si="32"/>
        <v>1.7619374701898005</v>
      </c>
      <c r="AW19" s="83">
        <f t="shared" ca="1" si="33"/>
        <v>0.39087350021275441</v>
      </c>
      <c r="AX19" s="83">
        <f t="shared" ca="1" si="34"/>
        <v>0.75853986984939337</v>
      </c>
      <c r="AY19" s="83">
        <f t="shared" ca="1" si="35"/>
        <v>1.605375385924642</v>
      </c>
      <c r="AZ19" s="83">
        <f t="shared" ca="1" si="36"/>
        <v>0.37926993492469668</v>
      </c>
      <c r="BA19" s="83">
        <f t="shared" ca="1" si="37"/>
        <v>10.167284618657758</v>
      </c>
      <c r="BB19" s="83">
        <f t="shared" ca="1" si="38"/>
        <v>1.5213999315973363</v>
      </c>
      <c r="BC19" s="83">
        <f t="shared" ca="1" si="39"/>
        <v>3.3134045941111951</v>
      </c>
      <c r="BD19" s="83">
        <f t="shared" ca="1" si="40"/>
        <v>0.76069996579866817</v>
      </c>
      <c r="BE19" s="83">
        <f t="shared" ca="1" si="41"/>
        <v>1.167910593260177</v>
      </c>
      <c r="BF19" s="83">
        <f t="shared" ca="1" si="42"/>
        <v>1.3966765857544385</v>
      </c>
      <c r="BG19" s="83">
        <f t="shared" ca="1" si="43"/>
        <v>8.9573777490374855</v>
      </c>
      <c r="BH19" s="83">
        <f t="shared" ca="1" si="44"/>
        <v>7.6419467952175166</v>
      </c>
      <c r="BI19" s="83">
        <f t="shared" ca="1" si="45"/>
        <v>1.4492386700195969</v>
      </c>
      <c r="BJ19" s="83">
        <f t="shared" ca="1" si="46"/>
        <v>1.9465176554336283</v>
      </c>
      <c r="BK19" s="83">
        <f t="shared" ca="1" si="47"/>
        <v>1.0595477547102639</v>
      </c>
      <c r="BL19" s="83">
        <f t="shared" ca="1" si="48"/>
        <v>3.8737354397086059</v>
      </c>
      <c r="BM19" s="83">
        <f t="shared" ca="1" si="49"/>
        <v>7.947745218245343</v>
      </c>
      <c r="BN19" s="83">
        <f t="shared" ca="1" si="50"/>
        <v>0.31269880017020352</v>
      </c>
      <c r="BO19" s="83">
        <f t="shared" ca="1" si="51"/>
        <v>0.72241892366608884</v>
      </c>
      <c r="BP19" s="83">
        <f t="shared" ca="1" si="52"/>
        <v>0.27291381560718914</v>
      </c>
      <c r="BQ19" s="83">
        <f t="shared" ca="1" si="53"/>
        <v>3.1010218086906161</v>
      </c>
      <c r="BR19" s="83">
        <f t="shared" ca="1" si="54"/>
        <v>11.733281865747724</v>
      </c>
      <c r="BS19" s="83">
        <f t="shared" ca="1" si="55"/>
        <v>0.8118141927495669</v>
      </c>
      <c r="BT19" s="83">
        <f t="shared" ca="1" si="56"/>
        <v>1.1398165240064957</v>
      </c>
      <c r="BU19" s="83">
        <f t="shared" ca="1" si="57"/>
        <v>0.97927898541403158</v>
      </c>
      <c r="BV19" s="83">
        <f t="shared" ca="1" si="58"/>
        <v>4.6261145014892806</v>
      </c>
      <c r="BW19" s="83">
        <f t="shared" ca="1" si="59"/>
        <v>10.118889819011258</v>
      </c>
      <c r="BX19" s="83">
        <f t="shared" ca="1" si="60"/>
        <v>0.72762605424220428</v>
      </c>
      <c r="BY19" s="83">
        <f t="shared" ca="1" si="61"/>
        <v>1.1398165240064957</v>
      </c>
      <c r="BZ19" s="83">
        <f t="shared" ca="1" si="62"/>
        <v>0.97927898541403158</v>
      </c>
      <c r="CA19" s="83">
        <f t="shared" ca="1" si="63"/>
        <v>6.4155565943730455</v>
      </c>
      <c r="CB19" s="83">
        <f t="shared" ca="1" si="64"/>
        <v>8.1900274260063863</v>
      </c>
      <c r="CC19" s="83">
        <f t="shared" ca="1" si="65"/>
        <v>0.88998889279211768</v>
      </c>
      <c r="CD19" s="83">
        <f t="shared" ca="1" si="66"/>
        <v>4.12791755517505</v>
      </c>
      <c r="CE19" s="83">
        <f t="shared" ca="1" si="67"/>
        <v>3.7090014401668463</v>
      </c>
      <c r="CF19" s="83">
        <f t="shared" ca="1" si="68"/>
        <v>6.7711317113778682</v>
      </c>
      <c r="CG19" s="83">
        <f t="shared" ca="1" si="69"/>
        <v>3.7090014401668463</v>
      </c>
      <c r="CH19" s="83">
        <f t="shared" ca="1" si="70"/>
        <v>4.8533251675020654</v>
      </c>
      <c r="CI19" s="83">
        <f t="shared" ca="1" si="71"/>
        <v>8.2323972583270884</v>
      </c>
      <c r="CJ19" s="83">
        <f t="shared" ca="1" si="72"/>
        <v>4.8533251675020654</v>
      </c>
      <c r="CK19" s="83">
        <f t="shared" ca="1" si="73"/>
        <v>2.5418211546644396</v>
      </c>
    </row>
    <row r="20" spans="1:89" x14ac:dyDescent="0.25">
      <c r="A20" t="str">
        <f>Plantilla!D21</f>
        <v>P. Tuderek</v>
      </c>
      <c r="B20" s="322">
        <f>Plantilla!E21</f>
        <v>18</v>
      </c>
      <c r="C20" s="116">
        <f ca="1">Plantilla!F21</f>
        <v>86</v>
      </c>
      <c r="D20" s="322" t="str">
        <f>Plantilla!G21</f>
        <v>CAB</v>
      </c>
      <c r="E20" s="267">
        <f>Plantilla!O21</f>
        <v>43626</v>
      </c>
      <c r="F20" s="116">
        <f>Plantilla!Q21</f>
        <v>5</v>
      </c>
      <c r="G20" s="143">
        <f t="shared" si="0"/>
        <v>0.84515425472851657</v>
      </c>
      <c r="H20" s="143">
        <f t="shared" si="1"/>
        <v>0.92504826128926143</v>
      </c>
      <c r="I20" s="196">
        <f ca="1">Plantilla!P21</f>
        <v>0.20848632838563147</v>
      </c>
      <c r="J20" s="197">
        <f>Plantilla!I21</f>
        <v>0.6</v>
      </c>
      <c r="K20" s="49">
        <f>Plantilla!X21</f>
        <v>0</v>
      </c>
      <c r="L20" s="49">
        <f>Plantilla!Y21</f>
        <v>6</v>
      </c>
      <c r="M20" s="49">
        <f>Plantilla!Z21</f>
        <v>6.4083333333333332</v>
      </c>
      <c r="N20" s="49">
        <f>Plantilla!AA21</f>
        <v>2</v>
      </c>
      <c r="O20" s="49">
        <f>Plantilla!AB21</f>
        <v>3</v>
      </c>
      <c r="P20" s="49">
        <f>Plantilla!AC21</f>
        <v>6</v>
      </c>
      <c r="Q20" s="49">
        <f>Plantilla!AD21</f>
        <v>8</v>
      </c>
      <c r="R20" s="197">
        <f t="shared" si="2"/>
        <v>1.875</v>
      </c>
      <c r="S20" s="197">
        <f t="shared" ca="1" si="3"/>
        <v>6.5670404701960479</v>
      </c>
      <c r="T20" s="49">
        <f t="shared" si="4"/>
        <v>0.54</v>
      </c>
      <c r="U20" s="49">
        <f t="shared" si="5"/>
        <v>0.48000000000000009</v>
      </c>
      <c r="V20" s="197">
        <f t="shared" ca="1" si="6"/>
        <v>6.7595323137142529</v>
      </c>
      <c r="W20" s="197">
        <f t="shared" ca="1" si="7"/>
        <v>7.398523499048733</v>
      </c>
      <c r="X20" s="83">
        <f t="shared" ca="1" si="8"/>
        <v>1.5797766201272174</v>
      </c>
      <c r="Y20" s="83">
        <f t="shared" ca="1" si="9"/>
        <v>2.4372802022728952</v>
      </c>
      <c r="Z20" s="83">
        <f t="shared" ca="1" si="10"/>
        <v>1.5797766201272174</v>
      </c>
      <c r="AA20" s="83">
        <f t="shared" ca="1" si="11"/>
        <v>3.0509470057109325</v>
      </c>
      <c r="AB20" s="83">
        <f t="shared" ca="1" si="12"/>
        <v>5.9126879955638225</v>
      </c>
      <c r="AC20" s="83">
        <f t="shared" ca="1" si="13"/>
        <v>1.5254735028554662</v>
      </c>
      <c r="AD20" s="83">
        <f t="shared" ca="1" si="14"/>
        <v>1.5044030762775229</v>
      </c>
      <c r="AE20" s="83">
        <f t="shared" ca="1" si="15"/>
        <v>2.2349960623231251</v>
      </c>
      <c r="AF20" s="83">
        <f t="shared" ca="1" si="16"/>
        <v>4.2748734207926438</v>
      </c>
      <c r="AG20" s="83">
        <f t="shared" ca="1" si="17"/>
        <v>1.1174980311615625</v>
      </c>
      <c r="AH20" s="83">
        <f t="shared" ca="1" si="18"/>
        <v>2.4335932116254049</v>
      </c>
      <c r="AI20" s="83">
        <f t="shared" ca="1" si="19"/>
        <v>5.4396729559187174</v>
      </c>
      <c r="AJ20" s="83">
        <f t="shared" ca="1" si="20"/>
        <v>2.4478528301634226</v>
      </c>
      <c r="AK20" s="83">
        <f t="shared" ca="1" si="21"/>
        <v>1.0556105619258251</v>
      </c>
      <c r="AL20" s="83">
        <f t="shared" ca="1" si="22"/>
        <v>1.1246605413915276</v>
      </c>
      <c r="AM20" s="83">
        <f t="shared" ca="1" si="23"/>
        <v>4.4581667486551222</v>
      </c>
      <c r="AN20" s="83">
        <f t="shared" ca="1" si="24"/>
        <v>4.1861831008591865</v>
      </c>
      <c r="AO20" s="83">
        <f t="shared" ca="1" si="25"/>
        <v>1.3214188952591586</v>
      </c>
      <c r="AP20" s="83">
        <f t="shared" ca="1" si="26"/>
        <v>0.51485414272238095</v>
      </c>
      <c r="AQ20" s="83">
        <f t="shared" ca="1" si="27"/>
        <v>1.5964257588022321</v>
      </c>
      <c r="AR20" s="83">
        <f t="shared" ca="1" si="28"/>
        <v>3.5121366693649105</v>
      </c>
      <c r="AS20" s="83">
        <f t="shared" ca="1" si="29"/>
        <v>0.79821287940111607</v>
      </c>
      <c r="AT20" s="83">
        <f t="shared" ca="1" si="30"/>
        <v>5.9670441344789147</v>
      </c>
      <c r="AU20" s="83">
        <f t="shared" ca="1" si="31"/>
        <v>0.37864943942329699</v>
      </c>
      <c r="AV20" s="83">
        <f t="shared" ca="1" si="32"/>
        <v>1.3724175827001999</v>
      </c>
      <c r="AW20" s="83">
        <f t="shared" ca="1" si="33"/>
        <v>0.18932471971164849</v>
      </c>
      <c r="AX20" s="83">
        <f t="shared" ca="1" si="34"/>
        <v>1.1174980311615625</v>
      </c>
      <c r="AY20" s="83">
        <f t="shared" ca="1" si="35"/>
        <v>2.3650751982255289</v>
      </c>
      <c r="AZ20" s="83">
        <f t="shared" ca="1" si="36"/>
        <v>0.55874901558078127</v>
      </c>
      <c r="BA20" s="83">
        <f t="shared" ca="1" si="37"/>
        <v>6.3210213288971557</v>
      </c>
      <c r="BB20" s="83">
        <f t="shared" ca="1" si="38"/>
        <v>0.73691006287764727</v>
      </c>
      <c r="BC20" s="83">
        <f t="shared" ca="1" si="39"/>
        <v>2.2348910855556663</v>
      </c>
      <c r="BD20" s="83">
        <f t="shared" ca="1" si="40"/>
        <v>0.36845503143882363</v>
      </c>
      <c r="BE20" s="83">
        <f t="shared" ca="1" si="41"/>
        <v>1.7205922067090722</v>
      </c>
      <c r="BF20" s="83">
        <f t="shared" ca="1" si="42"/>
        <v>2.0576154224562102</v>
      </c>
      <c r="BG20" s="83">
        <f t="shared" ca="1" si="43"/>
        <v>5.5688197907583943</v>
      </c>
      <c r="BH20" s="83">
        <f t="shared" ca="1" si="44"/>
        <v>2.0153796280562384</v>
      </c>
      <c r="BI20" s="83">
        <f t="shared" ca="1" si="45"/>
        <v>0.70195780693088128</v>
      </c>
      <c r="BJ20" s="83">
        <f t="shared" ca="1" si="46"/>
        <v>2.867653677848454</v>
      </c>
      <c r="BK20" s="83">
        <f t="shared" ca="1" si="47"/>
        <v>1.5609496308288493</v>
      </c>
      <c r="BL20" s="83">
        <f t="shared" ca="1" si="48"/>
        <v>2.4083091263098164</v>
      </c>
      <c r="BM20" s="83">
        <f t="shared" ca="1" si="49"/>
        <v>1.8726893081227813</v>
      </c>
      <c r="BN20" s="83">
        <f t="shared" ca="1" si="50"/>
        <v>0.15145977576931879</v>
      </c>
      <c r="BO20" s="83">
        <f t="shared" ca="1" si="51"/>
        <v>1.0642838392014879</v>
      </c>
      <c r="BP20" s="83">
        <f t="shared" ca="1" si="52"/>
        <v>0.40206278369833998</v>
      </c>
      <c r="BQ20" s="83">
        <f t="shared" ca="1" si="53"/>
        <v>1.9279115053136324</v>
      </c>
      <c r="BR20" s="83">
        <f t="shared" ca="1" si="54"/>
        <v>2.7457167622950758</v>
      </c>
      <c r="BS20" s="83">
        <f t="shared" ca="1" si="55"/>
        <v>0.3932128794011161</v>
      </c>
      <c r="BT20" s="83">
        <f t="shared" ca="1" si="56"/>
        <v>1.6792033907401254</v>
      </c>
      <c r="BU20" s="83">
        <f t="shared" ca="1" si="57"/>
        <v>1.4426958709175726</v>
      </c>
      <c r="BV20" s="83">
        <f t="shared" ca="1" si="58"/>
        <v>2.876064704648206</v>
      </c>
      <c r="BW20" s="83">
        <f t="shared" ca="1" si="59"/>
        <v>2.3632582990847157</v>
      </c>
      <c r="BX20" s="83">
        <f t="shared" ca="1" si="60"/>
        <v>0.35243524746322258</v>
      </c>
      <c r="BY20" s="83">
        <f t="shared" ca="1" si="61"/>
        <v>1.6792033907401254</v>
      </c>
      <c r="BZ20" s="83">
        <f t="shared" ca="1" si="62"/>
        <v>1.4426958709175726</v>
      </c>
      <c r="CA20" s="83">
        <f t="shared" ca="1" si="63"/>
        <v>3.9885644585341051</v>
      </c>
      <c r="CB20" s="83">
        <f t="shared" ca="1" si="64"/>
        <v>1.9048557560296213</v>
      </c>
      <c r="CC20" s="83">
        <f t="shared" ca="1" si="65"/>
        <v>0.4310778233434458</v>
      </c>
      <c r="CD20" s="83">
        <f t="shared" ca="1" si="66"/>
        <v>2.5663346595322456</v>
      </c>
      <c r="CE20" s="83">
        <f t="shared" ca="1" si="67"/>
        <v>1.7545104456887517</v>
      </c>
      <c r="CF20" s="83">
        <f t="shared" ca="1" si="68"/>
        <v>5.0286866830048647</v>
      </c>
      <c r="CG20" s="83">
        <f t="shared" ca="1" si="69"/>
        <v>1.7545104456887517</v>
      </c>
      <c r="CH20" s="83">
        <f t="shared" ca="1" si="70"/>
        <v>2.5793981758559976</v>
      </c>
      <c r="CI20" s="83">
        <f t="shared" ca="1" si="71"/>
        <v>6.9874698659268732</v>
      </c>
      <c r="CJ20" s="83">
        <f t="shared" ca="1" si="72"/>
        <v>2.5793981758559976</v>
      </c>
      <c r="CK20" s="83">
        <f t="shared" ca="1" si="73"/>
        <v>1.5802553322242889</v>
      </c>
    </row>
    <row r="21" spans="1:89" x14ac:dyDescent="0.25">
      <c r="A21" t="str">
        <f>Plantilla!D22</f>
        <v>G. Stoychev</v>
      </c>
      <c r="B21" s="322">
        <f>Plantilla!E22</f>
        <v>23</v>
      </c>
      <c r="C21" s="116">
        <f ca="1">Plantilla!F22</f>
        <v>101</v>
      </c>
      <c r="D21" s="322" t="str">
        <f>Plantilla!G22</f>
        <v>IMP</v>
      </c>
      <c r="E21" s="267">
        <f>Plantilla!O22</f>
        <v>43650</v>
      </c>
      <c r="F21" s="116">
        <f>Plantilla!Q22</f>
        <v>6</v>
      </c>
      <c r="G21" s="143">
        <f t="shared" si="0"/>
        <v>0.92582009977255142</v>
      </c>
      <c r="H21" s="143">
        <f t="shared" si="1"/>
        <v>0.99928545900129484</v>
      </c>
      <c r="I21" s="196">
        <f ca="1">Plantilla!P22</f>
        <v>6.7683633516304187E-2</v>
      </c>
      <c r="J21" s="197">
        <f>Plantilla!I22</f>
        <v>3.7</v>
      </c>
      <c r="K21" s="49">
        <f>Plantilla!X22</f>
        <v>0</v>
      </c>
      <c r="L21" s="49">
        <f>Plantilla!Y22</f>
        <v>9</v>
      </c>
      <c r="M21" s="49">
        <f>Plantilla!Z22</f>
        <v>8</v>
      </c>
      <c r="N21" s="49">
        <f>Plantilla!AA22</f>
        <v>9</v>
      </c>
      <c r="O21" s="49">
        <f>Plantilla!AB22</f>
        <v>5</v>
      </c>
      <c r="P21" s="49">
        <f>Plantilla!AC22</f>
        <v>5</v>
      </c>
      <c r="Q21" s="49">
        <f>Plantilla!AD22</f>
        <v>3</v>
      </c>
      <c r="R21" s="197">
        <f t="shared" si="2"/>
        <v>2.75</v>
      </c>
      <c r="S21" s="197">
        <f t="shared" ca="1" si="3"/>
        <v>4.1738819103217768</v>
      </c>
      <c r="T21" s="49">
        <f t="shared" si="4"/>
        <v>0.33999999999999997</v>
      </c>
      <c r="U21" s="49">
        <f t="shared" si="5"/>
        <v>0.45</v>
      </c>
      <c r="V21" s="197">
        <f t="shared" ca="1" si="6"/>
        <v>3.5918022230029987</v>
      </c>
      <c r="W21" s="197">
        <f t="shared" ca="1" si="7"/>
        <v>3.8768176818986748</v>
      </c>
      <c r="X21" s="83">
        <f t="shared" ca="1" si="8"/>
        <v>3.2044746188737161</v>
      </c>
      <c r="Y21" s="83">
        <f t="shared" ca="1" si="9"/>
        <v>4.8904441385635362</v>
      </c>
      <c r="Z21" s="83">
        <f t="shared" ca="1" si="10"/>
        <v>3.2044746188737161</v>
      </c>
      <c r="AA21" s="83">
        <f t="shared" ca="1" si="11"/>
        <v>5.0698475410525061</v>
      </c>
      <c r="AB21" s="83">
        <f t="shared" ca="1" si="12"/>
        <v>9.8252859322722976</v>
      </c>
      <c r="AC21" s="83">
        <f t="shared" ca="1" si="13"/>
        <v>2.5349237705262531</v>
      </c>
      <c r="AD21" s="83">
        <f t="shared" ca="1" si="14"/>
        <v>2.1004180518808067</v>
      </c>
      <c r="AE21" s="83">
        <f t="shared" ca="1" si="15"/>
        <v>3.7139580823989284</v>
      </c>
      <c r="AF21" s="83">
        <f t="shared" ca="1" si="16"/>
        <v>7.1036817290328713</v>
      </c>
      <c r="AG21" s="83">
        <f t="shared" ca="1" si="17"/>
        <v>1.8569790411994642</v>
      </c>
      <c r="AH21" s="83">
        <f t="shared" ca="1" si="18"/>
        <v>3.3977350839248346</v>
      </c>
      <c r="AI21" s="83">
        <f t="shared" ca="1" si="19"/>
        <v>9.0392630576905137</v>
      </c>
      <c r="AJ21" s="83">
        <f t="shared" ca="1" si="20"/>
        <v>4.0676683759607313</v>
      </c>
      <c r="AK21" s="83">
        <f t="shared" ca="1" si="21"/>
        <v>1.4738227506894739</v>
      </c>
      <c r="AL21" s="83">
        <f t="shared" ca="1" si="22"/>
        <v>5.7772681281761109</v>
      </c>
      <c r="AM21" s="83">
        <f t="shared" ca="1" si="23"/>
        <v>7.4082655929333123</v>
      </c>
      <c r="AN21" s="83">
        <f t="shared" ca="1" si="24"/>
        <v>6.9563024400487867</v>
      </c>
      <c r="AO21" s="83">
        <f t="shared" ca="1" si="25"/>
        <v>0.6388227506894737</v>
      </c>
      <c r="AP21" s="83">
        <f t="shared" ca="1" si="26"/>
        <v>1.0296823484944215</v>
      </c>
      <c r="AQ21" s="83">
        <f t="shared" ca="1" si="27"/>
        <v>2.6528272017135204</v>
      </c>
      <c r="AR21" s="83">
        <f t="shared" ca="1" si="28"/>
        <v>5.8362198437697446</v>
      </c>
      <c r="AS21" s="83">
        <f t="shared" ca="1" si="29"/>
        <v>1.3264136008567602</v>
      </c>
      <c r="AT21" s="83">
        <f t="shared" ca="1" si="30"/>
        <v>8.3310699200650493</v>
      </c>
      <c r="AU21" s="83">
        <f t="shared" ca="1" si="31"/>
        <v>0.75728717119539868</v>
      </c>
      <c r="AV21" s="83">
        <f t="shared" ca="1" si="32"/>
        <v>1.706808778155783</v>
      </c>
      <c r="AW21" s="83">
        <f t="shared" ca="1" si="33"/>
        <v>0.37864358559769934</v>
      </c>
      <c r="AX21" s="83">
        <f t="shared" ca="1" si="34"/>
        <v>1.8569790411994642</v>
      </c>
      <c r="AY21" s="83">
        <f t="shared" ca="1" si="35"/>
        <v>3.9301143729089194</v>
      </c>
      <c r="AZ21" s="83">
        <f t="shared" ca="1" si="36"/>
        <v>0.92848952059973211</v>
      </c>
      <c r="BA21" s="83">
        <f t="shared" ca="1" si="37"/>
        <v>8.8252859322722976</v>
      </c>
      <c r="BB21" s="83">
        <f t="shared" ca="1" si="38"/>
        <v>1.4737973408648912</v>
      </c>
      <c r="BC21" s="83">
        <f t="shared" ca="1" si="39"/>
        <v>3.2097325486820361</v>
      </c>
      <c r="BD21" s="83">
        <f t="shared" ca="1" si="40"/>
        <v>0.73689867043244561</v>
      </c>
      <c r="BE21" s="83">
        <f t="shared" ca="1" si="41"/>
        <v>2.8591582062912386</v>
      </c>
      <c r="BF21" s="83">
        <f t="shared" ca="1" si="42"/>
        <v>3.4191995044307593</v>
      </c>
      <c r="BG21" s="83">
        <f t="shared" ca="1" si="43"/>
        <v>7.7750769063318943</v>
      </c>
      <c r="BH21" s="83">
        <f t="shared" ca="1" si="44"/>
        <v>7.4746791937900721</v>
      </c>
      <c r="BI21" s="83">
        <f t="shared" ca="1" si="45"/>
        <v>1.4038939096776237</v>
      </c>
      <c r="BJ21" s="83">
        <f t="shared" ca="1" si="46"/>
        <v>4.7652636771520642</v>
      </c>
      <c r="BK21" s="83">
        <f t="shared" ca="1" si="47"/>
        <v>2.5938754861198867</v>
      </c>
      <c r="BL21" s="83">
        <f t="shared" ca="1" si="48"/>
        <v>3.3624339401957455</v>
      </c>
      <c r="BM21" s="83">
        <f t="shared" ca="1" si="49"/>
        <v>7.7832999048059888</v>
      </c>
      <c r="BN21" s="83">
        <f t="shared" ca="1" si="50"/>
        <v>0.30291486847815946</v>
      </c>
      <c r="BO21" s="83">
        <f t="shared" ca="1" si="51"/>
        <v>1.7685514678090135</v>
      </c>
      <c r="BP21" s="83">
        <f t="shared" ca="1" si="52"/>
        <v>0.66811944339451623</v>
      </c>
      <c r="BQ21" s="83">
        <f t="shared" ca="1" si="53"/>
        <v>2.6917122093430508</v>
      </c>
      <c r="BR21" s="83">
        <f t="shared" ca="1" si="54"/>
        <v>11.491317708902175</v>
      </c>
      <c r="BS21" s="83">
        <f t="shared" ca="1" si="55"/>
        <v>0.78641360085676026</v>
      </c>
      <c r="BT21" s="83">
        <f t="shared" ca="1" si="56"/>
        <v>2.7903812047653322</v>
      </c>
      <c r="BU21" s="83">
        <f t="shared" ca="1" si="57"/>
        <v>2.3973697674744407</v>
      </c>
      <c r="BV21" s="83">
        <f t="shared" ca="1" si="58"/>
        <v>4.0155050991838959</v>
      </c>
      <c r="BW21" s="83">
        <f t="shared" ca="1" si="59"/>
        <v>9.9104168129577044</v>
      </c>
      <c r="BX21" s="83">
        <f t="shared" ca="1" si="60"/>
        <v>0.704859597804948</v>
      </c>
      <c r="BY21" s="83">
        <f t="shared" ca="1" si="61"/>
        <v>2.7903812047653322</v>
      </c>
      <c r="BZ21" s="83">
        <f t="shared" ca="1" si="62"/>
        <v>2.3973697674744407</v>
      </c>
      <c r="CA21" s="83">
        <f t="shared" ca="1" si="63"/>
        <v>5.5687554232638199</v>
      </c>
      <c r="CB21" s="83">
        <f t="shared" ca="1" si="64"/>
        <v>8.0216309093837062</v>
      </c>
      <c r="CC21" s="83">
        <f t="shared" ca="1" si="65"/>
        <v>0.86214231797630003</v>
      </c>
      <c r="CD21" s="83">
        <f t="shared" ca="1" si="66"/>
        <v>3.5830660885025529</v>
      </c>
      <c r="CE21" s="83">
        <f t="shared" ca="1" si="67"/>
        <v>3.6109739707138666</v>
      </c>
      <c r="CF21" s="83">
        <f t="shared" ca="1" si="68"/>
        <v>6.5592719597386075</v>
      </c>
      <c r="CG21" s="83">
        <f t="shared" ca="1" si="69"/>
        <v>3.6109739707138666</v>
      </c>
      <c r="CH21" s="83">
        <f t="shared" ca="1" si="70"/>
        <v>4.7555553910914021</v>
      </c>
      <c r="CI21" s="83">
        <f t="shared" ca="1" si="71"/>
        <v>7.974816441280776</v>
      </c>
      <c r="CJ21" s="83">
        <f t="shared" ca="1" si="72"/>
        <v>4.7555553910914021</v>
      </c>
      <c r="CK21" s="83">
        <f t="shared" ca="1" si="73"/>
        <v>2.2063214830680744</v>
      </c>
    </row>
    <row r="22" spans="1:89" x14ac:dyDescent="0.25">
      <c r="A22" t="str">
        <f>Plantilla!D23</f>
        <v>K. Helms</v>
      </c>
      <c r="B22" s="322">
        <f>Plantilla!E23</f>
        <v>35</v>
      </c>
      <c r="C22" s="116">
        <f ca="1">Plantilla!F23</f>
        <v>49</v>
      </c>
      <c r="D22" s="322" t="str">
        <f>Plantilla!G23</f>
        <v>TEC</v>
      </c>
      <c r="E22" s="267">
        <v>36526</v>
      </c>
      <c r="F22" s="116">
        <f>Plantilla!Q23</f>
        <v>7</v>
      </c>
      <c r="G22" s="143">
        <f t="shared" si="0"/>
        <v>1</v>
      </c>
      <c r="H22" s="143">
        <f t="shared" si="1"/>
        <v>1</v>
      </c>
      <c r="I22" s="196">
        <f>Plantilla!P23</f>
        <v>1.5</v>
      </c>
      <c r="J22" s="197">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7">
        <f t="shared" si="2"/>
        <v>3.7687878787878786</v>
      </c>
      <c r="S22" s="197">
        <f t="shared" si="3"/>
        <v>15.502716837831953</v>
      </c>
      <c r="T22" s="49">
        <f t="shared" si="4"/>
        <v>0.73750000000000004</v>
      </c>
      <c r="U22" s="49">
        <f t="shared" si="5"/>
        <v>0.8300121212121212</v>
      </c>
      <c r="V22" s="197">
        <f t="shared" ca="1" si="6"/>
        <v>20.507111691326674</v>
      </c>
      <c r="W22" s="197">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22">
        <f>Plantilla!E24</f>
        <v>32</v>
      </c>
      <c r="C23" s="116">
        <f ca="1">Plantilla!F24</f>
        <v>64</v>
      </c>
      <c r="D23" s="322" t="str">
        <f>Plantilla!G24</f>
        <v>CAB</v>
      </c>
      <c r="E23" s="267">
        <v>36526</v>
      </c>
      <c r="F23" s="116">
        <f>Plantilla!Q24</f>
        <v>5</v>
      </c>
      <c r="G23" s="143">
        <f t="shared" si="0"/>
        <v>0.84515425472851657</v>
      </c>
      <c r="H23" s="143">
        <f t="shared" si="1"/>
        <v>0.92504826128926143</v>
      </c>
      <c r="I23" s="196">
        <f>Plantilla!P24</f>
        <v>1.5</v>
      </c>
      <c r="J23" s="197">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7">
        <f t="shared" si="2"/>
        <v>3.9799999999999995</v>
      </c>
      <c r="S23" s="197">
        <f t="shared" si="3"/>
        <v>19.334419744797479</v>
      </c>
      <c r="T23" s="49">
        <f t="shared" si="4"/>
        <v>0.82750000000000001</v>
      </c>
      <c r="U23" s="49">
        <f t="shared" si="5"/>
        <v>0.81439999999999979</v>
      </c>
      <c r="V23" s="197">
        <f t="shared" ca="1" si="6"/>
        <v>15.622894282023008</v>
      </c>
      <c r="W23" s="197">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22">
        <f>Plantilla!E25</f>
        <v>35</v>
      </c>
      <c r="C24" s="116">
        <f ca="1">Plantilla!F25</f>
        <v>64</v>
      </c>
      <c r="D24" s="322">
        <f>Plantilla!G25</f>
        <v>0</v>
      </c>
      <c r="E24" s="267">
        <v>36526</v>
      </c>
      <c r="F24" s="116">
        <f>Plantilla!Q25</f>
        <v>5</v>
      </c>
      <c r="G24" s="143">
        <f t="shared" si="0"/>
        <v>0.84515425472851657</v>
      </c>
      <c r="H24" s="143">
        <f t="shared" si="1"/>
        <v>0.92504826128926143</v>
      </c>
      <c r="I24" s="196">
        <f>Plantilla!P25</f>
        <v>1.5</v>
      </c>
      <c r="J24" s="197">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197">
        <f t="shared" si="2"/>
        <v>3.3562499999999997</v>
      </c>
      <c r="S24" s="197">
        <f t="shared" si="3"/>
        <v>18.094487405020338</v>
      </c>
      <c r="T24" s="49">
        <f t="shared" si="4"/>
        <v>0.80600000000000005</v>
      </c>
      <c r="U24" s="49">
        <f t="shared" si="5"/>
        <v>0.74649999999999994</v>
      </c>
      <c r="V24" s="197">
        <f t="shared" ca="1" si="6"/>
        <v>16.386618368004036</v>
      </c>
      <c r="W24" s="197">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22">
        <f>Plantilla!E26</f>
        <v>34</v>
      </c>
      <c r="C25" s="116">
        <f ca="1">Plantilla!F26</f>
        <v>101</v>
      </c>
      <c r="D25" s="322" t="str">
        <f>Plantilla!G26</f>
        <v>RAP</v>
      </c>
      <c r="E25" s="267">
        <v>36526</v>
      </c>
      <c r="F25" s="116">
        <f>Plantilla!Q26</f>
        <v>5</v>
      </c>
      <c r="G25" s="143">
        <f t="shared" si="0"/>
        <v>0.84515425472851657</v>
      </c>
      <c r="H25" s="143">
        <f t="shared" si="1"/>
        <v>0.92504826128926143</v>
      </c>
      <c r="I25" s="196">
        <f>Plantilla!P26</f>
        <v>1.5</v>
      </c>
      <c r="J25" s="197">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197">
        <f t="shared" si="2"/>
        <v>3.7172023809523811</v>
      </c>
      <c r="S25" s="197">
        <f t="shared" si="3"/>
        <v>21.106390190397043</v>
      </c>
      <c r="T25" s="49">
        <f t="shared" si="4"/>
        <v>0.91749999999999976</v>
      </c>
      <c r="U25" s="49">
        <f t="shared" si="5"/>
        <v>0.84350476190476176</v>
      </c>
      <c r="V25" s="197">
        <f t="shared" ca="1" si="6"/>
        <v>18.205001318176702</v>
      </c>
      <c r="W25" s="197">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22">
        <f>Plantilla!E27</f>
        <v>32</v>
      </c>
      <c r="C26" s="116">
        <f ca="1">Plantilla!F27</f>
        <v>20</v>
      </c>
      <c r="D26" s="322">
        <f>Plantilla!G27</f>
        <v>0</v>
      </c>
      <c r="E26" s="267">
        <v>36526</v>
      </c>
      <c r="F26" s="116">
        <f>Plantilla!Q27</f>
        <v>5</v>
      </c>
      <c r="G26" s="143">
        <f t="shared" si="0"/>
        <v>0.84515425472851657</v>
      </c>
      <c r="H26" s="143">
        <f t="shared" si="1"/>
        <v>0.92504826128926143</v>
      </c>
      <c r="I26" s="196">
        <f>Plantilla!P27</f>
        <v>1.5</v>
      </c>
      <c r="J26" s="197">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7">
        <f t="shared" si="2"/>
        <v>3.6149999999999998</v>
      </c>
      <c r="S26" s="197">
        <f t="shared" si="3"/>
        <v>18.946914178388191</v>
      </c>
      <c r="T26" s="49">
        <f t="shared" si="4"/>
        <v>0.81750000000000012</v>
      </c>
      <c r="U26" s="49">
        <f t="shared" si="5"/>
        <v>0.58079999999999998</v>
      </c>
      <c r="V26" s="197">
        <f t="shared" ca="1" si="6"/>
        <v>13.57023809798237</v>
      </c>
      <c r="W26" s="197">
        <f t="shared" ca="1" si="7"/>
        <v>14.85305799217948</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87"/>
    </row>
    <row r="28" spans="1:89" ht="18.75" x14ac:dyDescent="0.3">
      <c r="A28" s="172" t="s">
        <v>280</v>
      </c>
      <c r="B28" s="172" t="s">
        <v>69</v>
      </c>
      <c r="C28" s="172"/>
      <c r="D28" s="173"/>
      <c r="L28" s="45"/>
      <c r="M28" s="45"/>
    </row>
    <row r="29" spans="1:89" x14ac:dyDescent="0.25">
      <c r="A29" s="77" t="s">
        <v>285</v>
      </c>
      <c r="B29" s="174">
        <v>1</v>
      </c>
      <c r="C29" s="198">
        <v>0.624</v>
      </c>
      <c r="D29" s="199">
        <v>0.245</v>
      </c>
    </row>
    <row r="30" spans="1:89" x14ac:dyDescent="0.25">
      <c r="A30" s="77" t="s">
        <v>286</v>
      </c>
      <c r="B30" s="174">
        <v>1</v>
      </c>
      <c r="C30" s="198">
        <v>1.002</v>
      </c>
      <c r="D30" s="199">
        <v>0.34</v>
      </c>
    </row>
    <row r="31" spans="1:89" x14ac:dyDescent="0.25">
      <c r="A31" s="77" t="s">
        <v>287</v>
      </c>
      <c r="B31" s="174">
        <v>1</v>
      </c>
      <c r="C31" s="198">
        <v>0.46800000000000003</v>
      </c>
      <c r="D31" s="199">
        <v>0.125</v>
      </c>
    </row>
    <row r="32" spans="1:89" x14ac:dyDescent="0.25">
      <c r="A32" s="77" t="s">
        <v>288</v>
      </c>
      <c r="B32" s="174">
        <v>1</v>
      </c>
      <c r="C32" s="198">
        <v>0.877</v>
      </c>
      <c r="D32" s="199">
        <v>0.25</v>
      </c>
    </row>
    <row r="33" spans="1:85" x14ac:dyDescent="0.25">
      <c r="A33" s="77" t="s">
        <v>289</v>
      </c>
      <c r="B33" s="174">
        <v>1</v>
      </c>
      <c r="C33" s="198">
        <v>0.59299999999999997</v>
      </c>
      <c r="D33" s="199">
        <v>0.19</v>
      </c>
    </row>
    <row r="35" spans="1:85" ht="15.75" x14ac:dyDescent="0.25">
      <c r="A35" s="673" t="s">
        <v>446</v>
      </c>
      <c r="B35" s="673"/>
      <c r="C35" s="673"/>
      <c r="D35" s="673"/>
      <c r="E35" s="673"/>
    </row>
    <row r="36" spans="1:85" x14ac:dyDescent="0.25">
      <c r="A36" s="188" t="s">
        <v>71</v>
      </c>
      <c r="B36" s="188" t="s">
        <v>313</v>
      </c>
      <c r="C36" s="188" t="s">
        <v>61</v>
      </c>
      <c r="D36" s="189" t="s">
        <v>314</v>
      </c>
      <c r="E36" s="188" t="s">
        <v>315</v>
      </c>
      <c r="F36" s="191" t="s">
        <v>319</v>
      </c>
      <c r="G36" s="192" t="s">
        <v>320</v>
      </c>
      <c r="H36" s="192" t="s">
        <v>1</v>
      </c>
      <c r="I36" s="192" t="s">
        <v>2</v>
      </c>
      <c r="J36" s="192" t="s">
        <v>321</v>
      </c>
      <c r="K36" s="192" t="s">
        <v>63</v>
      </c>
      <c r="L36" s="192" t="s">
        <v>262</v>
      </c>
      <c r="M36" s="192" t="s">
        <v>322</v>
      </c>
      <c r="N36" s="192" t="s">
        <v>0</v>
      </c>
      <c r="O36" s="193" t="s">
        <v>257</v>
      </c>
      <c r="P36" s="193" t="s">
        <v>367</v>
      </c>
      <c r="Q36" s="193" t="s">
        <v>323</v>
      </c>
      <c r="R36" s="193" t="s">
        <v>324</v>
      </c>
      <c r="S36" s="193" t="s">
        <v>265</v>
      </c>
      <c r="T36" s="194" t="s">
        <v>325</v>
      </c>
      <c r="U36" s="194" t="s">
        <v>326</v>
      </c>
      <c r="V36" s="194" t="s">
        <v>325</v>
      </c>
      <c r="W36" s="195" t="s">
        <v>325</v>
      </c>
      <c r="X36" s="195" t="s">
        <v>326</v>
      </c>
      <c r="Y36" s="195" t="s">
        <v>325</v>
      </c>
      <c r="Z36" s="195" t="s">
        <v>62</v>
      </c>
      <c r="AA36" s="195" t="s">
        <v>325</v>
      </c>
      <c r="AB36" s="195" t="s">
        <v>326</v>
      </c>
      <c r="AC36" s="195" t="s">
        <v>325</v>
      </c>
      <c r="AD36" s="195" t="s">
        <v>62</v>
      </c>
      <c r="AE36" s="194" t="s">
        <v>325</v>
      </c>
      <c r="AF36" s="194" t="s">
        <v>326</v>
      </c>
      <c r="AG36" s="194" t="s">
        <v>62</v>
      </c>
      <c r="AH36" s="194" t="s">
        <v>327</v>
      </c>
      <c r="AI36" s="194" t="s">
        <v>325</v>
      </c>
      <c r="AJ36" s="194" t="s">
        <v>326</v>
      </c>
      <c r="AK36" s="194" t="s">
        <v>62</v>
      </c>
      <c r="AL36" s="194" t="s">
        <v>327</v>
      </c>
      <c r="AM36" s="194" t="s">
        <v>325</v>
      </c>
      <c r="AN36" s="194" t="s">
        <v>326</v>
      </c>
      <c r="AO36" s="194" t="s">
        <v>325</v>
      </c>
      <c r="AP36" s="194" t="s">
        <v>62</v>
      </c>
      <c r="AQ36" s="194" t="s">
        <v>327</v>
      </c>
      <c r="AR36" s="194" t="s">
        <v>328</v>
      </c>
      <c r="AS36" s="194" t="s">
        <v>327</v>
      </c>
      <c r="AT36" s="194" t="s">
        <v>325</v>
      </c>
      <c r="AU36" s="194" t="s">
        <v>326</v>
      </c>
      <c r="AV36" s="194" t="s">
        <v>325</v>
      </c>
      <c r="AW36" s="194" t="s">
        <v>62</v>
      </c>
      <c r="AX36" s="194" t="s">
        <v>327</v>
      </c>
      <c r="AY36" s="194" t="s">
        <v>328</v>
      </c>
      <c r="AZ36" s="194" t="s">
        <v>327</v>
      </c>
      <c r="BA36" s="195" t="s">
        <v>325</v>
      </c>
      <c r="BB36" s="195" t="s">
        <v>326</v>
      </c>
      <c r="BC36" s="195" t="s">
        <v>62</v>
      </c>
      <c r="BD36" s="195" t="s">
        <v>327</v>
      </c>
      <c r="BE36" s="195" t="s">
        <v>328</v>
      </c>
      <c r="BF36" s="195" t="s">
        <v>325</v>
      </c>
      <c r="BG36" s="195" t="s">
        <v>326</v>
      </c>
      <c r="BH36" s="195" t="s">
        <v>62</v>
      </c>
      <c r="BI36" s="195" t="s">
        <v>327</v>
      </c>
      <c r="BJ36" s="195" t="s">
        <v>328</v>
      </c>
      <c r="BK36" s="194" t="s">
        <v>325</v>
      </c>
      <c r="BL36" s="194" t="s">
        <v>326</v>
      </c>
      <c r="BM36" s="194" t="s">
        <v>62</v>
      </c>
      <c r="BN36" s="194" t="s">
        <v>327</v>
      </c>
      <c r="BO36" s="194" t="s">
        <v>328</v>
      </c>
      <c r="BP36" s="194" t="s">
        <v>325</v>
      </c>
      <c r="BQ36" s="194" t="s">
        <v>326</v>
      </c>
      <c r="BR36" s="194" t="s">
        <v>62</v>
      </c>
      <c r="BS36" s="194" t="s">
        <v>327</v>
      </c>
      <c r="BT36" s="194" t="s">
        <v>328</v>
      </c>
      <c r="BU36" s="194" t="s">
        <v>325</v>
      </c>
      <c r="BV36" s="194" t="s">
        <v>326</v>
      </c>
      <c r="BW36" s="194" t="s">
        <v>62</v>
      </c>
      <c r="BX36" s="194" t="s">
        <v>327</v>
      </c>
      <c r="BY36" s="194" t="s">
        <v>328</v>
      </c>
      <c r="BZ36" s="195" t="s">
        <v>62</v>
      </c>
      <c r="CA36" s="195" t="s">
        <v>327</v>
      </c>
      <c r="CB36" s="195" t="s">
        <v>328</v>
      </c>
      <c r="CC36" s="195" t="s">
        <v>327</v>
      </c>
      <c r="CD36" s="194" t="s">
        <v>327</v>
      </c>
      <c r="CE36" s="194" t="s">
        <v>328</v>
      </c>
      <c r="CF36" s="194" t="s">
        <v>327</v>
      </c>
      <c r="CG36" s="194" t="s">
        <v>62</v>
      </c>
    </row>
    <row r="37" spans="1:85" x14ac:dyDescent="0.25">
      <c r="A37" t="str">
        <f>A3</f>
        <v>D. Gehmacher</v>
      </c>
      <c r="B37">
        <f t="shared" ref="B37:E37" si="74">B3</f>
        <v>35</v>
      </c>
      <c r="C37">
        <f t="shared" ca="1" si="74"/>
        <v>17</v>
      </c>
      <c r="D37">
        <f t="shared" si="74"/>
        <v>0</v>
      </c>
      <c r="E37" s="267">
        <f t="shared" si="74"/>
        <v>42468</v>
      </c>
      <c r="F37" s="196">
        <f ca="1">I3</f>
        <v>1</v>
      </c>
      <c r="G37" s="197">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7">
        <f>((2*(L37+1))+(I37+1))/8</f>
        <v>2.1062499999999997</v>
      </c>
      <c r="P37" s="197">
        <f ca="1">1.66*(M37+(LOG(G37)*4/3)+F37)+0.55*(N37+(LOG(G37)*4/3)+F37)-7.6</f>
        <v>8.6709251262431071</v>
      </c>
      <c r="Q37" s="197">
        <f>(0.5*M37+ 0.3*N37)/10</f>
        <v>0.54600000000000004</v>
      </c>
      <c r="R37" s="197">
        <f>(0.4*I37+0.3*N37)/10</f>
        <v>1.024</v>
      </c>
      <c r="S37" s="197">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29">
        <f ca="1">((I37+F37+(LOG(G37)*4/3))*0.92)</f>
        <v>13.600357971105728</v>
      </c>
      <c r="AF37" s="83">
        <f ca="1">(I37+F37+(LOG(G37)*4/3))*0.414</f>
        <v>6.1201610869975767</v>
      </c>
      <c r="AG37" s="83">
        <f ca="1">((J37+F37+(LOG(G37)*4/3))*0.167)</f>
        <v>0.8188006317115829</v>
      </c>
      <c r="AH37" s="329">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26</v>
      </c>
      <c r="D38" t="str">
        <f t="shared" si="76"/>
        <v>CAB</v>
      </c>
      <c r="E38" s="267">
        <f t="shared" si="76"/>
        <v>36526</v>
      </c>
      <c r="F38" s="196">
        <f t="shared" ref="F38:F60" si="77">I4</f>
        <v>1.5</v>
      </c>
      <c r="G38" s="197">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197">
        <f t="shared" ref="O38:O60" si="85">((2*(L38+1))+(I38+1))/8</f>
        <v>1.7312500000000002</v>
      </c>
      <c r="P38" s="197">
        <f t="shared" ref="P38:P60" si="86">1.66*(M38+(LOG(G38)*4/3)+F38)+0.55*(N38+(LOG(G38)*4/3)+F38)-7.6</f>
        <v>6.6610429629290131</v>
      </c>
      <c r="Q38" s="197">
        <f t="shared" ref="Q38:Q60" si="87">(0.5*M38+ 0.3*N38)/10</f>
        <v>0.44849999999999995</v>
      </c>
      <c r="R38" s="197">
        <f t="shared" ref="R38:R60" si="88">(0.4*I38+0.3*N38)/10</f>
        <v>0.72649999999999992</v>
      </c>
      <c r="S38" s="197">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9">
        <f t="shared" ref="AE38:AE60" si="101">((I38+F38+(LOG(G38)*4/3))*0.92)</f>
        <v>8.9077825909025758</v>
      </c>
      <c r="AF38" s="83">
        <f t="shared" ref="AF38:AF60" si="102">(I38+F38+(LOG(G38)*4/3))*0.414</f>
        <v>4.0085021659061582</v>
      </c>
      <c r="AG38" s="83">
        <f t="shared" ref="AG38:AG60" si="103">((J38+F38+(LOG(G38)*4/3))*0.167)</f>
        <v>0.61495618769644578</v>
      </c>
      <c r="AH38" s="329">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28</v>
      </c>
      <c r="D39">
        <f t="shared" si="156"/>
        <v>0</v>
      </c>
      <c r="E39" s="267">
        <f t="shared" si="156"/>
        <v>36526</v>
      </c>
      <c r="F39" s="196">
        <f t="shared" si="77"/>
        <v>1.5</v>
      </c>
      <c r="G39" s="197">
        <f t="shared" ref="G39:H39" si="157">J5</f>
        <v>18</v>
      </c>
      <c r="H39" s="49">
        <f t="shared" si="157"/>
        <v>0</v>
      </c>
      <c r="I39" s="49">
        <f t="shared" si="79"/>
        <v>11.95</v>
      </c>
      <c r="J39" s="49">
        <f t="shared" si="80"/>
        <v>12.95</v>
      </c>
      <c r="K39" s="49">
        <f t="shared" si="81"/>
        <v>8.9499999999999993</v>
      </c>
      <c r="L39" s="49">
        <f t="shared" si="82"/>
        <v>8.9499999999999993</v>
      </c>
      <c r="M39" s="49">
        <f t="shared" si="83"/>
        <v>0.95</v>
      </c>
      <c r="N39" s="49">
        <f t="shared" si="84"/>
        <v>17.177777777777774</v>
      </c>
      <c r="O39" s="197">
        <f t="shared" si="85"/>
        <v>4.1062499999999993</v>
      </c>
      <c r="P39" s="197">
        <f t="shared" si="86"/>
        <v>10.438647426148853</v>
      </c>
      <c r="Q39" s="197">
        <f t="shared" si="87"/>
        <v>0.56283333333333307</v>
      </c>
      <c r="R39" s="197">
        <f t="shared" si="88"/>
        <v>0.99333333333333318</v>
      </c>
      <c r="S39" s="197">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29">
        <f t="shared" si="101"/>
        <v>13.913800939593388</v>
      </c>
      <c r="AF39" s="83">
        <f t="shared" si="102"/>
        <v>6.2612104228170242</v>
      </c>
      <c r="AG39" s="83">
        <f t="shared" si="103"/>
        <v>2.6926573444696693</v>
      </c>
      <c r="AH39" s="329">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2.1682431253270247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5.0001568670825627</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5.3004459668784296</v>
      </c>
      <c r="CB39" s="83">
        <f t="shared" si="150"/>
        <v>8.9872824543284295</v>
      </c>
      <c r="CC39" s="83">
        <f t="shared" si="151"/>
        <v>5.3004459668784296</v>
      </c>
      <c r="CD39" s="83">
        <f t="shared" si="152"/>
        <v>5.3430630275724793</v>
      </c>
      <c r="CE39" s="83">
        <f t="shared" si="153"/>
        <v>8.5973407459819011</v>
      </c>
      <c r="CF39" s="83">
        <f t="shared" si="154"/>
        <v>5.3430630275724793</v>
      </c>
      <c r="CG39" s="83">
        <f t="shared" si="155"/>
        <v>4.0309241683677683</v>
      </c>
    </row>
    <row r="40" spans="1:85" x14ac:dyDescent="0.25">
      <c r="A40" t="str">
        <f t="shared" ref="A40:E40" si="158">A6</f>
        <v>B. Bartolache</v>
      </c>
      <c r="B40">
        <f t="shared" si="158"/>
        <v>36</v>
      </c>
      <c r="C40">
        <f t="shared" ca="1" si="158"/>
        <v>13</v>
      </c>
      <c r="D40">
        <f t="shared" si="158"/>
        <v>0</v>
      </c>
      <c r="E40" s="267">
        <f t="shared" si="158"/>
        <v>36526</v>
      </c>
      <c r="F40" s="196">
        <f t="shared" si="77"/>
        <v>1.5</v>
      </c>
      <c r="G40" s="197">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7">
        <f t="shared" si="85"/>
        <v>3.8562499999999997</v>
      </c>
      <c r="P40" s="197">
        <f t="shared" si="86"/>
        <v>10.910478981528717</v>
      </c>
      <c r="Q40" s="197">
        <f t="shared" si="87"/>
        <v>0.5774999999999999</v>
      </c>
      <c r="R40" s="197">
        <f t="shared" si="88"/>
        <v>0.95799999999999996</v>
      </c>
      <c r="S40" s="197">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9">
        <f t="shared" si="101"/>
        <v>13.68884192896218</v>
      </c>
      <c r="AF40" s="83">
        <f t="shared" si="102"/>
        <v>6.1599788680329803</v>
      </c>
      <c r="AG40" s="83">
        <f t="shared" si="103"/>
        <v>1.4828223936268308</v>
      </c>
      <c r="AH40" s="329">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36</v>
      </c>
      <c r="D41">
        <f t="shared" si="160"/>
        <v>0</v>
      </c>
      <c r="E41" s="267">
        <f t="shared" si="160"/>
        <v>36526</v>
      </c>
      <c r="F41" s="196">
        <f t="shared" si="77"/>
        <v>1.5</v>
      </c>
      <c r="G41" s="197">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7">
        <f t="shared" si="85"/>
        <v>3.7914166666666662</v>
      </c>
      <c r="P41" s="197">
        <f t="shared" si="86"/>
        <v>10.302251263501001</v>
      </c>
      <c r="Q41" s="197">
        <f t="shared" si="87"/>
        <v>0.5475833333333332</v>
      </c>
      <c r="R41" s="197">
        <f t="shared" si="88"/>
        <v>0.78426999999999991</v>
      </c>
      <c r="S41" s="197">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29">
        <f t="shared" si="101"/>
        <v>11.196817740663061</v>
      </c>
      <c r="AF41" s="83">
        <f t="shared" si="102"/>
        <v>5.0385679832983774</v>
      </c>
      <c r="AG41" s="83">
        <f t="shared" si="103"/>
        <v>1.764486495678331</v>
      </c>
      <c r="AH41" s="329">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102</v>
      </c>
      <c r="D42" t="str">
        <f t="shared" si="162"/>
        <v>IMP</v>
      </c>
      <c r="E42" s="267">
        <f t="shared" si="162"/>
        <v>36526</v>
      </c>
      <c r="F42" s="196">
        <f t="shared" si="77"/>
        <v>1.5</v>
      </c>
      <c r="G42" s="197">
        <f t="shared" ref="G42:H42" si="163">J8</f>
        <v>17.100000000000001</v>
      </c>
      <c r="H42" s="49">
        <f t="shared" si="163"/>
        <v>0</v>
      </c>
      <c r="I42" s="49">
        <f t="shared" si="79"/>
        <v>11.95</v>
      </c>
      <c r="J42" s="49">
        <f t="shared" si="80"/>
        <v>11.95</v>
      </c>
      <c r="K42" s="49">
        <f t="shared" si="81"/>
        <v>12.95</v>
      </c>
      <c r="L42" s="49">
        <f t="shared" si="82"/>
        <v>9.9499999999999993</v>
      </c>
      <c r="M42" s="49">
        <f t="shared" si="83"/>
        <v>5.95</v>
      </c>
      <c r="N42" s="49">
        <f t="shared" si="84"/>
        <v>17.529999999999998</v>
      </c>
      <c r="O42" s="197">
        <f t="shared" si="85"/>
        <v>4.3562499999999993</v>
      </c>
      <c r="P42" s="197">
        <f t="shared" si="86"/>
        <v>18.866728538622212</v>
      </c>
      <c r="Q42" s="197">
        <f t="shared" si="87"/>
        <v>0.82340000000000002</v>
      </c>
      <c r="R42" s="197">
        <f t="shared" si="88"/>
        <v>1.0039</v>
      </c>
      <c r="S42" s="197">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3.5923707656977766</v>
      </c>
      <c r="AA42" s="83">
        <f t="shared" si="97"/>
        <v>5.7055300396376456</v>
      </c>
      <c r="AB42" s="83">
        <f t="shared" si="98"/>
        <v>10.912958250418034</v>
      </c>
      <c r="AC42" s="83">
        <f t="shared" si="99"/>
        <v>2.8527650198188228</v>
      </c>
      <c r="AD42" s="83">
        <f t="shared" si="100"/>
        <v>5.8111880033346388</v>
      </c>
      <c r="AE42" s="329">
        <f t="shared" si="101"/>
        <v>13.886475228747708</v>
      </c>
      <c r="AF42" s="83">
        <f t="shared" si="102"/>
        <v>6.2489138529364681</v>
      </c>
      <c r="AG42" s="83">
        <f t="shared" si="103"/>
        <v>2.5206971339139863</v>
      </c>
      <c r="AH42" s="329">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14.248731104280257</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15.093994813856204</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13.297809431007316</v>
      </c>
      <c r="BD42" s="83">
        <f t="shared" si="126"/>
        <v>13.362561389518167</v>
      </c>
      <c r="BE42" s="83">
        <f t="shared" si="127"/>
        <v>3.1556527501393452</v>
      </c>
      <c r="BF42" s="83">
        <f t="shared" si="128"/>
        <v>7.3205874847202592</v>
      </c>
      <c r="BG42" s="83">
        <f t="shared" si="129"/>
        <v>3.9848146308580379</v>
      </c>
      <c r="BH42" s="83">
        <f t="shared" si="130"/>
        <v>5.750812024079214</v>
      </c>
      <c r="BI42" s="83">
        <f t="shared" si="131"/>
        <v>13.463151467310325</v>
      </c>
      <c r="BJ42" s="83">
        <f t="shared" si="132"/>
        <v>0.68088773032052263</v>
      </c>
      <c r="BK42" s="83">
        <f t="shared" si="133"/>
        <v>2.7169190664941167</v>
      </c>
      <c r="BL42" s="83">
        <f t="shared" si="134"/>
        <v>1.0263916473422219</v>
      </c>
      <c r="BM42" s="83">
        <f t="shared" si="135"/>
        <v>4.6036684182261425</v>
      </c>
      <c r="BN42" s="83">
        <f t="shared" si="136"/>
        <v>19.838877330619081</v>
      </c>
      <c r="BO42" s="83">
        <f t="shared" si="137"/>
        <v>1.7676892998705878</v>
      </c>
      <c r="BP42" s="83">
        <f t="shared" si="138"/>
        <v>4.286694527135162</v>
      </c>
      <c r="BQ42" s="83">
        <f t="shared" si="139"/>
        <v>3.6829347345809138</v>
      </c>
      <c r="BR42" s="83">
        <f t="shared" si="140"/>
        <v>6.8677676403045735</v>
      </c>
      <c r="BS42" s="83">
        <f t="shared" si="141"/>
        <v>17.100146253752676</v>
      </c>
      <c r="BT42" s="83">
        <f t="shared" si="142"/>
        <v>1.5843733724766007</v>
      </c>
      <c r="BU42" s="83">
        <f t="shared" si="143"/>
        <v>4.286694527135162</v>
      </c>
      <c r="BV42" s="83">
        <f t="shared" si="144"/>
        <v>3.6829347345809138</v>
      </c>
      <c r="BW42" s="83">
        <f t="shared" si="145"/>
        <v>9.5243107275432646</v>
      </c>
      <c r="BX42" s="83">
        <f t="shared" si="146"/>
        <v>13.825125358401305</v>
      </c>
      <c r="BY42" s="83">
        <f t="shared" si="147"/>
        <v>1.9379112324507182</v>
      </c>
      <c r="BZ42" s="83">
        <f t="shared" si="148"/>
        <v>6.1281618944256193</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3.773498703464051</v>
      </c>
    </row>
    <row r="43" spans="1:85" x14ac:dyDescent="0.25">
      <c r="A43" t="str">
        <f t="shared" ref="A43:E43" si="164">A9</f>
        <v>S. Buschelman</v>
      </c>
      <c r="B43">
        <f t="shared" si="164"/>
        <v>34</v>
      </c>
      <c r="C43">
        <f t="shared" ca="1" si="164"/>
        <v>61</v>
      </c>
      <c r="D43" t="str">
        <f t="shared" si="164"/>
        <v>TEC</v>
      </c>
      <c r="E43" s="267">
        <f t="shared" si="164"/>
        <v>36526</v>
      </c>
      <c r="F43" s="196">
        <f t="shared" si="77"/>
        <v>1.5</v>
      </c>
      <c r="G43" s="197">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197">
        <f t="shared" si="85"/>
        <v>4.0254583333333329</v>
      </c>
      <c r="P43" s="197">
        <f t="shared" si="86"/>
        <v>14.520371188030476</v>
      </c>
      <c r="Q43" s="197">
        <f t="shared" si="87"/>
        <v>0.67749999999999999</v>
      </c>
      <c r="R43" s="197">
        <f t="shared" si="88"/>
        <v>0.8521466666666665</v>
      </c>
      <c r="S43" s="197">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29">
        <f t="shared" si="101"/>
        <v>11.37489437088448</v>
      </c>
      <c r="AF43" s="83">
        <f t="shared" si="102"/>
        <v>5.1187024668980152</v>
      </c>
      <c r="AG43" s="83">
        <f t="shared" si="103"/>
        <v>2.8490782752946107</v>
      </c>
      <c r="AH43" s="329">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89</v>
      </c>
      <c r="D44">
        <f t="shared" si="166"/>
        <v>0</v>
      </c>
      <c r="E44" s="267">
        <f t="shared" si="166"/>
        <v>36526</v>
      </c>
      <c r="F44" s="196">
        <f t="shared" si="77"/>
        <v>1.5</v>
      </c>
      <c r="G44" s="197">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7">
        <f t="shared" si="85"/>
        <v>3.9312499999999995</v>
      </c>
      <c r="P44" s="197">
        <f t="shared" si="86"/>
        <v>10.099226084532321</v>
      </c>
      <c r="Q44" s="197">
        <f t="shared" si="87"/>
        <v>0.5665</v>
      </c>
      <c r="R44" s="197">
        <f t="shared" si="88"/>
        <v>0.94099999999999984</v>
      </c>
      <c r="S44" s="197">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29">
        <f t="shared" si="101"/>
        <v>12.456519456004401</v>
      </c>
      <c r="AF44" s="83">
        <f t="shared" si="102"/>
        <v>5.6054337552019797</v>
      </c>
      <c r="AG44" s="83">
        <f t="shared" si="103"/>
        <v>2.6619290751660167</v>
      </c>
      <c r="AH44" s="329">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14</v>
      </c>
      <c r="D45">
        <f t="shared" si="168"/>
        <v>0</v>
      </c>
      <c r="E45" s="267">
        <f t="shared" si="168"/>
        <v>36526</v>
      </c>
      <c r="F45" s="196">
        <f t="shared" si="77"/>
        <v>1.5</v>
      </c>
      <c r="G45" s="197">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7">
        <f t="shared" si="85"/>
        <v>3.318944444444444</v>
      </c>
      <c r="P45" s="197">
        <f t="shared" si="86"/>
        <v>9.6027717628135694</v>
      </c>
      <c r="Q45" s="197">
        <f t="shared" si="87"/>
        <v>0.53291666666666671</v>
      </c>
      <c r="R45" s="197">
        <f t="shared" si="88"/>
        <v>0.61147888888888879</v>
      </c>
      <c r="S45" s="197">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9">
        <f t="shared" si="101"/>
        <v>7.3807051280088629</v>
      </c>
      <c r="AF45" s="83">
        <f t="shared" si="102"/>
        <v>3.3213173076039881</v>
      </c>
      <c r="AG45" s="83">
        <f t="shared" si="103"/>
        <v>1.8989486530673101</v>
      </c>
      <c r="AH45" s="329">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84</v>
      </c>
      <c r="D46" t="str">
        <f t="shared" si="170"/>
        <v>CAB</v>
      </c>
      <c r="E46" s="267">
        <f t="shared" si="170"/>
        <v>43626</v>
      </c>
      <c r="F46" s="196">
        <f t="shared" ca="1" si="77"/>
        <v>0.20848632838563147</v>
      </c>
      <c r="G46" s="197">
        <f t="shared" ref="G46:H46" si="171">J12</f>
        <v>0.4</v>
      </c>
      <c r="H46" s="49">
        <f t="shared" si="171"/>
        <v>0</v>
      </c>
      <c r="I46" s="49">
        <f t="shared" si="79"/>
        <v>4</v>
      </c>
      <c r="J46" s="49">
        <f t="shared" si="80"/>
        <v>7.8</v>
      </c>
      <c r="K46" s="49">
        <f t="shared" si="81"/>
        <v>3</v>
      </c>
      <c r="L46" s="49">
        <f t="shared" si="82"/>
        <v>4</v>
      </c>
      <c r="M46" s="49">
        <f t="shared" si="83"/>
        <v>7</v>
      </c>
      <c r="N46" s="49">
        <f t="shared" si="84"/>
        <v>6</v>
      </c>
      <c r="O46" s="197">
        <f t="shared" si="85"/>
        <v>1.875</v>
      </c>
      <c r="P46" s="197">
        <f t="shared" ca="1" si="86"/>
        <v>6.6081582268453083</v>
      </c>
      <c r="Q46" s="197">
        <f t="shared" si="87"/>
        <v>0.53</v>
      </c>
      <c r="R46" s="197">
        <f t="shared" si="88"/>
        <v>0.33999999999999997</v>
      </c>
      <c r="S46" s="197">
        <f t="shared" ca="1" si="89"/>
        <v>5.7631981474671186</v>
      </c>
      <c r="T46" s="83">
        <f t="shared" ca="1" si="90"/>
        <v>0.82280639458640459</v>
      </c>
      <c r="U46" s="83">
        <f t="shared" ca="1" si="91"/>
        <v>1.2841684483517162</v>
      </c>
      <c r="V46" s="83">
        <f t="shared" ca="1" si="92"/>
        <v>0.82280639458640459</v>
      </c>
      <c r="W46" s="83">
        <f t="shared" ca="1" si="93"/>
        <v>1.8977962194806239</v>
      </c>
      <c r="X46" s="83">
        <f t="shared" ca="1" si="94"/>
        <v>3.677899650156248</v>
      </c>
      <c r="Y46" s="83">
        <f t="shared" ca="1" si="95"/>
        <v>0.94889810974031197</v>
      </c>
      <c r="Z46" s="83">
        <f t="shared" ca="1" si="96"/>
        <v>1.7797401167371869</v>
      </c>
      <c r="AA46" s="83">
        <f t="shared" ca="1" si="97"/>
        <v>1.3902460677590618</v>
      </c>
      <c r="AB46" s="83">
        <f t="shared" ca="1" si="98"/>
        <v>2.6591214470629674</v>
      </c>
      <c r="AC46" s="83">
        <f t="shared" ca="1" si="99"/>
        <v>0.69512303387953089</v>
      </c>
      <c r="AD46" s="83">
        <f t="shared" ca="1" si="100"/>
        <v>2.8789913653101555</v>
      </c>
      <c r="AE46" s="329">
        <f t="shared" ca="1" si="101"/>
        <v>3.3836676781437482</v>
      </c>
      <c r="AF46" s="83">
        <f t="shared" ca="1" si="102"/>
        <v>1.5226504551646867</v>
      </c>
      <c r="AG46" s="83">
        <f t="shared" ca="1" si="103"/>
        <v>1.2488092415760934</v>
      </c>
      <c r="AH46" s="329">
        <f t="shared" ca="1" si="104"/>
        <v>1.5746049942918736</v>
      </c>
      <c r="AI46" s="83">
        <f t="shared" ca="1" si="105"/>
        <v>2.773136336217811</v>
      </c>
      <c r="AJ46" s="83">
        <f t="shared" ca="1" si="106"/>
        <v>2.6039529523106233</v>
      </c>
      <c r="AK46" s="83">
        <f t="shared" ca="1" si="107"/>
        <v>0.94820924157609343</v>
      </c>
      <c r="AL46" s="83">
        <f t="shared" ca="1" si="108"/>
        <v>0.44723509924499938</v>
      </c>
      <c r="AM46" s="83">
        <f t="shared" ca="1" si="109"/>
        <v>0.99303290554218704</v>
      </c>
      <c r="AN46" s="83">
        <f t="shared" ca="1" si="110"/>
        <v>2.1846723921928111</v>
      </c>
      <c r="AO46" s="83">
        <f t="shared" ca="1" si="111"/>
        <v>0.49651645277109352</v>
      </c>
      <c r="AP46" s="83">
        <f t="shared" ca="1" si="112"/>
        <v>7.0591372697474979</v>
      </c>
      <c r="AQ46" s="83">
        <f t="shared" ca="1" si="113"/>
        <v>0.47812695452031223</v>
      </c>
      <c r="AR46" s="83">
        <f t="shared" ca="1" si="114"/>
        <v>1.5966245974957807</v>
      </c>
      <c r="AS46" s="83">
        <f t="shared" ca="1" si="115"/>
        <v>0.23906347726015612</v>
      </c>
      <c r="AT46" s="83">
        <f t="shared" ca="1" si="116"/>
        <v>0.69512303387953089</v>
      </c>
      <c r="AU46" s="83">
        <f t="shared" ca="1" si="117"/>
        <v>1.4711598600624993</v>
      </c>
      <c r="AV46" s="83">
        <f t="shared" ca="1" si="118"/>
        <v>0.34756151693976545</v>
      </c>
      <c r="AW46" s="83">
        <f t="shared" ca="1" si="119"/>
        <v>7.4778996501562478</v>
      </c>
      <c r="AX46" s="83">
        <f t="shared" ca="1" si="120"/>
        <v>0.93050861148953079</v>
      </c>
      <c r="AY46" s="83">
        <f t="shared" ca="1" si="121"/>
        <v>2.6565227072360926</v>
      </c>
      <c r="AZ46" s="83">
        <f t="shared" ca="1" si="122"/>
        <v>0.4652543057447654</v>
      </c>
      <c r="BA46" s="83">
        <f t="shared" ca="1" si="123"/>
        <v>1.0702687981954682</v>
      </c>
      <c r="BB46" s="83">
        <f t="shared" ca="1" si="124"/>
        <v>1.2799090782543743</v>
      </c>
      <c r="BC46" s="83">
        <f t="shared" ca="1" si="125"/>
        <v>6.5880295917876541</v>
      </c>
      <c r="BD46" s="83">
        <f t="shared" ca="1" si="126"/>
        <v>2.6956527889889044</v>
      </c>
      <c r="BE46" s="83">
        <f t="shared" ca="1" si="127"/>
        <v>0.88637381568765572</v>
      </c>
      <c r="BF46" s="83">
        <f t="shared" ca="1" si="128"/>
        <v>1.7837813303257801</v>
      </c>
      <c r="BG46" s="83">
        <f t="shared" ca="1" si="129"/>
        <v>0.97096550764124956</v>
      </c>
      <c r="BH46" s="83">
        <f t="shared" ca="1" si="130"/>
        <v>2.8490797667095307</v>
      </c>
      <c r="BI46" s="83">
        <f t="shared" ca="1" si="131"/>
        <v>2.541484294236561</v>
      </c>
      <c r="BJ46" s="83">
        <f t="shared" ca="1" si="132"/>
        <v>0.19125078180812488</v>
      </c>
      <c r="BK46" s="83">
        <f t="shared" ca="1" si="133"/>
        <v>0.66202193702812462</v>
      </c>
      <c r="BL46" s="83">
        <f t="shared" ca="1" si="134"/>
        <v>0.25009717621062488</v>
      </c>
      <c r="BM46" s="83">
        <f t="shared" ca="1" si="135"/>
        <v>2.2807593932976555</v>
      </c>
      <c r="BN46" s="83">
        <f t="shared" ca="1" si="136"/>
        <v>3.7297789501009349</v>
      </c>
      <c r="BO46" s="83">
        <f t="shared" ca="1" si="137"/>
        <v>0.49651645277109352</v>
      </c>
      <c r="BP46" s="83">
        <f t="shared" ca="1" si="138"/>
        <v>1.0445235006443743</v>
      </c>
      <c r="BQ46" s="83">
        <f t="shared" ca="1" si="139"/>
        <v>0.89740751463812451</v>
      </c>
      <c r="BR46" s="83">
        <f t="shared" ca="1" si="140"/>
        <v>3.4024443408210927</v>
      </c>
      <c r="BS46" s="83">
        <f t="shared" ca="1" si="141"/>
        <v>3.2111128123731225</v>
      </c>
      <c r="BT46" s="83">
        <f t="shared" ca="1" si="142"/>
        <v>0.44502585766890601</v>
      </c>
      <c r="BU46" s="83">
        <f t="shared" ca="1" si="143"/>
        <v>1.0445235006443743</v>
      </c>
      <c r="BV46" s="83">
        <f t="shared" ca="1" si="144"/>
        <v>0.89740751463812451</v>
      </c>
      <c r="BW46" s="83">
        <f t="shared" ca="1" si="145"/>
        <v>4.7185546792485926</v>
      </c>
      <c r="BX46" s="83">
        <f t="shared" ca="1" si="146"/>
        <v>2.5897201868898421</v>
      </c>
      <c r="BY46" s="83">
        <f t="shared" ca="1" si="147"/>
        <v>0.54432914822312473</v>
      </c>
      <c r="BZ46" s="83">
        <f t="shared" ca="1" si="148"/>
        <v>3.0360272579634366</v>
      </c>
      <c r="CA46" s="83">
        <f t="shared" ca="1" si="149"/>
        <v>2.1531857177314051</v>
      </c>
      <c r="CB46" s="83">
        <f t="shared" ca="1" si="150"/>
        <v>5.8903150060759355</v>
      </c>
      <c r="CC46" s="83">
        <f t="shared" ca="1" si="151"/>
        <v>2.1531857177314051</v>
      </c>
      <c r="CD46" s="83">
        <f t="shared" ca="1" si="152"/>
        <v>3.056125036667078</v>
      </c>
      <c r="CE46" s="83">
        <f t="shared" ca="1" si="153"/>
        <v>8.0350446210639035</v>
      </c>
      <c r="CF46" s="83">
        <f t="shared" ca="1" si="154"/>
        <v>3.056125036667078</v>
      </c>
      <c r="CG46" s="83">
        <f t="shared" ca="1" si="155"/>
        <v>1.869474912539062</v>
      </c>
    </row>
    <row r="47" spans="1:85" x14ac:dyDescent="0.25">
      <c r="A47" t="str">
        <f t="shared" ref="A47:E47" si="172">A13</f>
        <v>I. Stone</v>
      </c>
      <c r="B47">
        <f t="shared" si="172"/>
        <v>18</v>
      </c>
      <c r="C47">
        <f t="shared" ca="1" si="172"/>
        <v>27</v>
      </c>
      <c r="D47" t="str">
        <f t="shared" si="172"/>
        <v>RAP</v>
      </c>
      <c r="E47" s="267">
        <f t="shared" si="172"/>
        <v>43633</v>
      </c>
      <c r="F47" s="196">
        <f t="shared" ca="1" si="77"/>
        <v>0.17470019035584383</v>
      </c>
      <c r="G47" s="197">
        <f t="shared" ref="G47:H47" si="173">J13</f>
        <v>1.2</v>
      </c>
      <c r="H47" s="49">
        <f t="shared" si="173"/>
        <v>0</v>
      </c>
      <c r="I47" s="49">
        <f t="shared" si="79"/>
        <v>3</v>
      </c>
      <c r="J47" s="49">
        <f t="shared" si="80"/>
        <v>6.25</v>
      </c>
      <c r="K47" s="49">
        <f t="shared" si="81"/>
        <v>2</v>
      </c>
      <c r="L47" s="49">
        <f t="shared" si="82"/>
        <v>6</v>
      </c>
      <c r="M47" s="49">
        <f t="shared" si="83"/>
        <v>9</v>
      </c>
      <c r="N47" s="49">
        <f t="shared" si="84"/>
        <v>2</v>
      </c>
      <c r="O47" s="197">
        <f t="shared" si="85"/>
        <v>2.25</v>
      </c>
      <c r="P47" s="197">
        <f t="shared" ca="1" si="86"/>
        <v>9.0594081590400801</v>
      </c>
      <c r="Q47" s="197">
        <f t="shared" si="87"/>
        <v>0.51</v>
      </c>
      <c r="R47" s="197">
        <f t="shared" si="88"/>
        <v>0.18000000000000002</v>
      </c>
      <c r="S47" s="197">
        <f t="shared" ca="1" si="89"/>
        <v>2.361458152589746</v>
      </c>
      <c r="T47" s="83">
        <f t="shared" ca="1" si="90"/>
        <v>1.0726802365800869</v>
      </c>
      <c r="U47" s="83">
        <f t="shared" ca="1" si="91"/>
        <v>1.6368352639460393</v>
      </c>
      <c r="V47" s="83">
        <f t="shared" ca="1" si="92"/>
        <v>1.0726802365800869</v>
      </c>
      <c r="W47" s="83">
        <f t="shared" ca="1" si="93"/>
        <v>1.6926219955043813</v>
      </c>
      <c r="X47" s="83">
        <f t="shared" ca="1" si="94"/>
        <v>3.2802751850860101</v>
      </c>
      <c r="Y47" s="83">
        <f t="shared" ca="1" si="95"/>
        <v>0.84631099775219065</v>
      </c>
      <c r="Z47" s="83">
        <f t="shared" ca="1" si="96"/>
        <v>1.5542054940504704</v>
      </c>
      <c r="AA47" s="83">
        <f t="shared" ca="1" si="97"/>
        <v>1.2399440199625118</v>
      </c>
      <c r="AB47" s="83">
        <f t="shared" ca="1" si="98"/>
        <v>2.3716389588171851</v>
      </c>
      <c r="AC47" s="83">
        <f t="shared" ca="1" si="99"/>
        <v>0.6199720099812559</v>
      </c>
      <c r="AD47" s="83">
        <f t="shared" ca="1" si="100"/>
        <v>2.5141559462581138</v>
      </c>
      <c r="AE47" s="329">
        <f t="shared" ca="1" si="101"/>
        <v>3.0178531702791296</v>
      </c>
      <c r="AF47" s="83">
        <f t="shared" ca="1" si="102"/>
        <v>1.3580339266256081</v>
      </c>
      <c r="AG47" s="83">
        <f t="shared" ca="1" si="103"/>
        <v>1.0905559559093638</v>
      </c>
      <c r="AH47" s="329">
        <f t="shared" ca="1" si="104"/>
        <v>1.340801808830574</v>
      </c>
      <c r="AI47" s="83">
        <f t="shared" ca="1" si="105"/>
        <v>2.4733274895548516</v>
      </c>
      <c r="AJ47" s="83">
        <f t="shared" ca="1" si="106"/>
        <v>2.3224348310408951</v>
      </c>
      <c r="AK47" s="83">
        <f t="shared" ca="1" si="107"/>
        <v>0.38080595590936372</v>
      </c>
      <c r="AL47" s="83">
        <f t="shared" ca="1" si="108"/>
        <v>0.72871925330477083</v>
      </c>
      <c r="AM47" s="83">
        <f t="shared" ca="1" si="109"/>
        <v>0.88567429997322278</v>
      </c>
      <c r="AN47" s="83">
        <f t="shared" ca="1" si="110"/>
        <v>1.9484834599410898</v>
      </c>
      <c r="AO47" s="83">
        <f t="shared" ca="1" si="111"/>
        <v>0.44283714998661139</v>
      </c>
      <c r="AP47" s="83">
        <f t="shared" ca="1" si="112"/>
        <v>6.1645797747211937</v>
      </c>
      <c r="AQ47" s="83">
        <f t="shared" ca="1" si="113"/>
        <v>0.8164357740611814</v>
      </c>
      <c r="AR47" s="83">
        <f t="shared" ca="1" si="114"/>
        <v>2.3591206292302007</v>
      </c>
      <c r="AS47" s="83">
        <f t="shared" ca="1" si="115"/>
        <v>0.4082178870305907</v>
      </c>
      <c r="AT47" s="83">
        <f t="shared" ca="1" si="116"/>
        <v>0.6199720099812559</v>
      </c>
      <c r="AU47" s="83">
        <f t="shared" ca="1" si="117"/>
        <v>1.3121100740344041</v>
      </c>
      <c r="AV47" s="83">
        <f t="shared" ca="1" si="118"/>
        <v>0.30998600499062795</v>
      </c>
      <c r="AW47" s="83">
        <f t="shared" ca="1" si="119"/>
        <v>6.5302751850860101</v>
      </c>
      <c r="AX47" s="83">
        <f t="shared" ca="1" si="120"/>
        <v>1.5889096218267607</v>
      </c>
      <c r="AY47" s="83">
        <f t="shared" ca="1" si="121"/>
        <v>4.0904316269823919</v>
      </c>
      <c r="AZ47" s="83">
        <f t="shared" ca="1" si="122"/>
        <v>0.79445481091338033</v>
      </c>
      <c r="BA47" s="83">
        <f t="shared" ca="1" si="123"/>
        <v>0.95456007886002892</v>
      </c>
      <c r="BB47" s="83">
        <f t="shared" ca="1" si="124"/>
        <v>1.1415357644099315</v>
      </c>
      <c r="BC47" s="83">
        <f t="shared" ca="1" si="125"/>
        <v>5.7531724380607754</v>
      </c>
      <c r="BD47" s="83">
        <f t="shared" ca="1" si="126"/>
        <v>3.2871646395414631</v>
      </c>
      <c r="BE47" s="83">
        <f t="shared" ca="1" si="127"/>
        <v>1.5135463196057284</v>
      </c>
      <c r="BF47" s="83">
        <f t="shared" ca="1" si="128"/>
        <v>1.5909334647667148</v>
      </c>
      <c r="BG47" s="83">
        <f t="shared" ca="1" si="129"/>
        <v>0.86599264886270666</v>
      </c>
      <c r="BH47" s="83">
        <f t="shared" ca="1" si="130"/>
        <v>2.4880348455177699</v>
      </c>
      <c r="BI47" s="83">
        <f t="shared" ca="1" si="131"/>
        <v>2.7969605117651728</v>
      </c>
      <c r="BJ47" s="83">
        <f t="shared" ca="1" si="132"/>
        <v>0.32657430962447254</v>
      </c>
      <c r="BK47" s="83">
        <f t="shared" ca="1" si="133"/>
        <v>0.59044953331548178</v>
      </c>
      <c r="BL47" s="83">
        <f t="shared" ca="1" si="134"/>
        <v>0.2230587125858487</v>
      </c>
      <c r="BM47" s="83">
        <f t="shared" ca="1" si="135"/>
        <v>1.991733931451233</v>
      </c>
      <c r="BN47" s="83">
        <f t="shared" ca="1" si="136"/>
        <v>4.0764338880206088</v>
      </c>
      <c r="BO47" s="83">
        <f t="shared" ca="1" si="137"/>
        <v>0.84783714998661142</v>
      </c>
      <c r="BP47" s="83">
        <f t="shared" ca="1" si="138"/>
        <v>0.9315981525644268</v>
      </c>
      <c r="BQ47" s="83">
        <f t="shared" ca="1" si="139"/>
        <v>0.80038714516098641</v>
      </c>
      <c r="BR47" s="83">
        <f t="shared" ca="1" si="140"/>
        <v>2.9712752092141348</v>
      </c>
      <c r="BS47" s="83">
        <f t="shared" ca="1" si="141"/>
        <v>3.5025449050752995</v>
      </c>
      <c r="BT47" s="83">
        <f t="shared" ca="1" si="142"/>
        <v>0.75991329739540725</v>
      </c>
      <c r="BU47" s="83">
        <f t="shared" ca="1" si="143"/>
        <v>0.9315981525644268</v>
      </c>
      <c r="BV47" s="83">
        <f t="shared" ca="1" si="144"/>
        <v>0.80038714516098641</v>
      </c>
      <c r="BW47" s="83">
        <f t="shared" ca="1" si="145"/>
        <v>4.1206036417892724</v>
      </c>
      <c r="BX47" s="83">
        <f t="shared" ca="1" si="146"/>
        <v>2.8128462906519789</v>
      </c>
      <c r="BY47" s="83">
        <f t="shared" ca="1" si="147"/>
        <v>0.92948072739272947</v>
      </c>
      <c r="BZ47" s="83">
        <f t="shared" ca="1" si="148"/>
        <v>2.6512917251449202</v>
      </c>
      <c r="CA47" s="83">
        <f t="shared" ca="1" si="149"/>
        <v>3.077023371429811</v>
      </c>
      <c r="CB47" s="83">
        <f t="shared" ca="1" si="150"/>
        <v>8.8205898584068478</v>
      </c>
      <c r="CC47" s="83">
        <f t="shared" ca="1" si="151"/>
        <v>3.077023371429811</v>
      </c>
      <c r="CD47" s="83">
        <f t="shared" ca="1" si="152"/>
        <v>4.0231893908160643</v>
      </c>
      <c r="CE47" s="83">
        <f t="shared" ca="1" si="153"/>
        <v>11.597696728382747</v>
      </c>
      <c r="CF47" s="83">
        <f t="shared" ca="1" si="154"/>
        <v>4.0231893908160643</v>
      </c>
      <c r="CG47" s="83">
        <f t="shared" ca="1" si="155"/>
        <v>1.6325687962715025</v>
      </c>
    </row>
    <row r="48" spans="1:85" x14ac:dyDescent="0.25">
      <c r="A48" t="str">
        <f t="shared" ref="A48:E48" si="174">A14</f>
        <v>G. Piscaer</v>
      </c>
      <c r="B48">
        <f t="shared" si="174"/>
        <v>18</v>
      </c>
      <c r="C48">
        <f t="shared" ca="1" si="174"/>
        <v>100</v>
      </c>
      <c r="D48" t="str">
        <f t="shared" si="174"/>
        <v>IMP</v>
      </c>
      <c r="E48" s="267">
        <f t="shared" si="174"/>
        <v>43630</v>
      </c>
      <c r="F48" s="196">
        <f t="shared" ca="1" si="77"/>
        <v>0.1895939470598198</v>
      </c>
      <c r="G48" s="197">
        <f t="shared" ref="G48:H48" si="175">J14</f>
        <v>1.8</v>
      </c>
      <c r="H48" s="49">
        <f t="shared" si="175"/>
        <v>0</v>
      </c>
      <c r="I48" s="49">
        <f t="shared" si="79"/>
        <v>4</v>
      </c>
      <c r="J48" s="49">
        <f t="shared" si="80"/>
        <v>8.6</v>
      </c>
      <c r="K48" s="49">
        <f t="shared" si="81"/>
        <v>3</v>
      </c>
      <c r="L48" s="49">
        <f t="shared" si="82"/>
        <v>2</v>
      </c>
      <c r="M48" s="49">
        <f t="shared" si="83"/>
        <v>8</v>
      </c>
      <c r="N48" s="49">
        <f t="shared" si="84"/>
        <v>0</v>
      </c>
      <c r="O48" s="197">
        <f t="shared" si="85"/>
        <v>1.375</v>
      </c>
      <c r="P48" s="197">
        <f t="shared" ca="1" si="86"/>
        <v>6.8512056047066103</v>
      </c>
      <c r="Q48" s="197">
        <f t="shared" si="87"/>
        <v>0.4</v>
      </c>
      <c r="R48" s="197">
        <f t="shared" si="88"/>
        <v>0.16</v>
      </c>
      <c r="S48" s="197">
        <f t="shared" ca="1" si="89"/>
        <v>0.61313570293273201</v>
      </c>
      <c r="T48" s="83">
        <f t="shared" ca="1" si="90"/>
        <v>1.566652711723471</v>
      </c>
      <c r="U48" s="83">
        <f t="shared" ca="1" si="91"/>
        <v>2.3841748577720514</v>
      </c>
      <c r="V48" s="83">
        <f t="shared" ca="1" si="92"/>
        <v>1.566652711723471</v>
      </c>
      <c r="W48" s="83">
        <f t="shared" ca="1" si="93"/>
        <v>2.3374579601939414</v>
      </c>
      <c r="X48" s="83">
        <f t="shared" ca="1" si="94"/>
        <v>4.5299572871975604</v>
      </c>
      <c r="Y48" s="83">
        <f t="shared" ca="1" si="95"/>
        <v>1.1687289800969707</v>
      </c>
      <c r="Z48" s="83">
        <f t="shared" ca="1" si="96"/>
        <v>2.1729298343530195</v>
      </c>
      <c r="AA48" s="83">
        <f t="shared" ca="1" si="97"/>
        <v>1.7123238545606778</v>
      </c>
      <c r="AB48" s="83">
        <f t="shared" ca="1" si="98"/>
        <v>3.275159118643836</v>
      </c>
      <c r="AC48" s="83">
        <f t="shared" ca="1" si="99"/>
        <v>0.85616192728033891</v>
      </c>
      <c r="AD48" s="83">
        <f t="shared" ca="1" si="100"/>
        <v>3.515033555571061</v>
      </c>
      <c r="AE48" s="329">
        <f t="shared" ca="1" si="101"/>
        <v>4.1675607042217555</v>
      </c>
      <c r="AF48" s="83">
        <f t="shared" ca="1" si="102"/>
        <v>1.87540231689979</v>
      </c>
      <c r="AG48" s="83">
        <f t="shared" ca="1" si="103"/>
        <v>1.5247028669619929</v>
      </c>
      <c r="AH48" s="329">
        <f t="shared" ca="1" si="104"/>
        <v>2.0756148848721661</v>
      </c>
      <c r="AI48" s="83">
        <f t="shared" ca="1" si="105"/>
        <v>3.4155877945469606</v>
      </c>
      <c r="AJ48" s="83">
        <f t="shared" ca="1" si="106"/>
        <v>3.2072097593358726</v>
      </c>
      <c r="AK48" s="83">
        <f t="shared" ca="1" si="107"/>
        <v>8.8502866961992749E-2</v>
      </c>
      <c r="AL48" s="83">
        <f t="shared" ca="1" si="108"/>
        <v>0.54862769871289763</v>
      </c>
      <c r="AM48" s="83">
        <f t="shared" ca="1" si="109"/>
        <v>1.2230884675433413</v>
      </c>
      <c r="AN48" s="83">
        <f t="shared" ca="1" si="110"/>
        <v>2.6907946285953508</v>
      </c>
      <c r="AO48" s="83">
        <f t="shared" ca="1" si="111"/>
        <v>0.61154423377167066</v>
      </c>
      <c r="AP48" s="83">
        <f t="shared" ca="1" si="112"/>
        <v>8.6186796791144964</v>
      </c>
      <c r="AQ48" s="83">
        <f t="shared" ca="1" si="113"/>
        <v>0.32889444733568296</v>
      </c>
      <c r="AR48" s="83">
        <f t="shared" ca="1" si="114"/>
        <v>1.7792774851488853</v>
      </c>
      <c r="AS48" s="83">
        <f t="shared" ca="1" si="115"/>
        <v>0.16444722366784148</v>
      </c>
      <c r="AT48" s="83">
        <f t="shared" ca="1" si="116"/>
        <v>0.85616192728033891</v>
      </c>
      <c r="AU48" s="83">
        <f t="shared" ca="1" si="117"/>
        <v>1.8119829148790243</v>
      </c>
      <c r="AV48" s="83">
        <f t="shared" ca="1" si="118"/>
        <v>0.42808096364016945</v>
      </c>
      <c r="AW48" s="83">
        <f t="shared" ca="1" si="119"/>
        <v>9.1299572871975609</v>
      </c>
      <c r="AX48" s="83">
        <f t="shared" ca="1" si="120"/>
        <v>0.64007919366098298</v>
      </c>
      <c r="AY48" s="83">
        <f t="shared" ca="1" si="121"/>
        <v>2.6540064652458559</v>
      </c>
      <c r="AZ48" s="83">
        <f t="shared" ca="1" si="122"/>
        <v>0.32003959683049149</v>
      </c>
      <c r="BA48" s="83">
        <f t="shared" ca="1" si="123"/>
        <v>1.3182175705744901</v>
      </c>
      <c r="BB48" s="83">
        <f t="shared" ca="1" si="124"/>
        <v>1.576425135944751</v>
      </c>
      <c r="BC48" s="83">
        <f t="shared" ca="1" si="125"/>
        <v>8.0434923700210508</v>
      </c>
      <c r="BD48" s="83">
        <f t="shared" ca="1" si="126"/>
        <v>2.8231320283186321</v>
      </c>
      <c r="BE48" s="83">
        <f t="shared" ca="1" si="127"/>
        <v>0.60971970621461224</v>
      </c>
      <c r="BF48" s="83">
        <f t="shared" ca="1" si="128"/>
        <v>2.1970292842908168</v>
      </c>
      <c r="BG48" s="83">
        <f t="shared" ca="1" si="129"/>
        <v>1.195908723820156</v>
      </c>
      <c r="BH48" s="83">
        <f t="shared" ca="1" si="130"/>
        <v>3.4785137264222707</v>
      </c>
      <c r="BI48" s="83">
        <f t="shared" ca="1" si="131"/>
        <v>2.8841826690106687</v>
      </c>
      <c r="BJ48" s="83">
        <f t="shared" ca="1" si="132"/>
        <v>0.13155777893427317</v>
      </c>
      <c r="BK48" s="83">
        <f t="shared" ca="1" si="133"/>
        <v>0.81539231169556081</v>
      </c>
      <c r="BL48" s="83">
        <f t="shared" ca="1" si="134"/>
        <v>0.30803709552943415</v>
      </c>
      <c r="BM48" s="83">
        <f t="shared" ca="1" si="135"/>
        <v>2.7846369725952562</v>
      </c>
      <c r="BN48" s="83">
        <f t="shared" ca="1" si="136"/>
        <v>4.2535250713360639</v>
      </c>
      <c r="BO48" s="83">
        <f t="shared" ca="1" si="137"/>
        <v>0.34154423377167081</v>
      </c>
      <c r="BP48" s="83">
        <f t="shared" ca="1" si="138"/>
        <v>1.286507869564107</v>
      </c>
      <c r="BQ48" s="83">
        <f t="shared" ca="1" si="139"/>
        <v>1.1053095780762048</v>
      </c>
      <c r="BR48" s="83">
        <f t="shared" ca="1" si="140"/>
        <v>4.1541305656748904</v>
      </c>
      <c r="BS48" s="83">
        <f t="shared" ca="1" si="141"/>
        <v>3.6671926742148977</v>
      </c>
      <c r="BT48" s="83">
        <f t="shared" ca="1" si="142"/>
        <v>0.30612483175090494</v>
      </c>
      <c r="BU48" s="83">
        <f t="shared" ca="1" si="143"/>
        <v>1.286507869564107</v>
      </c>
      <c r="BV48" s="83">
        <f t="shared" ca="1" si="144"/>
        <v>1.1053095780762048</v>
      </c>
      <c r="BW48" s="83">
        <f t="shared" ca="1" si="145"/>
        <v>5.761003048221661</v>
      </c>
      <c r="BX48" s="83">
        <f t="shared" ca="1" si="146"/>
        <v>2.9663117720418173</v>
      </c>
      <c r="BY48" s="83">
        <f t="shared" ca="1" si="147"/>
        <v>0.37443367850523906</v>
      </c>
      <c r="BZ48" s="83">
        <f t="shared" ca="1" si="148"/>
        <v>3.70676265860221</v>
      </c>
      <c r="CA48" s="83">
        <f t="shared" ca="1" si="149"/>
        <v>2.2241077466299295</v>
      </c>
      <c r="CB48" s="83">
        <f t="shared" ca="1" si="150"/>
        <v>6.3467319053844538</v>
      </c>
      <c r="CC48" s="83">
        <f t="shared" ca="1" si="151"/>
        <v>2.2241077466299295</v>
      </c>
      <c r="CD48" s="83">
        <f t="shared" ca="1" si="152"/>
        <v>3.5678689636885279</v>
      </c>
      <c r="CE48" s="83">
        <f t="shared" ca="1" si="153"/>
        <v>9.4635115261734608</v>
      </c>
      <c r="CF48" s="83">
        <f t="shared" ca="1" si="154"/>
        <v>3.5678689636885279</v>
      </c>
      <c r="CG48" s="83">
        <f t="shared" ca="1" si="155"/>
        <v>2.2824893217993902</v>
      </c>
    </row>
    <row r="49" spans="1:85" x14ac:dyDescent="0.25">
      <c r="A49" t="str">
        <f t="shared" ref="A49:E49" si="176">A15</f>
        <v>M. Bondarewski</v>
      </c>
      <c r="B49">
        <f t="shared" si="176"/>
        <v>18</v>
      </c>
      <c r="C49">
        <f t="shared" ca="1" si="176"/>
        <v>100</v>
      </c>
      <c r="D49" t="str">
        <f t="shared" si="176"/>
        <v>RAP</v>
      </c>
      <c r="E49" s="267">
        <f t="shared" si="176"/>
        <v>43627</v>
      </c>
      <c r="F49" s="196">
        <f t="shared" ca="1" si="77"/>
        <v>0.20385623665224431</v>
      </c>
      <c r="G49" s="197">
        <f t="shared" ref="G49:H49" si="177">J15</f>
        <v>1.6</v>
      </c>
      <c r="H49" s="49">
        <f t="shared" si="177"/>
        <v>0</v>
      </c>
      <c r="I49" s="49">
        <f t="shared" si="79"/>
        <v>2</v>
      </c>
      <c r="J49" s="49">
        <f t="shared" si="80"/>
        <v>8.8000000000000007</v>
      </c>
      <c r="K49" s="49">
        <f t="shared" si="81"/>
        <v>5</v>
      </c>
      <c r="L49" s="49">
        <f t="shared" si="82"/>
        <v>4</v>
      </c>
      <c r="M49" s="49">
        <f t="shared" si="83"/>
        <v>8</v>
      </c>
      <c r="N49" s="49">
        <f t="shared" si="84"/>
        <v>6</v>
      </c>
      <c r="O49" s="197">
        <f t="shared" si="85"/>
        <v>1.625</v>
      </c>
      <c r="P49" s="197">
        <f t="shared" ca="1" si="86"/>
        <v>10.031995831894251</v>
      </c>
      <c r="Q49" s="197">
        <f t="shared" si="87"/>
        <v>0.57999999999999996</v>
      </c>
      <c r="R49" s="197">
        <f t="shared" si="88"/>
        <v>0.25999999999999995</v>
      </c>
      <c r="S49" s="197">
        <f t="shared" ca="1" si="89"/>
        <v>6.5608351114693795</v>
      </c>
      <c r="T49" s="83">
        <f t="shared" ca="1" si="90"/>
        <v>0.96756215440890569</v>
      </c>
      <c r="U49" s="83">
        <f t="shared" ca="1" si="91"/>
        <v>1.4645369316631127</v>
      </c>
      <c r="V49" s="83">
        <f t="shared" ca="1" si="92"/>
        <v>0.96756215440890569</v>
      </c>
      <c r="W49" s="83">
        <f t="shared" ca="1" si="93"/>
        <v>1.2776243661798345</v>
      </c>
      <c r="X49" s="83">
        <f t="shared" ca="1" si="94"/>
        <v>2.4760162135268109</v>
      </c>
      <c r="Y49" s="83">
        <f t="shared" ca="1" si="95"/>
        <v>0.63881218308991727</v>
      </c>
      <c r="Z49" s="83">
        <f t="shared" ca="1" si="96"/>
        <v>2.2076918588193815</v>
      </c>
      <c r="AA49" s="83">
        <f t="shared" ca="1" si="97"/>
        <v>0.93593412871313453</v>
      </c>
      <c r="AB49" s="83">
        <f t="shared" ca="1" si="98"/>
        <v>1.7901597223798842</v>
      </c>
      <c r="AC49" s="83">
        <f t="shared" ca="1" si="99"/>
        <v>0.46796706435656726</v>
      </c>
      <c r="AD49" s="83">
        <f t="shared" ca="1" si="100"/>
        <v>3.5712662422078227</v>
      </c>
      <c r="AE49" s="329">
        <f t="shared" ca="1" si="101"/>
        <v>2.2779349164446661</v>
      </c>
      <c r="AF49" s="83">
        <f t="shared" ca="1" si="102"/>
        <v>1.0250707124000997</v>
      </c>
      <c r="AG49" s="83">
        <f t="shared" ca="1" si="103"/>
        <v>1.5490947076589778</v>
      </c>
      <c r="AH49" s="329">
        <f t="shared" ca="1" si="104"/>
        <v>3.2198975335537647</v>
      </c>
      <c r="AI49" s="83">
        <f t="shared" ca="1" si="105"/>
        <v>1.8669162249992155</v>
      </c>
      <c r="AJ49" s="83">
        <f t="shared" ca="1" si="106"/>
        <v>1.753019479176982</v>
      </c>
      <c r="AK49" s="83">
        <f t="shared" ca="1" si="107"/>
        <v>1.0814947076589774</v>
      </c>
      <c r="AL49" s="83">
        <f t="shared" ca="1" si="108"/>
        <v>0.60509266949572149</v>
      </c>
      <c r="AM49" s="83">
        <f t="shared" ca="1" si="109"/>
        <v>0.66852437765223893</v>
      </c>
      <c r="AN49" s="83">
        <f t="shared" ca="1" si="110"/>
        <v>1.4707536308349256</v>
      </c>
      <c r="AO49" s="83">
        <f t="shared" ca="1" si="111"/>
        <v>0.33426218882611947</v>
      </c>
      <c r="AP49" s="83">
        <f t="shared" ca="1" si="112"/>
        <v>8.7565593055693114</v>
      </c>
      <c r="AQ49" s="83">
        <f t="shared" ca="1" si="113"/>
        <v>0.58188210775848548</v>
      </c>
      <c r="AR49" s="83">
        <f t="shared" ca="1" si="114"/>
        <v>2.0034727505633558</v>
      </c>
      <c r="AS49" s="83">
        <f t="shared" ca="1" si="115"/>
        <v>0.29094105387924274</v>
      </c>
      <c r="AT49" s="83">
        <f t="shared" ca="1" si="116"/>
        <v>0.46796706435656726</v>
      </c>
      <c r="AU49" s="83">
        <f t="shared" ca="1" si="117"/>
        <v>0.9904064854107244</v>
      </c>
      <c r="AV49" s="83">
        <f t="shared" ca="1" si="118"/>
        <v>0.23398353217828363</v>
      </c>
      <c r="AW49" s="83">
        <f t="shared" ca="1" si="119"/>
        <v>9.2760162135268125</v>
      </c>
      <c r="AX49" s="83">
        <f t="shared" ca="1" si="120"/>
        <v>1.1324321020222832</v>
      </c>
      <c r="AY49" s="83">
        <f t="shared" ca="1" si="121"/>
        <v>3.3062849336532727</v>
      </c>
      <c r="AZ49" s="83">
        <f t="shared" ca="1" si="122"/>
        <v>0.56621605101114159</v>
      </c>
      <c r="BA49" s="83">
        <f t="shared" ca="1" si="123"/>
        <v>0.72052071813630192</v>
      </c>
      <c r="BB49" s="83">
        <f t="shared" ca="1" si="124"/>
        <v>0.8616536423073301</v>
      </c>
      <c r="BC49" s="83">
        <f t="shared" ca="1" si="125"/>
        <v>8.1721702841171222</v>
      </c>
      <c r="BD49" s="83">
        <f t="shared" ca="1" si="126"/>
        <v>4.5531784138253348</v>
      </c>
      <c r="BE49" s="83">
        <f t="shared" ca="1" si="127"/>
        <v>1.0787199074599614</v>
      </c>
      <c r="BF49" s="83">
        <f t="shared" ca="1" si="128"/>
        <v>1.2008678635605032</v>
      </c>
      <c r="BG49" s="83">
        <f t="shared" ca="1" si="129"/>
        <v>0.65366828037107816</v>
      </c>
      <c r="BH49" s="83">
        <f t="shared" ca="1" si="130"/>
        <v>3.5341621773537155</v>
      </c>
      <c r="BI49" s="83">
        <f t="shared" ca="1" si="131"/>
        <v>4.5850381706224335</v>
      </c>
      <c r="BJ49" s="83">
        <f t="shared" ca="1" si="132"/>
        <v>0.23275284310339417</v>
      </c>
      <c r="BK49" s="83">
        <f t="shared" ca="1" si="133"/>
        <v>0.44568291843482594</v>
      </c>
      <c r="BL49" s="83">
        <f t="shared" ca="1" si="134"/>
        <v>0.16836910251982315</v>
      </c>
      <c r="BM49" s="83">
        <f t="shared" ca="1" si="135"/>
        <v>2.8291849451256779</v>
      </c>
      <c r="BN49" s="83">
        <f t="shared" ca="1" si="136"/>
        <v>6.7561568505954792</v>
      </c>
      <c r="BO49" s="83">
        <f t="shared" ca="1" si="137"/>
        <v>0.60426218882611948</v>
      </c>
      <c r="BP49" s="83">
        <f t="shared" ca="1" si="138"/>
        <v>0.70318860464161426</v>
      </c>
      <c r="BQ49" s="83">
        <f t="shared" ca="1" si="139"/>
        <v>0.60414795610054184</v>
      </c>
      <c r="BR49" s="83">
        <f t="shared" ca="1" si="140"/>
        <v>4.2205873771546996</v>
      </c>
      <c r="BS49" s="83">
        <f t="shared" ca="1" si="141"/>
        <v>5.823425964587706</v>
      </c>
      <c r="BT49" s="83">
        <f t="shared" ca="1" si="142"/>
        <v>0.54159796183674414</v>
      </c>
      <c r="BU49" s="83">
        <f t="shared" ca="1" si="143"/>
        <v>0.70318860464161426</v>
      </c>
      <c r="BV49" s="83">
        <f t="shared" ca="1" si="144"/>
        <v>0.60414795610054184</v>
      </c>
      <c r="BW49" s="83">
        <f t="shared" ca="1" si="145"/>
        <v>5.8531662307354191</v>
      </c>
      <c r="BX49" s="83">
        <f t="shared" ca="1" si="146"/>
        <v>4.7080345111064954</v>
      </c>
      <c r="BY49" s="83">
        <f t="shared" ca="1" si="147"/>
        <v>0.66245039960196794</v>
      </c>
      <c r="BZ49" s="83">
        <f t="shared" ca="1" si="148"/>
        <v>3.7660625826918861</v>
      </c>
      <c r="CA49" s="83">
        <f t="shared" ca="1" si="149"/>
        <v>2.9840044472474685</v>
      </c>
      <c r="CB49" s="83">
        <f t="shared" ca="1" si="150"/>
        <v>7.37199425643119</v>
      </c>
      <c r="CC49" s="83">
        <f t="shared" ca="1" si="151"/>
        <v>2.9840044472474685</v>
      </c>
      <c r="CD49" s="83">
        <f t="shared" ca="1" si="152"/>
        <v>4.256555479497619</v>
      </c>
      <c r="CE49" s="83">
        <f t="shared" ca="1" si="153"/>
        <v>10.127666196318206</v>
      </c>
      <c r="CF49" s="83">
        <f t="shared" ca="1" si="154"/>
        <v>4.256555479497619</v>
      </c>
      <c r="CG49" s="83">
        <f t="shared" ca="1" si="155"/>
        <v>2.3190040533817031</v>
      </c>
    </row>
    <row r="50" spans="1:85" x14ac:dyDescent="0.25">
      <c r="A50" t="str">
        <f t="shared" ref="A50:E50" si="178">A16</f>
        <v>J. Vartiainen</v>
      </c>
      <c r="B50">
        <f t="shared" si="178"/>
        <v>19</v>
      </c>
      <c r="C50">
        <f t="shared" ca="1" si="178"/>
        <v>34</v>
      </c>
      <c r="D50" t="str">
        <f t="shared" si="178"/>
        <v>CAB</v>
      </c>
      <c r="E50" s="267">
        <f t="shared" si="178"/>
        <v>43628</v>
      </c>
      <c r="F50" s="196">
        <f t="shared" ca="1" si="77"/>
        <v>0.199166215696265</v>
      </c>
      <c r="G50" s="197">
        <f t="shared" ref="G50:H50" si="179">J16</f>
        <v>0.3</v>
      </c>
      <c r="H50" s="49">
        <f t="shared" si="179"/>
        <v>0</v>
      </c>
      <c r="I50" s="49">
        <f t="shared" si="79"/>
        <v>7</v>
      </c>
      <c r="J50" s="49">
        <f t="shared" si="80"/>
        <v>7.7111111111111104</v>
      </c>
      <c r="K50" s="49">
        <f t="shared" si="81"/>
        <v>1</v>
      </c>
      <c r="L50" s="49">
        <f t="shared" si="82"/>
        <v>1</v>
      </c>
      <c r="M50" s="49">
        <f t="shared" si="83"/>
        <v>6</v>
      </c>
      <c r="N50" s="49">
        <f t="shared" si="84"/>
        <v>1</v>
      </c>
      <c r="O50" s="197">
        <f t="shared" si="85"/>
        <v>1.5</v>
      </c>
      <c r="P50" s="197">
        <f t="shared" ca="1" si="86"/>
        <v>1.8094079672626862</v>
      </c>
      <c r="Q50" s="197">
        <f t="shared" si="87"/>
        <v>0.32999999999999996</v>
      </c>
      <c r="R50" s="197">
        <f t="shared" si="88"/>
        <v>0.31</v>
      </c>
      <c r="S50" s="197">
        <f t="shared" ca="1" si="89"/>
        <v>0.58630169438313684</v>
      </c>
      <c r="T50" s="83">
        <f t="shared" ca="1" si="90"/>
        <v>1.4972412467965266</v>
      </c>
      <c r="U50" s="83">
        <f t="shared" ca="1" si="91"/>
        <v>2.3320749709213238</v>
      </c>
      <c r="V50" s="83">
        <f t="shared" ca="1" si="92"/>
        <v>1.4972412467965266</v>
      </c>
      <c r="W50" s="83">
        <f t="shared" ca="1" si="93"/>
        <v>3.3550291905464009</v>
      </c>
      <c r="X50" s="83">
        <f t="shared" ca="1" si="94"/>
        <v>6.5019945553224821</v>
      </c>
      <c r="Y50" s="83">
        <f t="shared" ca="1" si="95"/>
        <v>1.6775145952732005</v>
      </c>
      <c r="Z50" s="83">
        <f t="shared" ca="1" si="96"/>
        <v>1.716719148611195</v>
      </c>
      <c r="AA50" s="83">
        <f t="shared" ca="1" si="97"/>
        <v>2.4577539419118981</v>
      </c>
      <c r="AB50" s="83">
        <f t="shared" ca="1" si="98"/>
        <v>4.7009420634981547</v>
      </c>
      <c r="AC50" s="83">
        <f t="shared" ca="1" si="99"/>
        <v>1.2288769709559491</v>
      </c>
      <c r="AD50" s="83">
        <f t="shared" ca="1" si="100"/>
        <v>2.7770456815769333</v>
      </c>
      <c r="AE50" s="329">
        <f t="shared" ca="1" si="101"/>
        <v>5.9818349908966839</v>
      </c>
      <c r="AF50" s="83">
        <f t="shared" ca="1" si="102"/>
        <v>2.6918257459035075</v>
      </c>
      <c r="AG50" s="83">
        <f t="shared" ca="1" si="103"/>
        <v>1.20458864629441</v>
      </c>
      <c r="AH50" s="329">
        <f t="shared" ca="1" si="104"/>
        <v>0.29517279852961908</v>
      </c>
      <c r="AI50" s="83">
        <f t="shared" ca="1" si="105"/>
        <v>4.9025038947131518</v>
      </c>
      <c r="AJ50" s="83">
        <f t="shared" ca="1" si="106"/>
        <v>4.603412145168317</v>
      </c>
      <c r="AK50" s="83">
        <f t="shared" ca="1" si="107"/>
        <v>8.3833090738854421E-2</v>
      </c>
      <c r="AL50" s="83">
        <f t="shared" ca="1" si="108"/>
        <v>0.28857443193287469</v>
      </c>
      <c r="AM50" s="83">
        <f t="shared" ca="1" si="109"/>
        <v>1.7555385299370703</v>
      </c>
      <c r="AN50" s="83">
        <f t="shared" ca="1" si="110"/>
        <v>3.8621847658615542</v>
      </c>
      <c r="AO50" s="83">
        <f t="shared" ca="1" si="111"/>
        <v>0.87776926496853513</v>
      </c>
      <c r="AP50" s="83">
        <f t="shared" ca="1" si="112"/>
        <v>6.809171749113311</v>
      </c>
      <c r="AQ50" s="83">
        <f t="shared" ca="1" si="113"/>
        <v>6.5259292191922599E-2</v>
      </c>
      <c r="AR50" s="83">
        <f t="shared" ca="1" si="114"/>
        <v>1.012084404709487</v>
      </c>
      <c r="AS50" s="83">
        <f t="shared" ca="1" si="115"/>
        <v>3.26296460959613E-2</v>
      </c>
      <c r="AT50" s="83">
        <f t="shared" ca="1" si="116"/>
        <v>1.2288769709559491</v>
      </c>
      <c r="AU50" s="83">
        <f t="shared" ca="1" si="117"/>
        <v>2.6007978221289929</v>
      </c>
      <c r="AV50" s="83">
        <f t="shared" ca="1" si="118"/>
        <v>0.61443848547797453</v>
      </c>
      <c r="AW50" s="83">
        <f t="shared" ca="1" si="119"/>
        <v>7.2131056664335924</v>
      </c>
      <c r="AX50" s="83">
        <f t="shared" ca="1" si="120"/>
        <v>0.12700462249658781</v>
      </c>
      <c r="AY50" s="83">
        <f t="shared" ca="1" si="121"/>
        <v>1.3265989999826875</v>
      </c>
      <c r="AZ50" s="83">
        <f t="shared" ca="1" si="122"/>
        <v>6.3502311248293905E-2</v>
      </c>
      <c r="BA50" s="83">
        <f t="shared" ca="1" si="123"/>
        <v>1.8920804155988422</v>
      </c>
      <c r="BB50" s="83">
        <f t="shared" ca="1" si="124"/>
        <v>2.2626941052522236</v>
      </c>
      <c r="BC50" s="83">
        <f t="shared" ca="1" si="125"/>
        <v>6.3547460921279946</v>
      </c>
      <c r="BD50" s="83">
        <f t="shared" ca="1" si="126"/>
        <v>0.44627315968168602</v>
      </c>
      <c r="BE50" s="83">
        <f t="shared" ca="1" si="127"/>
        <v>0.12098068783271804</v>
      </c>
      <c r="BF50" s="83">
        <f t="shared" ca="1" si="128"/>
        <v>3.1534673593314038</v>
      </c>
      <c r="BG50" s="83">
        <f t="shared" ca="1" si="129"/>
        <v>1.7165265626051354</v>
      </c>
      <c r="BH50" s="83">
        <f t="shared" ca="1" si="130"/>
        <v>2.7481932589111988</v>
      </c>
      <c r="BI50" s="83">
        <f t="shared" ca="1" si="131"/>
        <v>0.43874324135184883</v>
      </c>
      <c r="BJ50" s="83">
        <f t="shared" ca="1" si="132"/>
        <v>2.6103716876769035E-2</v>
      </c>
      <c r="BK50" s="83">
        <f t="shared" ca="1" si="133"/>
        <v>1.1703590199580467</v>
      </c>
      <c r="BL50" s="83">
        <f t="shared" ca="1" si="134"/>
        <v>0.44213562976192883</v>
      </c>
      <c r="BM50" s="83">
        <f t="shared" ca="1" si="135"/>
        <v>2.1999972282622458</v>
      </c>
      <c r="BN50" s="83">
        <f t="shared" ca="1" si="136"/>
        <v>0.64556499814471113</v>
      </c>
      <c r="BO50" s="83">
        <f t="shared" ca="1" si="137"/>
        <v>6.7769264968535012E-2</v>
      </c>
      <c r="BP50" s="83">
        <f t="shared" ca="1" si="138"/>
        <v>1.8465664537115847</v>
      </c>
      <c r="BQ50" s="83">
        <f t="shared" ca="1" si="139"/>
        <v>1.5864866714986856</v>
      </c>
      <c r="BR50" s="83">
        <f t="shared" ca="1" si="140"/>
        <v>3.2819630782272848</v>
      </c>
      <c r="BS50" s="83">
        <f t="shared" ca="1" si="141"/>
        <v>0.55620996729730954</v>
      </c>
      <c r="BT50" s="83">
        <f t="shared" ca="1" si="142"/>
        <v>6.0741341194020262E-2</v>
      </c>
      <c r="BU50" s="83">
        <f t="shared" ca="1" si="143"/>
        <v>1.8465664537115847</v>
      </c>
      <c r="BV50" s="83">
        <f t="shared" ca="1" si="144"/>
        <v>1.5864866714986856</v>
      </c>
      <c r="BW50" s="83">
        <f t="shared" ca="1" si="145"/>
        <v>4.5514696755195967</v>
      </c>
      <c r="BX50" s="83">
        <f t="shared" ca="1" si="146"/>
        <v>0.44928512701362094</v>
      </c>
      <c r="BY50" s="83">
        <f t="shared" ca="1" si="147"/>
        <v>7.4295194187727259E-2</v>
      </c>
      <c r="BZ50" s="83">
        <f t="shared" ca="1" si="148"/>
        <v>2.9285209005720385</v>
      </c>
      <c r="CA50" s="83">
        <f t="shared" ca="1" si="149"/>
        <v>0.89653916332301287</v>
      </c>
      <c r="CB50" s="83">
        <f t="shared" ca="1" si="150"/>
        <v>3.4802458692931144</v>
      </c>
      <c r="CC50" s="83">
        <f t="shared" ca="1" si="151"/>
        <v>0.89653916332301287</v>
      </c>
      <c r="CD50" s="83">
        <f t="shared" ca="1" si="152"/>
        <v>1.8209593918848772</v>
      </c>
      <c r="CE50" s="83">
        <f t="shared" ca="1" si="153"/>
        <v>5.6872305462364778</v>
      </c>
      <c r="CF50" s="83">
        <f t="shared" ca="1" si="154"/>
        <v>1.8209593918848772</v>
      </c>
      <c r="CG50" s="83">
        <f t="shared" ca="1" si="155"/>
        <v>1.8032764166083981</v>
      </c>
    </row>
    <row r="51" spans="1:85" x14ac:dyDescent="0.25">
      <c r="A51" t="str">
        <f t="shared" ref="A51:E51" si="180">A17</f>
        <v>R. Forsyth</v>
      </c>
      <c r="B51">
        <f t="shared" si="180"/>
        <v>19</v>
      </c>
      <c r="C51">
        <f t="shared" ca="1" si="180"/>
        <v>29</v>
      </c>
      <c r="D51" t="str">
        <f t="shared" si="180"/>
        <v>POT</v>
      </c>
      <c r="E51" s="267">
        <f t="shared" si="180"/>
        <v>43626</v>
      </c>
      <c r="F51" s="196">
        <f t="shared" ca="1" si="77"/>
        <v>0.20848632838563147</v>
      </c>
      <c r="G51" s="197">
        <f t="shared" ref="G51:H51" si="181">J17</f>
        <v>1.8</v>
      </c>
      <c r="H51" s="49">
        <f t="shared" si="181"/>
        <v>0</v>
      </c>
      <c r="I51" s="49">
        <f t="shared" si="79"/>
        <v>7</v>
      </c>
      <c r="J51" s="49">
        <f t="shared" si="80"/>
        <v>8</v>
      </c>
      <c r="K51" s="49">
        <f t="shared" si="81"/>
        <v>2</v>
      </c>
      <c r="L51" s="49">
        <f t="shared" si="82"/>
        <v>4</v>
      </c>
      <c r="M51" s="49">
        <f t="shared" si="83"/>
        <v>6</v>
      </c>
      <c r="N51" s="49">
        <f t="shared" si="84"/>
        <v>2</v>
      </c>
      <c r="O51" s="197">
        <f t="shared" si="85"/>
        <v>2.25</v>
      </c>
      <c r="P51" s="197">
        <f t="shared" ca="1" si="86"/>
        <v>4.6729577674366531</v>
      </c>
      <c r="Q51" s="197">
        <f t="shared" si="87"/>
        <v>0.36</v>
      </c>
      <c r="R51" s="197">
        <f t="shared" si="88"/>
        <v>0.34</v>
      </c>
      <c r="S51" s="197">
        <f t="shared" ca="1" si="89"/>
        <v>2.6341481658342429</v>
      </c>
      <c r="T51" s="83">
        <f t="shared" ca="1" si="90"/>
        <v>2.4111457606209044</v>
      </c>
      <c r="U51" s="83">
        <f t="shared" ca="1" si="91"/>
        <v>3.6835649220636739</v>
      </c>
      <c r="V51" s="83">
        <f t="shared" ca="1" si="92"/>
        <v>2.4111457606209044</v>
      </c>
      <c r="W51" s="83">
        <f t="shared" ca="1" si="93"/>
        <v>3.8952064289580601</v>
      </c>
      <c r="X51" s="83">
        <f t="shared" ca="1" si="94"/>
        <v>7.5488496685233724</v>
      </c>
      <c r="Y51" s="83">
        <f t="shared" ca="1" si="95"/>
        <v>1.9476032144790301</v>
      </c>
      <c r="Z51" s="83">
        <f t="shared" ca="1" si="96"/>
        <v>2.0346262211085628</v>
      </c>
      <c r="AA51" s="83">
        <f t="shared" ca="1" si="97"/>
        <v>2.8534651747018347</v>
      </c>
      <c r="AB51" s="83">
        <f t="shared" ca="1" si="98"/>
        <v>5.4578183103423976</v>
      </c>
      <c r="AC51" s="83">
        <f t="shared" ca="1" si="99"/>
        <v>1.4267325873509173</v>
      </c>
      <c r="AD51" s="83">
        <f t="shared" ca="1" si="100"/>
        <v>3.2913071223814989</v>
      </c>
      <c r="AE51" s="329">
        <f t="shared" ca="1" si="101"/>
        <v>6.9449416950415026</v>
      </c>
      <c r="AF51" s="83">
        <f t="shared" ca="1" si="102"/>
        <v>3.1252237627686759</v>
      </c>
      <c r="AG51" s="83">
        <f t="shared" ca="1" si="103"/>
        <v>1.4276578946434035</v>
      </c>
      <c r="AH51" s="329">
        <f t="shared" ca="1" si="104"/>
        <v>1.4987236050917432</v>
      </c>
      <c r="AI51" s="83">
        <f t="shared" ca="1" si="105"/>
        <v>5.6918326500666225</v>
      </c>
      <c r="AJ51" s="83">
        <f t="shared" ca="1" si="106"/>
        <v>5.3445855653145475</v>
      </c>
      <c r="AK51" s="83">
        <f t="shared" ca="1" si="107"/>
        <v>0.42565789464340326</v>
      </c>
      <c r="AL51" s="83">
        <f t="shared" ca="1" si="108"/>
        <v>0.80606870453473134</v>
      </c>
      <c r="AM51" s="83">
        <f t="shared" ca="1" si="109"/>
        <v>2.0381894105013107</v>
      </c>
      <c r="AN51" s="83">
        <f t="shared" ca="1" si="110"/>
        <v>4.484016703102883</v>
      </c>
      <c r="AO51" s="83">
        <f t="shared" ca="1" si="111"/>
        <v>1.0190947052506554</v>
      </c>
      <c r="AP51" s="83">
        <f t="shared" ca="1" si="112"/>
        <v>8.0701140870860648</v>
      </c>
      <c r="AQ51" s="83">
        <f t="shared" ca="1" si="113"/>
        <v>0.59135045690803845</v>
      </c>
      <c r="AR51" s="83">
        <f t="shared" ca="1" si="114"/>
        <v>1.6788129528773479</v>
      </c>
      <c r="AS51" s="83">
        <f t="shared" ca="1" si="115"/>
        <v>0.29567522845401922</v>
      </c>
      <c r="AT51" s="83">
        <f t="shared" ca="1" si="116"/>
        <v>1.4267325873509173</v>
      </c>
      <c r="AU51" s="83">
        <f t="shared" ca="1" si="117"/>
        <v>3.0195398674093492</v>
      </c>
      <c r="AV51" s="83">
        <f t="shared" ca="1" si="118"/>
        <v>0.71336629367545867</v>
      </c>
      <c r="AW51" s="83">
        <f t="shared" ca="1" si="119"/>
        <v>8.5488496685233741</v>
      </c>
      <c r="AX51" s="83">
        <f t="shared" ca="1" si="120"/>
        <v>1.1508589661364133</v>
      </c>
      <c r="AY51" s="83">
        <f t="shared" ca="1" si="121"/>
        <v>2.9264161673563782</v>
      </c>
      <c r="AZ51" s="83">
        <f t="shared" ca="1" si="122"/>
        <v>0.57542948306820663</v>
      </c>
      <c r="BA51" s="83">
        <f t="shared" ca="1" si="123"/>
        <v>2.1967152535403014</v>
      </c>
      <c r="BB51" s="83">
        <f t="shared" ca="1" si="124"/>
        <v>2.6269996846461332</v>
      </c>
      <c r="BC51" s="83">
        <f t="shared" ca="1" si="125"/>
        <v>7.5315365579690923</v>
      </c>
      <c r="BD51" s="83">
        <f t="shared" ca="1" si="126"/>
        <v>2.8959273553172782</v>
      </c>
      <c r="BE51" s="83">
        <f t="shared" ca="1" si="127"/>
        <v>1.0962727701141326</v>
      </c>
      <c r="BF51" s="83">
        <f t="shared" ca="1" si="128"/>
        <v>3.6611920892338357</v>
      </c>
      <c r="BG51" s="83">
        <f t="shared" ca="1" si="129"/>
        <v>1.9928963124901704</v>
      </c>
      <c r="BH51" s="83">
        <f t="shared" ca="1" si="130"/>
        <v>3.2571117237074056</v>
      </c>
      <c r="BI51" s="83">
        <f t="shared" ca="1" si="131"/>
        <v>2.6296946102894281</v>
      </c>
      <c r="BJ51" s="83">
        <f t="shared" ca="1" si="132"/>
        <v>0.23654018276321534</v>
      </c>
      <c r="BK51" s="83">
        <f t="shared" ca="1" si="133"/>
        <v>1.3587929403342069</v>
      </c>
      <c r="BL51" s="83">
        <f t="shared" ca="1" si="134"/>
        <v>0.5133217774595894</v>
      </c>
      <c r="BM51" s="83">
        <f t="shared" ca="1" si="135"/>
        <v>2.6073991488996291</v>
      </c>
      <c r="BN51" s="83">
        <f t="shared" ca="1" si="136"/>
        <v>3.849820673721057</v>
      </c>
      <c r="BO51" s="83">
        <f t="shared" ca="1" si="137"/>
        <v>0.61409470525065535</v>
      </c>
      <c r="BP51" s="83">
        <f t="shared" ca="1" si="138"/>
        <v>2.1438733058606374</v>
      </c>
      <c r="BQ51" s="83">
        <f t="shared" ca="1" si="139"/>
        <v>1.8419193191197027</v>
      </c>
      <c r="BR51" s="83">
        <f t="shared" ca="1" si="140"/>
        <v>3.8897265991781356</v>
      </c>
      <c r="BS51" s="83">
        <f t="shared" ca="1" si="141"/>
        <v>3.3121254327238967</v>
      </c>
      <c r="BT51" s="83">
        <f t="shared" ca="1" si="142"/>
        <v>0.55041080989132807</v>
      </c>
      <c r="BU51" s="83">
        <f t="shared" ca="1" si="143"/>
        <v>2.1438733058606374</v>
      </c>
      <c r="BV51" s="83">
        <f t="shared" ca="1" si="144"/>
        <v>1.8419193191197027</v>
      </c>
      <c r="BW51" s="83">
        <f t="shared" ca="1" si="145"/>
        <v>5.3943241408382487</v>
      </c>
      <c r="BX51" s="83">
        <f t="shared" ca="1" si="146"/>
        <v>2.6672204533284187</v>
      </c>
      <c r="BY51" s="83">
        <f t="shared" ca="1" si="147"/>
        <v>0.67322975094145909</v>
      </c>
      <c r="BZ51" s="83">
        <f t="shared" ca="1" si="148"/>
        <v>3.4708329654204899</v>
      </c>
      <c r="CA51" s="83">
        <f t="shared" ca="1" si="149"/>
        <v>2.3359506773006768</v>
      </c>
      <c r="CB51" s="83">
        <f t="shared" ca="1" si="150"/>
        <v>6.2880047267573174</v>
      </c>
      <c r="CC51" s="83">
        <f t="shared" ca="1" si="151"/>
        <v>2.3359506773006768</v>
      </c>
      <c r="CD51" s="83">
        <f t="shared" ca="1" si="152"/>
        <v>3.1177268981097965</v>
      </c>
      <c r="CE51" s="83">
        <f t="shared" ca="1" si="153"/>
        <v>8.2273751962084969</v>
      </c>
      <c r="CF51" s="83">
        <f t="shared" ca="1" si="154"/>
        <v>3.1177268981097965</v>
      </c>
      <c r="CG51" s="83">
        <f t="shared" ca="1" si="155"/>
        <v>2.1372124171308435</v>
      </c>
    </row>
    <row r="52" spans="1:85" x14ac:dyDescent="0.25">
      <c r="A52" t="str">
        <f t="shared" ref="A52:E52" si="182">A18</f>
        <v>M. Grupinski</v>
      </c>
      <c r="B52">
        <f t="shared" si="182"/>
        <v>22</v>
      </c>
      <c r="C52">
        <f t="shared" ca="1" si="182"/>
        <v>99</v>
      </c>
      <c r="D52" t="str">
        <f t="shared" si="182"/>
        <v>CAB</v>
      </c>
      <c r="E52" s="267">
        <f t="shared" si="182"/>
        <v>43650</v>
      </c>
      <c r="F52" s="196">
        <f t="shared" ca="1" si="77"/>
        <v>6.7683633516304187E-2</v>
      </c>
      <c r="G52" s="197">
        <f t="shared" ref="G52:H52" si="183">J18</f>
        <v>1.6</v>
      </c>
      <c r="H52" s="49">
        <f t="shared" si="183"/>
        <v>0</v>
      </c>
      <c r="I52" s="49">
        <f t="shared" si="79"/>
        <v>3</v>
      </c>
      <c r="J52" s="49">
        <f t="shared" si="80"/>
        <v>8</v>
      </c>
      <c r="K52" s="49">
        <f t="shared" si="81"/>
        <v>9</v>
      </c>
      <c r="L52" s="49">
        <f t="shared" si="82"/>
        <v>6</v>
      </c>
      <c r="M52" s="49">
        <f t="shared" si="83"/>
        <v>3</v>
      </c>
      <c r="N52" s="49">
        <f t="shared" si="84"/>
        <v>3</v>
      </c>
      <c r="O52" s="197">
        <f t="shared" si="85"/>
        <v>2.25</v>
      </c>
      <c r="P52" s="197">
        <f t="shared" ca="1" si="86"/>
        <v>-0.21894562103617599</v>
      </c>
      <c r="Q52" s="197">
        <f t="shared" si="87"/>
        <v>0.24</v>
      </c>
      <c r="R52" s="197">
        <f t="shared" si="88"/>
        <v>0.21000000000000002</v>
      </c>
      <c r="S52" s="197">
        <f t="shared" ca="1" si="89"/>
        <v>3.3941474859931331</v>
      </c>
      <c r="T52" s="83">
        <f t="shared" ca="1" si="90"/>
        <v>1.1246834718712302</v>
      </c>
      <c r="U52" s="83">
        <f t="shared" ca="1" si="91"/>
        <v>1.7137381010146138</v>
      </c>
      <c r="V52" s="83">
        <f t="shared" ca="1" si="92"/>
        <v>1.1246834718712302</v>
      </c>
      <c r="W52" s="83">
        <f t="shared" ca="1" si="93"/>
        <v>1.7233593029616892</v>
      </c>
      <c r="X52" s="83">
        <f t="shared" ca="1" si="94"/>
        <v>3.3398436103908704</v>
      </c>
      <c r="Y52" s="83">
        <f t="shared" ca="1" si="95"/>
        <v>0.86167965148084458</v>
      </c>
      <c r="Z52" s="83">
        <f t="shared" ca="1" si="96"/>
        <v>1.9848827792730275</v>
      </c>
      <c r="AA52" s="83">
        <f t="shared" ca="1" si="97"/>
        <v>1.262460884727749</v>
      </c>
      <c r="AB52" s="83">
        <f t="shared" ca="1" si="98"/>
        <v>2.4147069303125992</v>
      </c>
      <c r="AC52" s="83">
        <f t="shared" ca="1" si="99"/>
        <v>0.63123044236387449</v>
      </c>
      <c r="AD52" s="83">
        <f t="shared" ca="1" si="100"/>
        <v>3.2108397900004859</v>
      </c>
      <c r="AE52" s="329">
        <f t="shared" ca="1" si="101"/>
        <v>3.0726561215596009</v>
      </c>
      <c r="AF52" s="83">
        <f t="shared" ca="1" si="102"/>
        <v>1.3826952547018203</v>
      </c>
      <c r="AG52" s="83">
        <f t="shared" ca="1" si="103"/>
        <v>1.3927538829352757</v>
      </c>
      <c r="AH52" s="329">
        <f t="shared" ca="1" si="104"/>
        <v>5.491828042909833</v>
      </c>
      <c r="AI52" s="83">
        <f t="shared" ca="1" si="105"/>
        <v>2.5182420822347162</v>
      </c>
      <c r="AJ52" s="83">
        <f t="shared" ca="1" si="106"/>
        <v>2.3646092761567363</v>
      </c>
      <c r="AK52" s="83">
        <f t="shared" ca="1" si="107"/>
        <v>0.55775388293527539</v>
      </c>
      <c r="AL52" s="83">
        <f t="shared" ca="1" si="108"/>
        <v>0.74587495979257057</v>
      </c>
      <c r="AM52" s="83">
        <f t="shared" ca="1" si="109"/>
        <v>0.9017577748055351</v>
      </c>
      <c r="AN52" s="83">
        <f t="shared" ca="1" si="110"/>
        <v>1.983867104572177</v>
      </c>
      <c r="AO52" s="83">
        <f t="shared" ca="1" si="111"/>
        <v>0.45087888740276755</v>
      </c>
      <c r="AP52" s="83">
        <f t="shared" ca="1" si="112"/>
        <v>7.872812368208983</v>
      </c>
      <c r="AQ52" s="83">
        <f t="shared" ca="1" si="113"/>
        <v>0.82417966935081322</v>
      </c>
      <c r="AR52" s="83">
        <f t="shared" ca="1" si="114"/>
        <v>1.3385741778445248</v>
      </c>
      <c r="AS52" s="83">
        <f t="shared" ca="1" si="115"/>
        <v>0.41208983467540661</v>
      </c>
      <c r="AT52" s="83">
        <f t="shared" ca="1" si="116"/>
        <v>0.63123044236387449</v>
      </c>
      <c r="AU52" s="83">
        <f t="shared" ca="1" si="117"/>
        <v>1.3359374441563483</v>
      </c>
      <c r="AV52" s="83">
        <f t="shared" ca="1" si="118"/>
        <v>0.31561522118193724</v>
      </c>
      <c r="AW52" s="83">
        <f t="shared" ca="1" si="119"/>
        <v>8.3398436103908722</v>
      </c>
      <c r="AX52" s="83">
        <f t="shared" ca="1" si="120"/>
        <v>1.6039804334288903</v>
      </c>
      <c r="AY52" s="83">
        <f t="shared" ca="1" si="121"/>
        <v>2.86325382932537</v>
      </c>
      <c r="AZ52" s="83">
        <f t="shared" ca="1" si="122"/>
        <v>0.80199021671444515</v>
      </c>
      <c r="BA52" s="83">
        <f t="shared" ca="1" si="123"/>
        <v>0.97189449062374322</v>
      </c>
      <c r="BB52" s="83">
        <f t="shared" ca="1" si="124"/>
        <v>1.1622655764160228</v>
      </c>
      <c r="BC52" s="83">
        <f t="shared" ca="1" si="125"/>
        <v>7.3474022207543586</v>
      </c>
      <c r="BD52" s="83">
        <f t="shared" ca="1" si="126"/>
        <v>7.3581209696374845</v>
      </c>
      <c r="BE52" s="83">
        <f t="shared" ca="1" si="127"/>
        <v>1.5279023101041997</v>
      </c>
      <c r="BF52" s="83">
        <f t="shared" ca="1" si="128"/>
        <v>1.6198241510395721</v>
      </c>
      <c r="BG52" s="83">
        <f t="shared" ca="1" si="129"/>
        <v>0.88171871314318984</v>
      </c>
      <c r="BH52" s="83">
        <f t="shared" ca="1" si="130"/>
        <v>3.1774804155589225</v>
      </c>
      <c r="BI52" s="83">
        <f t="shared" ca="1" si="131"/>
        <v>7.5600233154816223</v>
      </c>
      <c r="BJ52" s="83">
        <f t="shared" ca="1" si="132"/>
        <v>0.32967186774032525</v>
      </c>
      <c r="BK52" s="83">
        <f t="shared" ca="1" si="133"/>
        <v>0.60117184987035666</v>
      </c>
      <c r="BL52" s="83">
        <f t="shared" ca="1" si="134"/>
        <v>0.2271093655065792</v>
      </c>
      <c r="BM52" s="83">
        <f t="shared" ca="1" si="135"/>
        <v>2.543652301169216</v>
      </c>
      <c r="BN52" s="83">
        <f t="shared" ca="1" si="136"/>
        <v>11.153038882962662</v>
      </c>
      <c r="BO52" s="83">
        <f t="shared" ca="1" si="137"/>
        <v>0.85587888740276752</v>
      </c>
      <c r="BP52" s="83">
        <f t="shared" ca="1" si="138"/>
        <v>0.94851558535100711</v>
      </c>
      <c r="BQ52" s="83">
        <f t="shared" ca="1" si="139"/>
        <v>0.81492184093537234</v>
      </c>
      <c r="BR52" s="83">
        <f t="shared" ca="1" si="140"/>
        <v>3.794628842727847</v>
      </c>
      <c r="BS52" s="83">
        <f t="shared" ca="1" si="141"/>
        <v>9.6165467203130852</v>
      </c>
      <c r="BT52" s="83">
        <f t="shared" ca="1" si="142"/>
        <v>0.76712107685729525</v>
      </c>
      <c r="BU52" s="83">
        <f t="shared" ca="1" si="143"/>
        <v>0.94851558535100711</v>
      </c>
      <c r="BV52" s="83">
        <f t="shared" ca="1" si="144"/>
        <v>0.81492184093537234</v>
      </c>
      <c r="BW52" s="83">
        <f t="shared" ca="1" si="145"/>
        <v>5.2624413181566405</v>
      </c>
      <c r="BX52" s="83">
        <f t="shared" ca="1" si="146"/>
        <v>7.7801600312998298</v>
      </c>
      <c r="BY52" s="83">
        <f t="shared" ca="1" si="147"/>
        <v>0.93829685433784882</v>
      </c>
      <c r="BZ52" s="83">
        <f t="shared" ca="1" si="148"/>
        <v>3.3859765058186944</v>
      </c>
      <c r="CA52" s="83">
        <f t="shared" ca="1" si="149"/>
        <v>3.354058521013644</v>
      </c>
      <c r="CB52" s="83">
        <f t="shared" ca="1" si="150"/>
        <v>5.3896639053001199</v>
      </c>
      <c r="CC52" s="83">
        <f t="shared" ca="1" si="151"/>
        <v>3.354058521013644</v>
      </c>
      <c r="CD52" s="83">
        <f t="shared" ca="1" si="152"/>
        <v>4.0751248245592739</v>
      </c>
      <c r="CE52" s="83">
        <f t="shared" ca="1" si="153"/>
        <v>5.6792459026251016</v>
      </c>
      <c r="CF52" s="83">
        <f t="shared" ca="1" si="154"/>
        <v>4.0751248245592739</v>
      </c>
      <c r="CG52" s="83">
        <f t="shared" ca="1" si="155"/>
        <v>2.084960902597718</v>
      </c>
    </row>
    <row r="53" spans="1:85" x14ac:dyDescent="0.25">
      <c r="A53" t="str">
        <f t="shared" ref="A53:E53" si="184">A19</f>
        <v>V. Godoi</v>
      </c>
      <c r="B53">
        <f t="shared" si="184"/>
        <v>25</v>
      </c>
      <c r="C53">
        <f t="shared" ca="1" si="184"/>
        <v>105</v>
      </c>
      <c r="D53">
        <f t="shared" si="184"/>
        <v>0</v>
      </c>
      <c r="E53" s="267">
        <f t="shared" si="184"/>
        <v>43639</v>
      </c>
      <c r="F53" s="196">
        <f t="shared" ca="1" si="77"/>
        <v>0.14248844644448036</v>
      </c>
      <c r="G53" s="197">
        <f t="shared" ref="G53:H53" si="185">J19</f>
        <v>4.5</v>
      </c>
      <c r="H53" s="49">
        <f t="shared" si="185"/>
        <v>0</v>
      </c>
      <c r="I53" s="49">
        <f t="shared" si="79"/>
        <v>3</v>
      </c>
      <c r="J53" s="49">
        <f t="shared" si="80"/>
        <v>9.1538461538461533</v>
      </c>
      <c r="K53" s="49">
        <f t="shared" si="81"/>
        <v>9</v>
      </c>
      <c r="L53" s="49">
        <f t="shared" si="82"/>
        <v>5</v>
      </c>
      <c r="M53" s="49">
        <f t="shared" si="83"/>
        <v>5</v>
      </c>
      <c r="N53" s="49">
        <f t="shared" si="84"/>
        <v>1</v>
      </c>
      <c r="O53" s="197">
        <f t="shared" si="85"/>
        <v>2</v>
      </c>
      <c r="P53" s="197">
        <f t="shared" ca="1" si="86"/>
        <v>3.4896990072336482</v>
      </c>
      <c r="Q53" s="197">
        <f t="shared" si="87"/>
        <v>0.27999999999999997</v>
      </c>
      <c r="R53" s="197">
        <f t="shared" si="88"/>
        <v>0.15000000000000002</v>
      </c>
      <c r="S53" s="197">
        <f t="shared" ca="1" si="89"/>
        <v>2.0891679086031174</v>
      </c>
      <c r="T53" s="83">
        <f t="shared" ca="1" si="90"/>
        <v>1.7127317797805315</v>
      </c>
      <c r="U53" s="83">
        <f t="shared" ca="1" si="91"/>
        <v>2.5833490580717822</v>
      </c>
      <c r="V53" s="83">
        <f t="shared" ca="1" si="92"/>
        <v>1.7127317797805315</v>
      </c>
      <c r="W53" s="83">
        <f t="shared" ca="1" si="93"/>
        <v>2.0709342478427883</v>
      </c>
      <c r="X53" s="83">
        <f t="shared" ca="1" si="94"/>
        <v>4.013438464811605</v>
      </c>
      <c r="Y53" s="83">
        <f t="shared" ca="1" si="95"/>
        <v>1.0354671239213942</v>
      </c>
      <c r="Z53" s="83">
        <f t="shared" ca="1" si="96"/>
        <v>2.4198137392405465</v>
      </c>
      <c r="AA53" s="83">
        <f t="shared" ca="1" si="97"/>
        <v>1.5170797396987867</v>
      </c>
      <c r="AB53" s="83">
        <f t="shared" ca="1" si="98"/>
        <v>2.9017160100587902</v>
      </c>
      <c r="AC53" s="83">
        <f t="shared" ca="1" si="99"/>
        <v>0.75853986984939337</v>
      </c>
      <c r="AD53" s="83">
        <f t="shared" ca="1" si="100"/>
        <v>3.9144045781832371</v>
      </c>
      <c r="AE53" s="329">
        <f t="shared" ca="1" si="101"/>
        <v>3.6923633876266768</v>
      </c>
      <c r="AF53" s="83">
        <f t="shared" ca="1" si="102"/>
        <v>1.6615635244320044</v>
      </c>
      <c r="AG53" s="83">
        <f t="shared" ca="1" si="103"/>
        <v>1.6979365313158457</v>
      </c>
      <c r="AH53" s="329">
        <f t="shared" ca="1" si="104"/>
        <v>5.8879018173092232</v>
      </c>
      <c r="AI53" s="83">
        <f t="shared" ca="1" si="105"/>
        <v>3.0261326024679502</v>
      </c>
      <c r="AJ53" s="83">
        <f t="shared" ca="1" si="106"/>
        <v>2.8415144330866164</v>
      </c>
      <c r="AK53" s="83">
        <f t="shared" ca="1" si="107"/>
        <v>0.33624422362353812</v>
      </c>
      <c r="AL53" s="83">
        <f t="shared" ca="1" si="108"/>
        <v>0.86787027786574222</v>
      </c>
      <c r="AM53" s="83">
        <f t="shared" ca="1" si="109"/>
        <v>1.0836283854991335</v>
      </c>
      <c r="AN53" s="83">
        <f t="shared" ca="1" si="110"/>
        <v>2.3839824480980933</v>
      </c>
      <c r="AO53" s="83">
        <f t="shared" ca="1" si="111"/>
        <v>0.54181419274956677</v>
      </c>
      <c r="AP53" s="83">
        <f t="shared" ca="1" si="112"/>
        <v>9.5979166800129239</v>
      </c>
      <c r="AQ53" s="83">
        <f t="shared" ca="1" si="113"/>
        <v>0.78174700042550882</v>
      </c>
      <c r="AR53" s="83">
        <f t="shared" ca="1" si="114"/>
        <v>1.7619374701898005</v>
      </c>
      <c r="AS53" s="83">
        <f t="shared" ca="1" si="115"/>
        <v>0.39087350021275441</v>
      </c>
      <c r="AT53" s="83">
        <f t="shared" ca="1" si="116"/>
        <v>0.75853986984939337</v>
      </c>
      <c r="AU53" s="83">
        <f t="shared" ca="1" si="117"/>
        <v>1.605375385924642</v>
      </c>
      <c r="AV53" s="83">
        <f t="shared" ca="1" si="118"/>
        <v>0.37926993492469668</v>
      </c>
      <c r="AW53" s="83">
        <f t="shared" ca="1" si="119"/>
        <v>10.167284618657758</v>
      </c>
      <c r="AX53" s="83">
        <f t="shared" ca="1" si="120"/>
        <v>1.5213999315973363</v>
      </c>
      <c r="AY53" s="83">
        <f t="shared" ca="1" si="121"/>
        <v>3.3134045941111951</v>
      </c>
      <c r="AZ53" s="83">
        <f t="shared" ca="1" si="122"/>
        <v>0.76069996579866817</v>
      </c>
      <c r="BA53" s="83">
        <f t="shared" ca="1" si="123"/>
        <v>1.167910593260177</v>
      </c>
      <c r="BB53" s="83">
        <f t="shared" ca="1" si="124"/>
        <v>1.3966765857544385</v>
      </c>
      <c r="BC53" s="83">
        <f t="shared" ca="1" si="125"/>
        <v>8.9573777490374855</v>
      </c>
      <c r="BD53" s="83">
        <f t="shared" ca="1" si="126"/>
        <v>7.6419467952175166</v>
      </c>
      <c r="BE53" s="83">
        <f t="shared" ca="1" si="127"/>
        <v>1.4492386700195969</v>
      </c>
      <c r="BF53" s="83">
        <f t="shared" ca="1" si="128"/>
        <v>1.9465176554336283</v>
      </c>
      <c r="BG53" s="83">
        <f t="shared" ca="1" si="129"/>
        <v>1.0595477547102639</v>
      </c>
      <c r="BH53" s="83">
        <f t="shared" ca="1" si="130"/>
        <v>3.8737354397086059</v>
      </c>
      <c r="BI53" s="83">
        <f t="shared" ca="1" si="131"/>
        <v>7.947745218245343</v>
      </c>
      <c r="BJ53" s="83">
        <f t="shared" ca="1" si="132"/>
        <v>0.31269880017020352</v>
      </c>
      <c r="BK53" s="83">
        <f t="shared" ca="1" si="133"/>
        <v>0.72241892366608884</v>
      </c>
      <c r="BL53" s="83">
        <f t="shared" ca="1" si="134"/>
        <v>0.27291381560718914</v>
      </c>
      <c r="BM53" s="83">
        <f t="shared" ca="1" si="135"/>
        <v>3.1010218086906161</v>
      </c>
      <c r="BN53" s="83">
        <f t="shared" ca="1" si="136"/>
        <v>11.733281865747724</v>
      </c>
      <c r="BO53" s="83">
        <f t="shared" ca="1" si="137"/>
        <v>0.8118141927495669</v>
      </c>
      <c r="BP53" s="83">
        <f t="shared" ca="1" si="138"/>
        <v>1.1398165240064957</v>
      </c>
      <c r="BQ53" s="83">
        <f t="shared" ca="1" si="139"/>
        <v>0.97927898541403158</v>
      </c>
      <c r="BR53" s="83">
        <f t="shared" ca="1" si="140"/>
        <v>4.6261145014892806</v>
      </c>
      <c r="BS53" s="83">
        <f t="shared" ca="1" si="141"/>
        <v>10.118889819011258</v>
      </c>
      <c r="BT53" s="83">
        <f t="shared" ca="1" si="142"/>
        <v>0.72762605424220428</v>
      </c>
      <c r="BU53" s="83">
        <f t="shared" ca="1" si="143"/>
        <v>1.1398165240064957</v>
      </c>
      <c r="BV53" s="83">
        <f t="shared" ca="1" si="144"/>
        <v>0.97927898541403158</v>
      </c>
      <c r="BW53" s="83">
        <f t="shared" ca="1" si="145"/>
        <v>6.4155565943730455</v>
      </c>
      <c r="BX53" s="83">
        <f t="shared" ca="1" si="146"/>
        <v>8.1900274260063863</v>
      </c>
      <c r="BY53" s="83">
        <f t="shared" ca="1" si="147"/>
        <v>0.88998889279211768</v>
      </c>
      <c r="BZ53" s="83">
        <f t="shared" ca="1" si="148"/>
        <v>4.12791755517505</v>
      </c>
      <c r="CA53" s="83">
        <f t="shared" ca="1" si="149"/>
        <v>3.7090014401668463</v>
      </c>
      <c r="CB53" s="83">
        <f t="shared" ca="1" si="150"/>
        <v>6.7711317113778682</v>
      </c>
      <c r="CC53" s="83">
        <f t="shared" ca="1" si="151"/>
        <v>3.7090014401668463</v>
      </c>
      <c r="CD53" s="83">
        <f t="shared" ca="1" si="152"/>
        <v>4.8533251675020654</v>
      </c>
      <c r="CE53" s="83">
        <f t="shared" ca="1" si="153"/>
        <v>8.2323972583270884</v>
      </c>
      <c r="CF53" s="83">
        <f t="shared" ca="1" si="154"/>
        <v>4.8533251675020654</v>
      </c>
      <c r="CG53" s="83">
        <f t="shared" ca="1" si="155"/>
        <v>2.5418211546644396</v>
      </c>
    </row>
    <row r="54" spans="1:85" x14ac:dyDescent="0.25">
      <c r="A54" t="str">
        <f t="shared" ref="A54:E54" si="186">A20</f>
        <v>P. Tuderek</v>
      </c>
      <c r="B54">
        <f t="shared" si="186"/>
        <v>18</v>
      </c>
      <c r="C54">
        <f t="shared" ca="1" si="186"/>
        <v>86</v>
      </c>
      <c r="D54" t="str">
        <f t="shared" si="186"/>
        <v>CAB</v>
      </c>
      <c r="E54" s="267">
        <f t="shared" si="186"/>
        <v>43626</v>
      </c>
      <c r="F54" s="196">
        <f t="shared" ca="1" si="77"/>
        <v>0.20848632838563147</v>
      </c>
      <c r="G54" s="197">
        <f t="shared" ref="G54:H54" si="187">J20</f>
        <v>0.6</v>
      </c>
      <c r="H54" s="49">
        <f t="shared" si="187"/>
        <v>0</v>
      </c>
      <c r="I54" s="49">
        <f t="shared" si="79"/>
        <v>6</v>
      </c>
      <c r="J54" s="49">
        <f t="shared" si="80"/>
        <v>6.4083333333333332</v>
      </c>
      <c r="K54" s="49">
        <f t="shared" si="81"/>
        <v>2</v>
      </c>
      <c r="L54" s="49">
        <f t="shared" si="82"/>
        <v>3</v>
      </c>
      <c r="M54" s="49">
        <f t="shared" si="83"/>
        <v>6</v>
      </c>
      <c r="N54" s="49">
        <f t="shared" si="84"/>
        <v>8</v>
      </c>
      <c r="O54" s="197">
        <f t="shared" si="85"/>
        <v>1.875</v>
      </c>
      <c r="P54" s="197">
        <f t="shared" ca="1" si="86"/>
        <v>6.5670404701960479</v>
      </c>
      <c r="Q54" s="197">
        <f t="shared" si="87"/>
        <v>0.54</v>
      </c>
      <c r="R54" s="197">
        <f t="shared" si="88"/>
        <v>0.48000000000000009</v>
      </c>
      <c r="S54" s="197">
        <f t="shared" ca="1" si="89"/>
        <v>7.9979864928746931</v>
      </c>
      <c r="T54" s="83">
        <f t="shared" ca="1" si="90"/>
        <v>1.5797766201272174</v>
      </c>
      <c r="U54" s="83">
        <f t="shared" ca="1" si="91"/>
        <v>2.4372802022728952</v>
      </c>
      <c r="V54" s="83">
        <f t="shared" ca="1" si="92"/>
        <v>1.5797766201272174</v>
      </c>
      <c r="W54" s="83">
        <f t="shared" ca="1" si="93"/>
        <v>3.0509470057109325</v>
      </c>
      <c r="X54" s="83">
        <f t="shared" ca="1" si="94"/>
        <v>5.9126879955638225</v>
      </c>
      <c r="Y54" s="83">
        <f t="shared" ca="1" si="95"/>
        <v>1.5254735028554662</v>
      </c>
      <c r="Z54" s="83">
        <f t="shared" ca="1" si="96"/>
        <v>1.5044030762775229</v>
      </c>
      <c r="AA54" s="83">
        <f t="shared" ca="1" si="97"/>
        <v>2.2349960623231251</v>
      </c>
      <c r="AB54" s="83">
        <f t="shared" ca="1" si="98"/>
        <v>4.2748734207926438</v>
      </c>
      <c r="AC54" s="83">
        <f t="shared" ca="1" si="99"/>
        <v>1.1174980311615625</v>
      </c>
      <c r="AD54" s="83">
        <f t="shared" ca="1" si="100"/>
        <v>2.4335932116254049</v>
      </c>
      <c r="AE54" s="329">
        <f t="shared" ca="1" si="101"/>
        <v>5.4396729559187174</v>
      </c>
      <c r="AF54" s="83">
        <f t="shared" ca="1" si="102"/>
        <v>2.4478528301634226</v>
      </c>
      <c r="AG54" s="83">
        <f t="shared" ca="1" si="103"/>
        <v>1.0556105619258251</v>
      </c>
      <c r="AH54" s="329">
        <f t="shared" ca="1" si="104"/>
        <v>1.1246605413915276</v>
      </c>
      <c r="AI54" s="83">
        <f t="shared" ca="1" si="105"/>
        <v>4.4581667486551222</v>
      </c>
      <c r="AJ54" s="83">
        <f t="shared" ca="1" si="106"/>
        <v>4.1861831008591865</v>
      </c>
      <c r="AK54" s="83">
        <f t="shared" ca="1" si="107"/>
        <v>1.3214188952591586</v>
      </c>
      <c r="AL54" s="83">
        <f t="shared" ca="1" si="108"/>
        <v>0.51485414272238095</v>
      </c>
      <c r="AM54" s="83">
        <f t="shared" ca="1" si="109"/>
        <v>1.5964257588022321</v>
      </c>
      <c r="AN54" s="83">
        <f t="shared" ca="1" si="110"/>
        <v>3.5121366693649105</v>
      </c>
      <c r="AO54" s="83">
        <f t="shared" ca="1" si="111"/>
        <v>0.79821287940111607</v>
      </c>
      <c r="AP54" s="83">
        <f t="shared" ca="1" si="112"/>
        <v>5.9670441344789147</v>
      </c>
      <c r="AQ54" s="83">
        <f t="shared" ca="1" si="113"/>
        <v>0.37864943942329699</v>
      </c>
      <c r="AR54" s="83">
        <f t="shared" ca="1" si="114"/>
        <v>1.3724175827001999</v>
      </c>
      <c r="AS54" s="83">
        <f t="shared" ca="1" si="115"/>
        <v>0.18932471971164849</v>
      </c>
      <c r="AT54" s="83">
        <f t="shared" ca="1" si="116"/>
        <v>1.1174980311615625</v>
      </c>
      <c r="AU54" s="83">
        <f t="shared" ca="1" si="117"/>
        <v>2.3650751982255289</v>
      </c>
      <c r="AV54" s="83">
        <f t="shared" ca="1" si="118"/>
        <v>0.55874901558078127</v>
      </c>
      <c r="AW54" s="83">
        <f t="shared" ca="1" si="119"/>
        <v>6.3210213288971557</v>
      </c>
      <c r="AX54" s="83">
        <f t="shared" ca="1" si="120"/>
        <v>0.73691006287764727</v>
      </c>
      <c r="AY54" s="83">
        <f t="shared" ca="1" si="121"/>
        <v>2.2348910855556663</v>
      </c>
      <c r="AZ54" s="83">
        <f t="shared" ca="1" si="122"/>
        <v>0.36845503143882363</v>
      </c>
      <c r="BA54" s="83">
        <f t="shared" ca="1" si="123"/>
        <v>1.7205922067090722</v>
      </c>
      <c r="BB54" s="83">
        <f t="shared" ca="1" si="124"/>
        <v>2.0576154224562102</v>
      </c>
      <c r="BC54" s="83">
        <f t="shared" ca="1" si="125"/>
        <v>5.5688197907583943</v>
      </c>
      <c r="BD54" s="83">
        <f t="shared" ca="1" si="126"/>
        <v>2.0153796280562384</v>
      </c>
      <c r="BE54" s="83">
        <f t="shared" ca="1" si="127"/>
        <v>0.70195780693088128</v>
      </c>
      <c r="BF54" s="83">
        <f t="shared" ca="1" si="128"/>
        <v>2.867653677848454</v>
      </c>
      <c r="BG54" s="83">
        <f t="shared" ca="1" si="129"/>
        <v>1.5609496308288493</v>
      </c>
      <c r="BH54" s="83">
        <f t="shared" ca="1" si="130"/>
        <v>2.4083091263098164</v>
      </c>
      <c r="BI54" s="83">
        <f t="shared" ca="1" si="131"/>
        <v>1.8726893081227813</v>
      </c>
      <c r="BJ54" s="83">
        <f t="shared" ca="1" si="132"/>
        <v>0.15145977576931879</v>
      </c>
      <c r="BK54" s="83">
        <f t="shared" ca="1" si="133"/>
        <v>1.0642838392014879</v>
      </c>
      <c r="BL54" s="83">
        <f t="shared" ca="1" si="134"/>
        <v>0.40206278369833998</v>
      </c>
      <c r="BM54" s="83">
        <f t="shared" ca="1" si="135"/>
        <v>1.9279115053136324</v>
      </c>
      <c r="BN54" s="83">
        <f t="shared" ca="1" si="136"/>
        <v>2.7457167622950758</v>
      </c>
      <c r="BO54" s="83">
        <f t="shared" ca="1" si="137"/>
        <v>0.3932128794011161</v>
      </c>
      <c r="BP54" s="83">
        <f t="shared" ca="1" si="138"/>
        <v>1.6792033907401254</v>
      </c>
      <c r="BQ54" s="83">
        <f t="shared" ca="1" si="139"/>
        <v>1.4426958709175726</v>
      </c>
      <c r="BR54" s="83">
        <f t="shared" ca="1" si="140"/>
        <v>2.876064704648206</v>
      </c>
      <c r="BS54" s="83">
        <f t="shared" ca="1" si="141"/>
        <v>2.3632582990847157</v>
      </c>
      <c r="BT54" s="83">
        <f t="shared" ca="1" si="142"/>
        <v>0.35243524746322258</v>
      </c>
      <c r="BU54" s="83">
        <f t="shared" ca="1" si="143"/>
        <v>1.6792033907401254</v>
      </c>
      <c r="BV54" s="83">
        <f t="shared" ca="1" si="144"/>
        <v>1.4426958709175726</v>
      </c>
      <c r="BW54" s="83">
        <f t="shared" ca="1" si="145"/>
        <v>3.9885644585341051</v>
      </c>
      <c r="BX54" s="83">
        <f t="shared" ca="1" si="146"/>
        <v>1.9048557560296213</v>
      </c>
      <c r="BY54" s="83">
        <f t="shared" ca="1" si="147"/>
        <v>0.4310778233434458</v>
      </c>
      <c r="BZ54" s="83">
        <f t="shared" ca="1" si="148"/>
        <v>2.5663346595322456</v>
      </c>
      <c r="CA54" s="83">
        <f t="shared" ca="1" si="149"/>
        <v>1.7545104456887517</v>
      </c>
      <c r="CB54" s="83">
        <f t="shared" ca="1" si="150"/>
        <v>5.0286866830048647</v>
      </c>
      <c r="CC54" s="83">
        <f t="shared" ca="1" si="151"/>
        <v>1.7545104456887517</v>
      </c>
      <c r="CD54" s="83">
        <f t="shared" ca="1" si="152"/>
        <v>2.5793981758559976</v>
      </c>
      <c r="CE54" s="83">
        <f t="shared" ca="1" si="153"/>
        <v>6.9874698659268732</v>
      </c>
      <c r="CF54" s="83">
        <f t="shared" ca="1" si="154"/>
        <v>2.5793981758559976</v>
      </c>
      <c r="CG54" s="83">
        <f t="shared" ca="1" si="155"/>
        <v>1.5802553322242889</v>
      </c>
    </row>
    <row r="55" spans="1:85" x14ac:dyDescent="0.25">
      <c r="A55" t="str">
        <f t="shared" ref="A55:E55" si="188">A21</f>
        <v>G. Stoychev</v>
      </c>
      <c r="B55">
        <f t="shared" si="188"/>
        <v>23</v>
      </c>
      <c r="C55">
        <f t="shared" ca="1" si="188"/>
        <v>101</v>
      </c>
      <c r="D55" t="str">
        <f t="shared" si="188"/>
        <v>IMP</v>
      </c>
      <c r="E55" s="267">
        <f t="shared" si="188"/>
        <v>43650</v>
      </c>
      <c r="F55" s="196">
        <f t="shared" ca="1" si="77"/>
        <v>6.7683633516304187E-2</v>
      </c>
      <c r="G55" s="197">
        <f t="shared" ref="G55:H55" si="189">J21</f>
        <v>3.7</v>
      </c>
      <c r="H55" s="49">
        <f t="shared" si="189"/>
        <v>0</v>
      </c>
      <c r="I55" s="49">
        <f t="shared" si="79"/>
        <v>9</v>
      </c>
      <c r="J55" s="49">
        <f t="shared" si="80"/>
        <v>8</v>
      </c>
      <c r="K55" s="49">
        <f t="shared" si="81"/>
        <v>9</v>
      </c>
      <c r="L55" s="49">
        <f t="shared" si="82"/>
        <v>5</v>
      </c>
      <c r="M55" s="49">
        <f t="shared" si="83"/>
        <v>5</v>
      </c>
      <c r="N55" s="49">
        <f t="shared" si="84"/>
        <v>3</v>
      </c>
      <c r="O55" s="197">
        <f t="shared" si="85"/>
        <v>2.75</v>
      </c>
      <c r="P55" s="197">
        <f t="shared" ca="1" si="86"/>
        <v>4.1738819103217768</v>
      </c>
      <c r="Q55" s="197">
        <f t="shared" si="87"/>
        <v>0.33999999999999997</v>
      </c>
      <c r="R55" s="197">
        <f t="shared" si="88"/>
        <v>0.45</v>
      </c>
      <c r="S55" s="197">
        <f t="shared" ca="1" si="89"/>
        <v>3.8795898078745599</v>
      </c>
      <c r="T55" s="83">
        <f t="shared" ca="1" si="90"/>
        <v>3.2044746188737161</v>
      </c>
      <c r="U55" s="83">
        <f t="shared" ca="1" si="91"/>
        <v>4.8904441385635362</v>
      </c>
      <c r="V55" s="83">
        <f t="shared" ca="1" si="92"/>
        <v>3.2044746188737161</v>
      </c>
      <c r="W55" s="83">
        <f t="shared" ca="1" si="93"/>
        <v>5.0698475410525061</v>
      </c>
      <c r="X55" s="83">
        <f t="shared" ca="1" si="94"/>
        <v>9.8252859322722976</v>
      </c>
      <c r="Y55" s="83">
        <f t="shared" ca="1" si="95"/>
        <v>2.5349237705262531</v>
      </c>
      <c r="Z55" s="83">
        <f t="shared" ca="1" si="96"/>
        <v>2.1004180518808067</v>
      </c>
      <c r="AA55" s="83">
        <f t="shared" ca="1" si="97"/>
        <v>3.7139580823989284</v>
      </c>
      <c r="AB55" s="83">
        <f t="shared" ca="1" si="98"/>
        <v>7.1036817290328713</v>
      </c>
      <c r="AC55" s="83">
        <f t="shared" ca="1" si="99"/>
        <v>1.8569790411994642</v>
      </c>
      <c r="AD55" s="83">
        <f t="shared" ca="1" si="100"/>
        <v>3.3977350839248346</v>
      </c>
      <c r="AE55" s="329">
        <f t="shared" ca="1" si="101"/>
        <v>9.0392630576905137</v>
      </c>
      <c r="AF55" s="83">
        <f t="shared" ca="1" si="102"/>
        <v>4.0676683759607313</v>
      </c>
      <c r="AG55" s="83">
        <f t="shared" ca="1" si="103"/>
        <v>1.4738227506894739</v>
      </c>
      <c r="AH55" s="329">
        <f t="shared" ca="1" si="104"/>
        <v>5.7772681281761109</v>
      </c>
      <c r="AI55" s="83">
        <f t="shared" ca="1" si="105"/>
        <v>7.4082655929333123</v>
      </c>
      <c r="AJ55" s="83">
        <f t="shared" ca="1" si="106"/>
        <v>6.9563024400487867</v>
      </c>
      <c r="AK55" s="83">
        <f t="shared" ca="1" si="107"/>
        <v>0.6388227506894737</v>
      </c>
      <c r="AL55" s="83">
        <f t="shared" ca="1" si="108"/>
        <v>1.0296823484944215</v>
      </c>
      <c r="AM55" s="83">
        <f t="shared" ca="1" si="109"/>
        <v>2.6528272017135204</v>
      </c>
      <c r="AN55" s="83">
        <f t="shared" ca="1" si="110"/>
        <v>5.8362198437697446</v>
      </c>
      <c r="AO55" s="83">
        <f t="shared" ca="1" si="111"/>
        <v>1.3264136008567602</v>
      </c>
      <c r="AP55" s="83">
        <f t="shared" ca="1" si="112"/>
        <v>8.3310699200650493</v>
      </c>
      <c r="AQ55" s="83">
        <f t="shared" ca="1" si="113"/>
        <v>0.75728717119539868</v>
      </c>
      <c r="AR55" s="83">
        <f t="shared" ca="1" si="114"/>
        <v>1.706808778155783</v>
      </c>
      <c r="AS55" s="83">
        <f t="shared" ca="1" si="115"/>
        <v>0.37864358559769934</v>
      </c>
      <c r="AT55" s="83">
        <f t="shared" ca="1" si="116"/>
        <v>1.8569790411994642</v>
      </c>
      <c r="AU55" s="83">
        <f t="shared" ca="1" si="117"/>
        <v>3.9301143729089194</v>
      </c>
      <c r="AV55" s="83">
        <f t="shared" ca="1" si="118"/>
        <v>0.92848952059973211</v>
      </c>
      <c r="AW55" s="83">
        <f t="shared" ca="1" si="119"/>
        <v>8.8252859322722976</v>
      </c>
      <c r="AX55" s="83">
        <f t="shared" ca="1" si="120"/>
        <v>1.4737973408648912</v>
      </c>
      <c r="AY55" s="83">
        <f t="shared" ca="1" si="121"/>
        <v>3.2097325486820361</v>
      </c>
      <c r="AZ55" s="83">
        <f t="shared" ca="1" si="122"/>
        <v>0.73689867043244561</v>
      </c>
      <c r="BA55" s="83">
        <f t="shared" ca="1" si="123"/>
        <v>2.8591582062912386</v>
      </c>
      <c r="BB55" s="83">
        <f t="shared" ca="1" si="124"/>
        <v>3.4191995044307593</v>
      </c>
      <c r="BC55" s="83">
        <f t="shared" ca="1" si="125"/>
        <v>7.7750769063318943</v>
      </c>
      <c r="BD55" s="83">
        <f t="shared" ca="1" si="126"/>
        <v>7.4746791937900721</v>
      </c>
      <c r="BE55" s="83">
        <f t="shared" ca="1" si="127"/>
        <v>1.4038939096776237</v>
      </c>
      <c r="BF55" s="83">
        <f t="shared" ca="1" si="128"/>
        <v>4.7652636771520642</v>
      </c>
      <c r="BG55" s="83">
        <f t="shared" ca="1" si="129"/>
        <v>2.5938754861198867</v>
      </c>
      <c r="BH55" s="83">
        <f t="shared" ca="1" si="130"/>
        <v>3.3624339401957455</v>
      </c>
      <c r="BI55" s="83">
        <f t="shared" ca="1" si="131"/>
        <v>7.7832999048059888</v>
      </c>
      <c r="BJ55" s="83">
        <f t="shared" ca="1" si="132"/>
        <v>0.30291486847815946</v>
      </c>
      <c r="BK55" s="83">
        <f t="shared" ca="1" si="133"/>
        <v>1.7685514678090135</v>
      </c>
      <c r="BL55" s="83">
        <f t="shared" ca="1" si="134"/>
        <v>0.66811944339451623</v>
      </c>
      <c r="BM55" s="83">
        <f t="shared" ca="1" si="135"/>
        <v>2.6917122093430508</v>
      </c>
      <c r="BN55" s="83">
        <f t="shared" ca="1" si="136"/>
        <v>11.491317708902175</v>
      </c>
      <c r="BO55" s="83">
        <f t="shared" ca="1" si="137"/>
        <v>0.78641360085676026</v>
      </c>
      <c r="BP55" s="83">
        <f t="shared" ca="1" si="138"/>
        <v>2.7903812047653322</v>
      </c>
      <c r="BQ55" s="83">
        <f t="shared" ca="1" si="139"/>
        <v>2.3973697674744407</v>
      </c>
      <c r="BR55" s="83">
        <f t="shared" ca="1" si="140"/>
        <v>4.0155050991838959</v>
      </c>
      <c r="BS55" s="83">
        <f t="shared" ca="1" si="141"/>
        <v>9.9104168129577044</v>
      </c>
      <c r="BT55" s="83">
        <f t="shared" ca="1" si="142"/>
        <v>0.704859597804948</v>
      </c>
      <c r="BU55" s="83">
        <f t="shared" ca="1" si="143"/>
        <v>2.7903812047653322</v>
      </c>
      <c r="BV55" s="83">
        <f t="shared" ca="1" si="144"/>
        <v>2.3973697674744407</v>
      </c>
      <c r="BW55" s="83">
        <f t="shared" ca="1" si="145"/>
        <v>5.5687554232638199</v>
      </c>
      <c r="BX55" s="83">
        <f t="shared" ca="1" si="146"/>
        <v>8.0216309093837062</v>
      </c>
      <c r="BY55" s="83">
        <f t="shared" ca="1" si="147"/>
        <v>0.86214231797630003</v>
      </c>
      <c r="BZ55" s="83">
        <f t="shared" ca="1" si="148"/>
        <v>3.5830660885025529</v>
      </c>
      <c r="CA55" s="83">
        <f t="shared" ca="1" si="149"/>
        <v>3.6109739707138666</v>
      </c>
      <c r="CB55" s="83">
        <f t="shared" ca="1" si="150"/>
        <v>6.5592719597386075</v>
      </c>
      <c r="CC55" s="83">
        <f t="shared" ca="1" si="151"/>
        <v>3.6109739707138666</v>
      </c>
      <c r="CD55" s="83">
        <f t="shared" ca="1" si="152"/>
        <v>4.7555553910914021</v>
      </c>
      <c r="CE55" s="83">
        <f t="shared" ca="1" si="153"/>
        <v>7.974816441280776</v>
      </c>
      <c r="CF55" s="83">
        <f t="shared" ca="1" si="154"/>
        <v>4.7555553910914021</v>
      </c>
      <c r="CG55" s="83">
        <f t="shared" ca="1" si="155"/>
        <v>2.2063214830680744</v>
      </c>
    </row>
    <row r="56" spans="1:85" x14ac:dyDescent="0.25">
      <c r="A56" t="str">
        <f t="shared" ref="A56:E56" si="190">A22</f>
        <v>K. Helms</v>
      </c>
      <c r="B56">
        <f t="shared" si="190"/>
        <v>35</v>
      </c>
      <c r="C56">
        <f t="shared" ca="1" si="190"/>
        <v>49</v>
      </c>
      <c r="D56" t="str">
        <f t="shared" si="190"/>
        <v>TEC</v>
      </c>
      <c r="E56" s="267">
        <f t="shared" si="190"/>
        <v>36526</v>
      </c>
      <c r="F56" s="196">
        <f t="shared" si="77"/>
        <v>1.5</v>
      </c>
      <c r="G56" s="197">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7">
        <f t="shared" si="85"/>
        <v>3.7687878787878786</v>
      </c>
      <c r="P56" s="197">
        <f t="shared" si="86"/>
        <v>15.502716837831953</v>
      </c>
      <c r="Q56" s="197">
        <f t="shared" si="87"/>
        <v>0.73750000000000004</v>
      </c>
      <c r="R56" s="197">
        <f t="shared" si="88"/>
        <v>0.8300121212121212</v>
      </c>
      <c r="S56" s="197">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29">
        <f t="shared" si="101"/>
        <v>9.4368215438993275</v>
      </c>
      <c r="AF56" s="83">
        <f t="shared" si="102"/>
        <v>4.2465696947546974</v>
      </c>
      <c r="AG56" s="83">
        <f t="shared" si="103"/>
        <v>2.2723876524515556</v>
      </c>
      <c r="AH56" s="329">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64</v>
      </c>
      <c r="D57" t="str">
        <f t="shared" si="192"/>
        <v>CAB</v>
      </c>
      <c r="E57" s="267">
        <f t="shared" si="192"/>
        <v>36526</v>
      </c>
      <c r="F57" s="196">
        <f t="shared" si="77"/>
        <v>1.5</v>
      </c>
      <c r="G57" s="197">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7">
        <f t="shared" si="85"/>
        <v>3.9799999999999995</v>
      </c>
      <c r="P57" s="197">
        <f t="shared" si="86"/>
        <v>19.334419744797479</v>
      </c>
      <c r="Q57" s="197">
        <f t="shared" si="87"/>
        <v>0.82750000000000001</v>
      </c>
      <c r="R57" s="197">
        <f t="shared" si="88"/>
        <v>0.81439999999999979</v>
      </c>
      <c r="S57" s="197">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29">
        <f t="shared" si="101"/>
        <v>10.437637178829718</v>
      </c>
      <c r="AF57" s="83">
        <f t="shared" si="102"/>
        <v>4.6969367304733725</v>
      </c>
      <c r="AG57" s="83">
        <f t="shared" si="103"/>
        <v>2.5448579737485768</v>
      </c>
      <c r="AH57" s="329">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64</v>
      </c>
      <c r="D58">
        <f t="shared" si="194"/>
        <v>0</v>
      </c>
      <c r="E58" s="267">
        <f t="shared" si="194"/>
        <v>36526</v>
      </c>
      <c r="F58" s="196">
        <f t="shared" si="77"/>
        <v>1.5</v>
      </c>
      <c r="G58" s="197">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197">
        <f t="shared" si="85"/>
        <v>3.3562499999999997</v>
      </c>
      <c r="P58" s="197">
        <f t="shared" si="86"/>
        <v>18.094487405020338</v>
      </c>
      <c r="Q58" s="197">
        <f t="shared" si="87"/>
        <v>0.80600000000000005</v>
      </c>
      <c r="R58" s="197">
        <f t="shared" si="88"/>
        <v>0.74649999999999994</v>
      </c>
      <c r="S58" s="197">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29">
        <f t="shared" si="101"/>
        <v>8.1777956618184202</v>
      </c>
      <c r="AF58" s="83">
        <f t="shared" si="102"/>
        <v>3.6800080478182893</v>
      </c>
      <c r="AG58" s="83">
        <f t="shared" si="103"/>
        <v>2.8454976907866047</v>
      </c>
      <c r="AH58" s="329">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101</v>
      </c>
      <c r="D59" t="str">
        <f t="shared" si="196"/>
        <v>RAP</v>
      </c>
      <c r="E59" s="267">
        <f t="shared" si="196"/>
        <v>36526</v>
      </c>
      <c r="F59" s="196">
        <f t="shared" si="77"/>
        <v>1.5</v>
      </c>
      <c r="G59" s="197">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197">
        <f t="shared" si="85"/>
        <v>3.7172023809523811</v>
      </c>
      <c r="P59" s="197">
        <f t="shared" si="86"/>
        <v>21.106390190397043</v>
      </c>
      <c r="Q59" s="197">
        <f t="shared" si="87"/>
        <v>0.91749999999999976</v>
      </c>
      <c r="R59" s="197">
        <f t="shared" si="88"/>
        <v>0.84350476190476176</v>
      </c>
      <c r="S59" s="197">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29">
        <f t="shared" si="101"/>
        <v>9.0878217297666684</v>
      </c>
      <c r="AF59" s="83">
        <f t="shared" si="102"/>
        <v>4.0895197783950001</v>
      </c>
      <c r="AG59" s="83">
        <f t="shared" si="103"/>
        <v>2.0024048243422206</v>
      </c>
      <c r="AH59" s="329">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20</v>
      </c>
      <c r="D60">
        <f t="shared" si="198"/>
        <v>0</v>
      </c>
      <c r="E60" s="267">
        <f t="shared" si="198"/>
        <v>36526</v>
      </c>
      <c r="F60" s="196">
        <f t="shared" si="77"/>
        <v>1.5</v>
      </c>
      <c r="G60" s="197">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197">
        <f t="shared" si="85"/>
        <v>3.6149999999999998</v>
      </c>
      <c r="P60" s="197">
        <f t="shared" si="86"/>
        <v>18.946914178388191</v>
      </c>
      <c r="Q60" s="197">
        <f t="shared" si="87"/>
        <v>0.81750000000000012</v>
      </c>
      <c r="R60" s="197">
        <f t="shared" si="88"/>
        <v>0.58079999999999998</v>
      </c>
      <c r="S60" s="197">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29">
        <f t="shared" si="101"/>
        <v>6.0504004724511917</v>
      </c>
      <c r="AF60" s="83">
        <f t="shared" si="102"/>
        <v>2.7226802126030361</v>
      </c>
      <c r="AG60" s="83">
        <f t="shared" si="103"/>
        <v>1.4289392161949446</v>
      </c>
      <c r="AH60" s="329">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34" priority="35" operator="greaterThan">
      <formula>15</formula>
    </cfRule>
  </conditionalFormatting>
  <conditionalFormatting sqref="R3:R26">
    <cfRule type="cellIs" dxfId="33" priority="34" operator="greaterThan">
      <formula>3.2</formula>
    </cfRule>
  </conditionalFormatting>
  <conditionalFormatting sqref="T3:U26">
    <cfRule type="cellIs" dxfId="32" priority="33" operator="greaterThan">
      <formula>0.6</formula>
    </cfRule>
  </conditionalFormatting>
  <conditionalFormatting sqref="AC3:AH26 BH3:BK26 BB3:BE26 AP3:AS26 X3:AA26 AJ3:AJ26 BM3:CK26 AU3:AZ26 AL3:AN26">
    <cfRule type="cellIs" dxfId="31" priority="32" operator="greaterThan">
      <formula>12.5</formula>
    </cfRule>
  </conditionalFormatting>
  <conditionalFormatting sqref="J3:J26">
    <cfRule type="cellIs" dxfId="30" priority="29" operator="greaterThan">
      <formula>7</formula>
    </cfRule>
  </conditionalFormatting>
  <conditionalFormatting sqref="AB3:AB26 AI3:AI26 AT3:AT26 BA3:BA26 BL3:BL26 BG3:BG26">
    <cfRule type="cellIs" dxfId="29"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8" priority="6" operator="greaterThan">
      <formula>15</formula>
    </cfRule>
  </conditionalFormatting>
  <conditionalFormatting sqref="O37:O60">
    <cfRule type="cellIs" dxfId="27" priority="5" operator="greaterThan">
      <formula>3.2</formula>
    </cfRule>
  </conditionalFormatting>
  <conditionalFormatting sqref="Q37:R60">
    <cfRule type="cellIs" dxfId="26" priority="4" operator="greaterThan">
      <formula>0.6</formula>
    </cfRule>
  </conditionalFormatting>
  <conditionalFormatting sqref="BI37:CG60 T37:W60 AF37:AF60 Y37:AD60 AH37:AJ60 BD37:BG60 AX37:BA60 AL37:AO60 AQ37:AV60">
    <cfRule type="cellIs" dxfId="25" priority="3" operator="greaterThan">
      <formula>12.5</formula>
    </cfRule>
  </conditionalFormatting>
  <conditionalFormatting sqref="G37:G60">
    <cfRule type="cellIs" dxfId="24" priority="2" operator="greaterThan">
      <formula>7</formula>
    </cfRule>
  </conditionalFormatting>
  <conditionalFormatting sqref="X37:X60 AP37:AP60 AW37:AW60 BH37:BH60 BC37:BC60 AE37:AE60">
    <cfRule type="cellIs" dxfId="23"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13" sqref="H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1" t="s">
        <v>71</v>
      </c>
      <c r="B1" s="141" t="s">
        <v>2</v>
      </c>
      <c r="C1" s="141" t="s">
        <v>262</v>
      </c>
      <c r="D1" s="114" t="s">
        <v>263</v>
      </c>
      <c r="E1" s="114" t="s">
        <v>231</v>
      </c>
      <c r="F1" s="114" t="s">
        <v>232</v>
      </c>
      <c r="M1" s="239" t="str">
        <f>Plantilla!D3</f>
        <v>Jugador</v>
      </c>
      <c r="N1" s="239" t="s">
        <v>329</v>
      </c>
      <c r="O1" s="239" t="str">
        <f>Plantilla!AC3</f>
        <v>An</v>
      </c>
      <c r="P1" s="239" t="str">
        <f>Plantilla!AD3</f>
        <v>PA</v>
      </c>
      <c r="Q1" s="239" t="str">
        <f>Plantilla!AI3</f>
        <v>TL</v>
      </c>
      <c r="R1" s="239" t="str">
        <f>Plantilla!AJ3</f>
        <v>PEN</v>
      </c>
      <c r="S1" s="239" t="str">
        <f>Plantilla!AK3</f>
        <v>BPiA</v>
      </c>
      <c r="T1" s="239" t="str">
        <f>Plantilla!AL3</f>
        <v>BPiD</v>
      </c>
      <c r="W1" s="674" t="s">
        <v>444</v>
      </c>
      <c r="X1" s="674"/>
      <c r="Y1" s="674"/>
      <c r="Z1" s="674"/>
      <c r="AA1" s="674"/>
    </row>
    <row r="2" spans="1:27" x14ac:dyDescent="0.25">
      <c r="A2" t="str">
        <f>Plantilla!D4</f>
        <v>D. Gehmacher</v>
      </c>
      <c r="B2" s="83">
        <f ca="1">Plantilla!Y4++Plantilla!J4+Plantilla!P4</f>
        <v>14.806929271012887</v>
      </c>
      <c r="C2" s="83">
        <f ca="1">Plantilla!AB4+Plantilla!J4+Plantilla!P4</f>
        <v>3.8069292710128879</v>
      </c>
      <c r="D2" s="127">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2">
        <f t="shared" ref="X2:Z9" si="0">N2</f>
        <v>1.8569292710128877</v>
      </c>
      <c r="Y2" s="142">
        <f t="shared" si="0"/>
        <v>0</v>
      </c>
      <c r="Z2" s="142">
        <f t="shared" si="0"/>
        <v>18.2</v>
      </c>
      <c r="AA2" s="142"/>
    </row>
    <row r="3" spans="1:27" x14ac:dyDescent="0.25">
      <c r="A3" t="str">
        <f>Plantilla!D5</f>
        <v>T. Hammond</v>
      </c>
      <c r="B3" s="83">
        <f>Plantilla!Y5++Plantilla!J5+Plantilla!P5</f>
        <v>9.7475038047995977</v>
      </c>
      <c r="C3" s="83">
        <f>Plantilla!AB5+Plantilla!J5+Plantilla!P5</f>
        <v>4.7475038047995977</v>
      </c>
      <c r="D3" s="127">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2">
        <f t="shared" si="0"/>
        <v>1.2975038047995981</v>
      </c>
      <c r="Y3" s="142">
        <f t="shared" si="0"/>
        <v>0</v>
      </c>
      <c r="Z3" s="142">
        <f t="shared" si="0"/>
        <v>14.95</v>
      </c>
      <c r="AA3" s="142"/>
    </row>
    <row r="4" spans="1:27" x14ac:dyDescent="0.25">
      <c r="A4" t="str">
        <f>Plantilla!D6</f>
        <v>E. Toney</v>
      </c>
      <c r="B4" s="83">
        <f>Plantilla!Y6++Plantilla!J6+Plantilla!P6</f>
        <v>15.155004801270438</v>
      </c>
      <c r="C4" s="83">
        <f>Plantilla!AB6+Plantilla!J6+Plantilla!P6</f>
        <v>12.155004801270438</v>
      </c>
      <c r="D4" s="127">
        <f t="shared" si="1"/>
        <v>4.9331268004764146</v>
      </c>
      <c r="E4" s="83">
        <f>D4*Plantilla!R6</f>
        <v>4.5671879466077216</v>
      </c>
      <c r="F4" s="83">
        <f>D4*Plantilla!S6</f>
        <v>4.9296018791256628</v>
      </c>
      <c r="M4" t="str">
        <f>Plantilla!D6</f>
        <v>E. Toney</v>
      </c>
      <c r="N4" s="48">
        <f>Plantilla!J6</f>
        <v>1.7050048012704384</v>
      </c>
      <c r="O4" s="83">
        <f>Plantilla!AC6</f>
        <v>0.95</v>
      </c>
      <c r="P4" s="83">
        <f>Plantilla!AD6</f>
        <v>17.177777777777774</v>
      </c>
      <c r="Q4" s="48">
        <f>Plantilla!AI6</f>
        <v>9.7283679853140228</v>
      </c>
      <c r="R4" s="48">
        <f>Plantilla!AJ6</f>
        <v>14.363588948583933</v>
      </c>
      <c r="S4" s="48">
        <f>Plantilla!AK6</f>
        <v>0.8192337174349682</v>
      </c>
      <c r="T4" s="48">
        <f>Plantilla!AL6</f>
        <v>1.2176836694222639</v>
      </c>
      <c r="W4" t="str">
        <f>M6</f>
        <v>F. Lasprilla</v>
      </c>
      <c r="X4" s="142">
        <f t="shared" si="0"/>
        <v>1.7050048012704384</v>
      </c>
      <c r="Y4" s="142">
        <f t="shared" si="0"/>
        <v>0.95</v>
      </c>
      <c r="Z4" s="142">
        <f t="shared" si="0"/>
        <v>17.177777777777774</v>
      </c>
      <c r="AA4" s="142"/>
    </row>
    <row r="5" spans="1:27" x14ac:dyDescent="0.25">
      <c r="A5" t="str">
        <f>Plantilla!D7</f>
        <v>B. Bartolache</v>
      </c>
      <c r="B5" s="83">
        <f>Plantilla!Y7++Plantilla!J7+Plantilla!P7</f>
        <v>14.92627995953049</v>
      </c>
      <c r="C5" s="83">
        <f>Plantilla!AB7+Plantilla!J7+Plantilla!P7</f>
        <v>10.926279959530492</v>
      </c>
      <c r="D5" s="127">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2">
        <f t="shared" si="0"/>
        <v>1.4762799595304912</v>
      </c>
      <c r="Y5" s="142">
        <f t="shared" si="0"/>
        <v>1.95</v>
      </c>
      <c r="Z5" s="142">
        <f t="shared" si="0"/>
        <v>16</v>
      </c>
      <c r="AA5" s="142"/>
    </row>
    <row r="6" spans="1:27" x14ac:dyDescent="0.25">
      <c r="A6" t="str">
        <f>Plantilla!D8</f>
        <v>F. Lasprilla</v>
      </c>
      <c r="B6" s="83">
        <f>Plantilla!Y8++Plantilla!J8+Plantilla!P8</f>
        <v>12.255763813493941</v>
      </c>
      <c r="C6" s="83">
        <f>Plantilla!AB8+Plantilla!J8+Plantilla!P8</f>
        <v>11.514430480160605</v>
      </c>
      <c r="D6" s="127">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2">
        <f t="shared" si="0"/>
        <v>1.1510971468272746</v>
      </c>
      <c r="Y6" s="142">
        <f t="shared" si="0"/>
        <v>2.95</v>
      </c>
      <c r="Z6" s="142">
        <f t="shared" si="0"/>
        <v>13.33611111111111</v>
      </c>
      <c r="AA6" s="142"/>
    </row>
    <row r="7" spans="1:27" x14ac:dyDescent="0.25">
      <c r="A7" t="str">
        <f>Plantilla!D9</f>
        <v>E. Romweber</v>
      </c>
      <c r="B7" s="83">
        <f>Plantilla!Y9++Plantilla!J9+Plantilla!P9</f>
        <v>15.126904766492245</v>
      </c>
      <c r="C7" s="83">
        <f>Plantilla!AB9+Plantilla!J9+Plantilla!P9</f>
        <v>13.126904766492245</v>
      </c>
      <c r="D7" s="127">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2">
        <f t="shared" si="0"/>
        <v>1.6769047664922461</v>
      </c>
      <c r="Y7" s="142">
        <f t="shared" si="0"/>
        <v>5.95</v>
      </c>
      <c r="Z7" s="142">
        <f t="shared" si="0"/>
        <v>17.529999999999998</v>
      </c>
      <c r="AA7" s="142"/>
    </row>
    <row r="8" spans="1:27" x14ac:dyDescent="0.25">
      <c r="A8" t="str">
        <f>Plantilla!D10</f>
        <v>S. Buschelman</v>
      </c>
      <c r="B8" s="83">
        <f>Plantilla!Y10++Plantilla!J10+Plantilla!P10</f>
        <v>12.401876115939228</v>
      </c>
      <c r="C8" s="83">
        <f>Plantilla!AB10+Plantilla!J10+Plantilla!P10</f>
        <v>13.048209449272562</v>
      </c>
      <c r="D8" s="127">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2">
        <f t="shared" si="0"/>
        <v>1.5982094492725636</v>
      </c>
      <c r="Y8" s="142">
        <f t="shared" si="0"/>
        <v>3.95</v>
      </c>
      <c r="Z8" s="142">
        <f t="shared" si="0"/>
        <v>16</v>
      </c>
      <c r="AA8" s="142"/>
    </row>
    <row r="9" spans="1:27" x14ac:dyDescent="0.25">
      <c r="A9" t="str">
        <f>Plantilla!D11</f>
        <v>E. Gross</v>
      </c>
      <c r="B9" s="83">
        <f>Plantilla!Y11++Plantilla!J11+Plantilla!P11</f>
        <v>13.582292150207168</v>
      </c>
      <c r="C9" s="83">
        <f>Plantilla!AB11+Plantilla!J11+Plantilla!P11</f>
        <v>11.982292150207172</v>
      </c>
      <c r="D9" s="127">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2">
        <f t="shared" si="0"/>
        <v>1.5322921502071731</v>
      </c>
      <c r="Y9" s="142">
        <f t="shared" si="0"/>
        <v>0.95</v>
      </c>
      <c r="Z9" s="142">
        <f t="shared" si="0"/>
        <v>17.3</v>
      </c>
      <c r="AA9" s="142"/>
    </row>
    <row r="10" spans="1:27" x14ac:dyDescent="0.25">
      <c r="A10" t="str">
        <f>Plantilla!D12</f>
        <v>W. Gelifini</v>
      </c>
      <c r="B10" s="83">
        <f>Plantilla!Y12++Plantilla!J12+Plantilla!P12</f>
        <v>8.138705808214544</v>
      </c>
      <c r="C10" s="83">
        <f>Plantilla!AB12+Plantilla!J12+Plantilla!P12</f>
        <v>11.437150252658991</v>
      </c>
      <c r="D10" s="127">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2">
        <f t="shared" ref="X10:Z11" si="2">N9</f>
        <v>1.5322921502071731</v>
      </c>
      <c r="Y10" s="142">
        <f t="shared" si="2"/>
        <v>0.95</v>
      </c>
      <c r="Z10" s="142">
        <f t="shared" si="2"/>
        <v>17.3</v>
      </c>
      <c r="AA10" s="142"/>
    </row>
    <row r="11" spans="1:27" x14ac:dyDescent="0.25">
      <c r="A11" t="str">
        <f>Plantilla!D13</f>
        <v>I. Vanags</v>
      </c>
      <c r="B11" s="83">
        <f ca="1">Plantilla!Y13++Plantilla!J13+Plantilla!P13</f>
        <v>4.4033237092899489</v>
      </c>
      <c r="C11" s="83">
        <f ca="1">Plantilla!AB13+Plantilla!J13+Plantilla!P13</f>
        <v>4.4033237092899489</v>
      </c>
      <c r="D11" s="127">
        <f t="shared" ca="1" si="1"/>
        <v>1.6512463909837307</v>
      </c>
      <c r="E11" s="83">
        <f ca="1">D11*Plantilla!R13</f>
        <v>1.3955579129450075</v>
      </c>
      <c r="F11" s="83">
        <f ca="1">D11*Plantilla!S13</f>
        <v>1.527482602939668</v>
      </c>
      <c r="M11" t="str">
        <f>Plantilla!D13</f>
        <v>I. Vanags</v>
      </c>
      <c r="N11" s="48">
        <f>Plantilla!J13</f>
        <v>0.19483738090431735</v>
      </c>
      <c r="O11" s="83">
        <f>Plantilla!AC13</f>
        <v>7</v>
      </c>
      <c r="P11" s="83">
        <f>Plantilla!AD13</f>
        <v>6</v>
      </c>
      <c r="Q11" s="48">
        <f ca="1">Plantilla!AI13</f>
        <v>6.9398534997685664</v>
      </c>
      <c r="R11" s="48">
        <f ca="1">Plantilla!AJ13</f>
        <v>5.6653425537289417</v>
      </c>
      <c r="S11" s="48">
        <f ca="1">Plantilla!AK13</f>
        <v>0.56226589674319594</v>
      </c>
      <c r="T11" s="48">
        <f ca="1">Plantilla!AL13</f>
        <v>0.36823265965029639</v>
      </c>
      <c r="W11" t="str">
        <f>M11</f>
        <v>I. Vanags</v>
      </c>
      <c r="X11" s="142">
        <f t="shared" si="2"/>
        <v>0.98715025265899181</v>
      </c>
      <c r="Y11" s="142">
        <f t="shared" si="2"/>
        <v>2.95</v>
      </c>
      <c r="Z11" s="142">
        <f t="shared" si="2"/>
        <v>12.847222222222223</v>
      </c>
      <c r="AA11" s="142"/>
    </row>
    <row r="12" spans="1:27" x14ac:dyDescent="0.25">
      <c r="A12" t="str">
        <f>Plantilla!D14</f>
        <v>I. Stone</v>
      </c>
      <c r="B12" s="83">
        <f ca="1">Plantilla!Y14++Plantilla!J14+Plantilla!P14</f>
        <v>3.6312637647854524</v>
      </c>
      <c r="C12" s="83">
        <f ca="1">Plantilla!AB14+Plantilla!J14+Plantilla!P14</f>
        <v>6.6312637647854524</v>
      </c>
      <c r="D12" s="127">
        <f t="shared" ca="1" si="1"/>
        <v>2.1117239117945448</v>
      </c>
      <c r="E12" s="83">
        <f ca="1">D12*Plantilla!R14</f>
        <v>1.5963132309248178</v>
      </c>
      <c r="F12" s="83">
        <f ca="1">D12*Plantilla!S14</f>
        <v>1.7829468231565335</v>
      </c>
      <c r="M12" t="str">
        <f>Plantilla!D14</f>
        <v>I. Stone</v>
      </c>
      <c r="N12" s="48">
        <f>Plantilla!J14</f>
        <v>0.45656357442960838</v>
      </c>
      <c r="O12" s="83">
        <f>Plantilla!AC14</f>
        <v>9</v>
      </c>
      <c r="P12" s="83">
        <f>Plantilla!AD14</f>
        <v>2</v>
      </c>
      <c r="Q12" s="48">
        <f ca="1">Plantilla!AI14</f>
        <v>7.4346314251420944</v>
      </c>
      <c r="R12" s="48">
        <f ca="1">Plantilla!AJ14</f>
        <v>3.576499231049572</v>
      </c>
      <c r="S12" s="48">
        <f ca="1">Plantilla!AK14</f>
        <v>0.56050110118283625</v>
      </c>
      <c r="T12" s="48">
        <f ca="1">Plantilla!AL14</f>
        <v>0.22418846353498165</v>
      </c>
      <c r="Y12" s="240">
        <f>AVERAGE(Y2:Y11)</f>
        <v>2.0599999999999996</v>
      </c>
      <c r="Z12" s="240">
        <f>AVERAGE(Z2:Z11)</f>
        <v>16.06411111111111</v>
      </c>
      <c r="AA12" s="241">
        <f>1.66*(Y12+1.5)+0.55*(Z12+1.5)-7.6</f>
        <v>7.9698611111111113</v>
      </c>
    </row>
    <row r="13" spans="1:27" x14ac:dyDescent="0.25">
      <c r="A13" t="str">
        <f>Plantilla!D15</f>
        <v>G. Piscaer</v>
      </c>
      <c r="B13" s="83">
        <f ca="1">Plantilla!Y15++Plantilla!J15+Plantilla!P15</f>
        <v>4.7858046555161113</v>
      </c>
      <c r="C13" s="83">
        <f ca="1">Plantilla!AB15+Plantilla!J15+Plantilla!P15</f>
        <v>2.7858046555161122</v>
      </c>
      <c r="D13" s="127">
        <f t="shared" ca="1" si="1"/>
        <v>1.294676745818542</v>
      </c>
      <c r="E13" s="83">
        <f ca="1">D13*Plantilla!R15</f>
        <v>1.0942015602266109</v>
      </c>
      <c r="F13" s="83">
        <f ca="1">D13*Plantilla!S15</f>
        <v>1.1976384726510814</v>
      </c>
      <c r="M13" t="str">
        <f>Plantilla!D15</f>
        <v>G. Piscaer</v>
      </c>
      <c r="N13" s="48">
        <f>Plantilla!J15</f>
        <v>0.59621070845629232</v>
      </c>
      <c r="O13" s="83">
        <f>Plantilla!AC15</f>
        <v>8</v>
      </c>
      <c r="P13" s="83">
        <f>Plantilla!AD15</f>
        <v>0</v>
      </c>
      <c r="Q13" s="48">
        <f ca="1">Plantilla!AI15</f>
        <v>6.2681949539267432</v>
      </c>
      <c r="R13" s="48">
        <f ca="1">Plantilla!AJ15</f>
        <v>2.692496359343358</v>
      </c>
      <c r="S13" s="48">
        <f ca="1">Plantilla!AK15</f>
        <v>0.46286437244128892</v>
      </c>
      <c r="T13" s="48">
        <f ca="1">Plantilla!AL15</f>
        <v>0.21500632588612784</v>
      </c>
    </row>
    <row r="14" spans="1:27" x14ac:dyDescent="0.25">
      <c r="A14" t="str">
        <f>Plantilla!D16</f>
        <v>M. Bondarewski</v>
      </c>
      <c r="B14" s="83">
        <f ca="1">Plantilla!Y16++Plantilla!J16+Plantilla!P16</f>
        <v>2.7571540339466685</v>
      </c>
      <c r="C14" s="83">
        <f ca="1">Plantilla!AB16+Plantilla!J16+Plantilla!P16</f>
        <v>4.7571540339466685</v>
      </c>
      <c r="D14" s="127">
        <f t="shared" ca="1" si="1"/>
        <v>1.5339327627300006</v>
      </c>
      <c r="E14" s="83">
        <f ca="1">D14*Plantilla!R16</f>
        <v>1.2964098008887281</v>
      </c>
      <c r="F14" s="83">
        <f ca="1">D14*Plantilla!S16</f>
        <v>1.4189618350980202</v>
      </c>
      <c r="M14" t="str">
        <f>Plantilla!D16</f>
        <v>M. Bondarewski</v>
      </c>
      <c r="N14" s="48">
        <f>Plantilla!J16</f>
        <v>0.55329779729442397</v>
      </c>
      <c r="O14" s="83">
        <f>Plantilla!AC16</f>
        <v>8</v>
      </c>
      <c r="P14" s="83">
        <f>Plantilla!AD16</f>
        <v>6</v>
      </c>
      <c r="Q14" s="48">
        <f ca="1">Plantilla!AI16</f>
        <v>9.0036906241995762</v>
      </c>
      <c r="R14" s="48">
        <f ca="1">Plantilla!AJ16</f>
        <v>6.2179300344830946</v>
      </c>
      <c r="S14" s="48">
        <f ca="1">Plantilla!AK16</f>
        <v>0.6405723227157335</v>
      </c>
      <c r="T14" s="48">
        <f ca="1">Plantilla!AL16</f>
        <v>0.31300078237626677</v>
      </c>
    </row>
    <row r="15" spans="1:27" x14ac:dyDescent="0.25">
      <c r="A15" t="str">
        <f>Plantilla!D17</f>
        <v>J. Vartiainen</v>
      </c>
      <c r="B15" s="83">
        <f ca="1">Plantilla!Y17++Plantilla!J17+Plantilla!P17</f>
        <v>7.3510906854387139</v>
      </c>
      <c r="C15" s="83">
        <f ca="1">Plantilla!AB17+Plantilla!J17+Plantilla!P17</f>
        <v>1.3510906854387141</v>
      </c>
      <c r="D15" s="127">
        <f t="shared" ca="1" si="1"/>
        <v>1.2566590070395178</v>
      </c>
      <c r="E15" s="83">
        <f ca="1">D15*Plantilla!R17</f>
        <v>1.0620707065423614</v>
      </c>
      <c r="F15" s="83">
        <f ca="1">D15*Plantilla!S17</f>
        <v>1.1624702294953957</v>
      </c>
      <c r="M15" t="str">
        <f>Plantilla!D17</f>
        <v>J. Vartiainen</v>
      </c>
      <c r="N15" s="48">
        <f>Plantilla!J17</f>
        <v>0.15192446974244905</v>
      </c>
      <c r="O15" s="83">
        <f>Plantilla!AC17</f>
        <v>6</v>
      </c>
      <c r="P15" s="83">
        <f>Plantilla!AD17</f>
        <v>1</v>
      </c>
      <c r="Q15" s="48">
        <f ca="1">Plantilla!AI17</f>
        <v>3.115162869632901</v>
      </c>
      <c r="R15" s="48">
        <f ca="1">Plantilla!AJ17</f>
        <v>2.4096114234153716</v>
      </c>
      <c r="S15" s="48">
        <f ca="1">Plantilla!AK17</f>
        <v>0.35808725483509712</v>
      </c>
      <c r="T15" s="48">
        <f ca="1">Plantilla!AL17</f>
        <v>0.33457634798071001</v>
      </c>
    </row>
    <row r="16" spans="1:27" x14ac:dyDescent="0.25">
      <c r="A16" t="str">
        <f>Plantilla!D18</f>
        <v>R. Forsyth</v>
      </c>
      <c r="B16" s="83">
        <f ca="1">Plantilla!Y18++Plantilla!J18+Plantilla!P18</f>
        <v>7.8046970368419233</v>
      </c>
      <c r="C16" s="83">
        <f ca="1">Plantilla!AB18+Plantilla!J18+Plantilla!P18</f>
        <v>4.8046970368419233</v>
      </c>
      <c r="D16" s="127">
        <f t="shared" ca="1" si="1"/>
        <v>2.1767613888157213</v>
      </c>
      <c r="E16" s="83">
        <f ca="1">D16*Plantilla!R18</f>
        <v>1.8396991492863617</v>
      </c>
      <c r="F16" s="83">
        <f ca="1">D16*Plantilla!S18</f>
        <v>2.0136093379655811</v>
      </c>
      <c r="M16" t="str">
        <f>Plantilla!D18</f>
        <v>R. Forsyth</v>
      </c>
      <c r="N16" s="48">
        <f>Plantilla!J18</f>
        <v>0.59621070845629232</v>
      </c>
      <c r="O16" s="83">
        <f>Plantilla!AC18</f>
        <v>6</v>
      </c>
      <c r="P16" s="83">
        <f>Plantilla!AD18</f>
        <v>2</v>
      </c>
      <c r="Q16" s="48">
        <f ca="1">Plantilla!AI18</f>
        <v>4.4272395264048505</v>
      </c>
      <c r="R16" s="48">
        <f ca="1">Plantilla!AJ18</f>
        <v>3.3845867395856346</v>
      </c>
      <c r="S16" s="48">
        <f ca="1">Plantilla!AK18</f>
        <v>0.42437576294735385</v>
      </c>
      <c r="T16" s="48">
        <f ca="1">Plantilla!AL18</f>
        <v>0.39632879257893461</v>
      </c>
    </row>
    <row r="17" spans="1:20" x14ac:dyDescent="0.25">
      <c r="A17" t="str">
        <f>Plantilla!D19</f>
        <v>M. Grupinski</v>
      </c>
      <c r="B17" s="83">
        <f ca="1">Plantilla!Y19++Plantilla!J19+Plantilla!P19</f>
        <v>3.620981430810728</v>
      </c>
      <c r="C17" s="83">
        <f ca="1">Plantilla!AB19+Plantilla!J19+Plantilla!P19</f>
        <v>6.620981430810728</v>
      </c>
      <c r="D17" s="127">
        <f t="shared" ca="1" si="1"/>
        <v>2.1078680365540228</v>
      </c>
      <c r="E17" s="83">
        <f ca="1">D17*Plantilla!R19</f>
        <v>1.9515065959098175</v>
      </c>
      <c r="F17" s="83">
        <f ca="1">D17*Plantilla!S19</f>
        <v>2.1063618784220446</v>
      </c>
      <c r="M17" t="str">
        <f>Plantilla!D19</f>
        <v>M. Grupinski</v>
      </c>
      <c r="N17" s="48">
        <f>Plantilla!J19</f>
        <v>0.55329779729442397</v>
      </c>
      <c r="O17" s="83">
        <f>Plantilla!AC19</f>
        <v>3</v>
      </c>
      <c r="P17" s="83">
        <f>Plantilla!AD19</f>
        <v>3</v>
      </c>
      <c r="Q17" s="48">
        <f ca="1">Plantilla!AI19</f>
        <v>0.3725212726291236</v>
      </c>
      <c r="R17" s="48">
        <f ca="1">Plantilla!AJ19</f>
        <v>3.352377389547744</v>
      </c>
      <c r="S17" s="48">
        <f ca="1">Plantilla!AK19</f>
        <v>0.28967851446485826</v>
      </c>
      <c r="T17" s="48">
        <f ca="1">Plantilla!AL19</f>
        <v>0.25346870015675094</v>
      </c>
    </row>
    <row r="18" spans="1:20" x14ac:dyDescent="0.25">
      <c r="A18" t="str">
        <f>Plantilla!D20</f>
        <v>V. Godoi</v>
      </c>
      <c r="B18" s="83">
        <f ca="1">Plantilla!Y20++Plantilla!J20+Plantilla!P20</f>
        <v>4.1296386991034719</v>
      </c>
      <c r="C18" s="83">
        <f ca="1">Plantilla!AB20+Plantilla!J20+Plantilla!P20</f>
        <v>6.1296386991034728</v>
      </c>
      <c r="D18" s="127">
        <f t="shared" ca="1" si="1"/>
        <v>2.0486145121638022</v>
      </c>
      <c r="E18" s="83">
        <f ca="1">D18*Plantilla!R20</f>
        <v>2.0486145121638022</v>
      </c>
      <c r="F18" s="83">
        <f ca="1">D18*Plantilla!S20</f>
        <v>2.0486145121638022</v>
      </c>
      <c r="M18" t="str">
        <f>Plantilla!D20</f>
        <v>V. Godoi</v>
      </c>
      <c r="N18" s="48">
        <f>Plantilla!J20</f>
        <v>0.98715025265899181</v>
      </c>
      <c r="O18" s="83">
        <f>Plantilla!AC20</f>
        <v>5</v>
      </c>
      <c r="P18" s="83">
        <f>Plantilla!AD20</f>
        <v>1</v>
      </c>
      <c r="Q18" s="48">
        <f ca="1">Plantilla!AI20</f>
        <v>3.7465015250186742</v>
      </c>
      <c r="R18" s="48">
        <f ca="1">Plantilla!AJ20</f>
        <v>3.3296386991034721</v>
      </c>
      <c r="S18" s="48">
        <f ca="1">Plantilla!AK20</f>
        <v>0.37037109592827783</v>
      </c>
      <c r="T18" s="48">
        <f ca="1">Plantilla!AL20</f>
        <v>0.22907470893724305</v>
      </c>
    </row>
    <row r="19" spans="1:20" x14ac:dyDescent="0.25">
      <c r="A19" t="str">
        <f>Plantilla!D21</f>
        <v>P. Tuderek</v>
      </c>
      <c r="B19" s="83">
        <f ca="1">Plantilla!Y21++Plantilla!J21+Plantilla!P21</f>
        <v>6.4806463052601977</v>
      </c>
      <c r="C19" s="83">
        <f ca="1">Plantilla!AB21+Plantilla!J21+Plantilla!P21</f>
        <v>3.4806463052601977</v>
      </c>
      <c r="D19" s="127">
        <f t="shared" ca="1" si="1"/>
        <v>1.6802423644725741</v>
      </c>
      <c r="E19" s="83">
        <f ca="1">D19*Plantilla!R21</f>
        <v>1.4200639833090989</v>
      </c>
      <c r="F19" s="83">
        <f ca="1">D19*Plantilla!S21</f>
        <v>1.5543052777999122</v>
      </c>
      <c r="M19" t="str">
        <f>Plantilla!D21</f>
        <v>P. Tuderek</v>
      </c>
      <c r="N19" s="48">
        <f>Plantilla!J21</f>
        <v>0.27215997687456639</v>
      </c>
      <c r="O19" s="83">
        <f>Plantilla!AC21</f>
        <v>6</v>
      </c>
      <c r="P19" s="83">
        <f>Plantilla!AD21</f>
        <v>8</v>
      </c>
      <c r="Q19" s="48">
        <f ca="1">Plantilla!AI21</f>
        <v>6.6109895584663079</v>
      </c>
      <c r="R19" s="48">
        <f ca="1">Plantilla!AJ21</f>
        <v>6.6603617549012206</v>
      </c>
      <c r="S19" s="48">
        <f ca="1">Plantilla!AK21</f>
        <v>0.57845170442081584</v>
      </c>
      <c r="T19" s="48">
        <f ca="1">Plantilla!AL21</f>
        <v>0.51364524136821388</v>
      </c>
    </row>
    <row r="20" spans="1:20" x14ac:dyDescent="0.25">
      <c r="A20" t="str">
        <f>Plantilla!D22</f>
        <v>G. Stoychev</v>
      </c>
      <c r="B20" s="83">
        <f ca="1">Plantilla!Y22++Plantilla!J22+Plantilla!P22</f>
        <v>9.9638141107639289</v>
      </c>
      <c r="C20" s="83">
        <f ca="1">Plantilla!AB22+Plantilla!J22+Plantilla!P22</f>
        <v>5.9638141107639271</v>
      </c>
      <c r="D20" s="127">
        <f t="shared" ca="1" si="1"/>
        <v>2.7364302915364727</v>
      </c>
      <c r="E20" s="83">
        <f ca="1">D20*Plantilla!R22</f>
        <v>2.5334421655309289</v>
      </c>
      <c r="F20" s="83">
        <f ca="1">D20*Plantilla!S22</f>
        <v>2.7344749999030711</v>
      </c>
      <c r="M20" t="str">
        <f>Plantilla!D22</f>
        <v>G. Stoychev</v>
      </c>
      <c r="N20" s="48">
        <f>Plantilla!J22</f>
        <v>0.8961304772476234</v>
      </c>
      <c r="O20" s="83">
        <f>Plantilla!AC22</f>
        <v>5</v>
      </c>
      <c r="P20" s="83">
        <f>Plantilla!AD22</f>
        <v>3</v>
      </c>
      <c r="Q20" s="48">
        <f ca="1">Plantilla!AI22</f>
        <v>4.1477010668446264</v>
      </c>
      <c r="R20" s="48">
        <f ca="1">Plantilla!AJ22</f>
        <v>4.2252708353708366</v>
      </c>
      <c r="S20" s="48">
        <f ca="1">Plantilla!AK22</f>
        <v>0.41710512886111417</v>
      </c>
      <c r="T20" s="48">
        <f ca="1">Plantilla!AL22</f>
        <v>0.51746698775347499</v>
      </c>
    </row>
    <row r="21" spans="1:20" x14ac:dyDescent="0.25">
      <c r="A21" t="str">
        <f>Plantilla!D23</f>
        <v>K. Helms</v>
      </c>
      <c r="B21" s="83">
        <f>Plantilla!Y23++Plantilla!J23+Plantilla!P23</f>
        <v>10.298793699949664</v>
      </c>
      <c r="C21" s="83">
        <f>Plantilla!AB23+Plantilla!J23+Plantilla!P23</f>
        <v>12.998490669646632</v>
      </c>
      <c r="D21" s="127">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27">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27">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27">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27">
        <f t="shared" si="1"/>
        <v>4.2311662482156338</v>
      </c>
      <c r="E25" s="83">
        <f>D25*Plantilla!R27</f>
        <v>3.5759881571431378</v>
      </c>
      <c r="F25" s="83">
        <f>D25*Plantilla!S27</f>
        <v>3.9140329811376797</v>
      </c>
      <c r="M25" t="str">
        <f>Plantilla!D27</f>
        <v>P .Trivadi</v>
      </c>
      <c r="N25" s="48">
        <f>Plantilla!J27</f>
        <v>1.1431099952416914</v>
      </c>
      <c r="O25" s="83">
        <f>Plantilla!AC27</f>
        <v>7.95</v>
      </c>
      <c r="P25" s="83">
        <f>Plantilla!AD27</f>
        <v>14</v>
      </c>
      <c r="Q25" s="48">
        <f>Plantilla!AI27</f>
        <v>16.17479292973379</v>
      </c>
      <c r="R25" s="48">
        <f>Plantilla!AJ27</f>
        <v>12.532040252060957</v>
      </c>
      <c r="S25" s="48">
        <f>Plantilla!AK27</f>
        <v>1.0289487996193352</v>
      </c>
      <c r="T25" s="48">
        <f>Plantilla!AL27</f>
        <v>0.76581769966691837</v>
      </c>
    </row>
    <row r="26" spans="1:20" x14ac:dyDescent="0.25">
      <c r="B26" s="83"/>
      <c r="C26" s="83"/>
      <c r="D26" s="127"/>
      <c r="E26" s="83"/>
      <c r="F26" s="83"/>
    </row>
    <row r="27" spans="1:20" ht="18.75" x14ac:dyDescent="0.3">
      <c r="A27" s="674" t="s">
        <v>443</v>
      </c>
      <c r="B27" s="674"/>
      <c r="C27" s="674"/>
      <c r="D27" s="674"/>
      <c r="E27" s="674"/>
      <c r="F27" s="674"/>
      <c r="G27" s="674"/>
      <c r="H27" s="674"/>
      <c r="I27" s="674"/>
      <c r="J27" s="674"/>
    </row>
    <row r="28" spans="1:20" x14ac:dyDescent="0.25">
      <c r="A28" s="141" t="s">
        <v>214</v>
      </c>
      <c r="B28" s="141" t="str">
        <f>D1</f>
        <v>N_CA</v>
      </c>
      <c r="C28" s="114" t="s">
        <v>231</v>
      </c>
      <c r="D28" s="114" t="s">
        <v>232</v>
      </c>
      <c r="G28" s="141" t="s">
        <v>214</v>
      </c>
      <c r="H28" s="141" t="str">
        <f>B28</f>
        <v>N_CA</v>
      </c>
      <c r="I28" s="114" t="s">
        <v>231</v>
      </c>
      <c r="J28" s="114"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56">
        <f>SUM(B29:B33)</f>
        <v>24.208717505873171</v>
      </c>
      <c r="C34" s="313">
        <f t="shared" ref="C34:D34" si="5">SUM(C29:C33)</f>
        <v>23.102101534357349</v>
      </c>
      <c r="D34" s="313">
        <f t="shared" si="5"/>
        <v>24.198057981136074</v>
      </c>
      <c r="E34" s="156"/>
      <c r="G34" s="156"/>
      <c r="H34" s="156">
        <f>SUM(H29:H33)</f>
        <v>19.611362521049237</v>
      </c>
      <c r="I34" s="313">
        <f t="shared" ref="I34:J34" si="6">SUM(I29:I33)</f>
        <v>18.504746549533415</v>
      </c>
      <c r="J34" s="313">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2" priority="1" operator="lessThan">
      <formula>11</formula>
    </cfRule>
    <cfRule type="cellIs" dxfId="21" priority="2" operator="between">
      <formula>11</formula>
      <formula>15</formula>
    </cfRule>
    <cfRule type="cellIs" dxfId="20"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20" t="s">
        <v>231</v>
      </c>
      <c r="F1" s="121" t="s">
        <v>232</v>
      </c>
      <c r="G1" s="8"/>
      <c r="H1" s="8"/>
      <c r="I1" s="122" t="s">
        <v>231</v>
      </c>
      <c r="J1" s="123" t="s">
        <v>232</v>
      </c>
      <c r="K1" s="7"/>
      <c r="P1" s="120" t="s">
        <v>231</v>
      </c>
      <c r="Q1" s="121" t="s">
        <v>232</v>
      </c>
      <c r="R1" s="120"/>
      <c r="S1" s="121"/>
      <c r="W1" s="120" t="s">
        <v>231</v>
      </c>
      <c r="X1" s="121" t="s">
        <v>232</v>
      </c>
      <c r="Y1" s="120"/>
      <c r="Z1" s="121"/>
    </row>
    <row r="2" spans="1:26" x14ac:dyDescent="0.25">
      <c r="A2" s="119" t="s">
        <v>71</v>
      </c>
      <c r="B2" s="119" t="s">
        <v>233</v>
      </c>
      <c r="C2" s="119" t="s">
        <v>234</v>
      </c>
      <c r="D2" s="119" t="s">
        <v>79</v>
      </c>
      <c r="E2" s="120" t="s">
        <v>68</v>
      </c>
      <c r="F2" s="121" t="s">
        <v>68</v>
      </c>
      <c r="G2" s="8" t="s">
        <v>75</v>
      </c>
      <c r="H2" s="8" t="s">
        <v>75</v>
      </c>
      <c r="I2" s="122" t="s">
        <v>235</v>
      </c>
      <c r="J2" s="123" t="s">
        <v>235</v>
      </c>
      <c r="K2" s="7"/>
      <c r="P2" s="120" t="s">
        <v>68</v>
      </c>
      <c r="Q2" s="121" t="s">
        <v>68</v>
      </c>
      <c r="R2" s="120" t="s">
        <v>75</v>
      </c>
      <c r="S2" s="121" t="s">
        <v>75</v>
      </c>
      <c r="W2" s="120" t="s">
        <v>68</v>
      </c>
      <c r="X2" s="121" t="s">
        <v>68</v>
      </c>
      <c r="Y2" s="120" t="s">
        <v>75</v>
      </c>
      <c r="Z2" s="121" t="s">
        <v>75</v>
      </c>
    </row>
    <row r="3" spans="1:26" x14ac:dyDescent="0.25">
      <c r="A3" s="129" t="str">
        <f>Plantilla!D4</f>
        <v>D. Gehmacher</v>
      </c>
      <c r="B3" s="50">
        <f>Plantilla!E4</f>
        <v>35</v>
      </c>
      <c r="C3" s="50">
        <f>Plantilla!H4</f>
        <v>6</v>
      </c>
      <c r="D3" s="130">
        <f>Plantilla!I4</f>
        <v>23.7</v>
      </c>
      <c r="E3" s="124">
        <f>D3</f>
        <v>23.7</v>
      </c>
      <c r="F3" s="124">
        <f>E3+0.1</f>
        <v>23.8</v>
      </c>
      <c r="G3" s="124">
        <f>C3</f>
        <v>6</v>
      </c>
      <c r="H3" s="124">
        <f t="shared" ref="H3" si="0">G3+0.99</f>
        <v>6.99</v>
      </c>
      <c r="I3" s="128">
        <f t="shared" ref="I3:J3" si="1">G3*G3*E3</f>
        <v>853.19999999999993</v>
      </c>
      <c r="J3" s="128">
        <f t="shared" si="1"/>
        <v>1162.8703800000001</v>
      </c>
      <c r="K3" s="125"/>
      <c r="N3" s="2" t="s">
        <v>235</v>
      </c>
      <c r="O3" t="str">
        <f>A3</f>
        <v>D. Gehmacher</v>
      </c>
      <c r="P3" s="126">
        <f>E3</f>
        <v>23.7</v>
      </c>
      <c r="Q3" s="126">
        <f t="shared" ref="Q3:S3" si="2">F3</f>
        <v>23.8</v>
      </c>
      <c r="R3" s="126">
        <f t="shared" si="2"/>
        <v>6</v>
      </c>
      <c r="S3" s="126">
        <f t="shared" si="2"/>
        <v>6.99</v>
      </c>
      <c r="U3" s="2" t="s">
        <v>235</v>
      </c>
      <c r="V3" s="55" t="str">
        <f>O3</f>
        <v>D. Gehmacher</v>
      </c>
      <c r="W3" s="126">
        <f>P3</f>
        <v>23.7</v>
      </c>
      <c r="X3" s="126">
        <f t="shared" ref="X3:Z3" si="3">Q3</f>
        <v>23.8</v>
      </c>
      <c r="Y3" s="126">
        <f t="shared" si="3"/>
        <v>6</v>
      </c>
      <c r="Z3" s="126">
        <f t="shared" si="3"/>
        <v>6.99</v>
      </c>
    </row>
    <row r="4" spans="1:26" x14ac:dyDescent="0.25">
      <c r="A4" s="129" t="str">
        <f>Plantilla!D5</f>
        <v>T. Hammond</v>
      </c>
      <c r="B4" s="50">
        <f>Plantilla!E5</f>
        <v>39</v>
      </c>
      <c r="C4" s="50">
        <f>Plantilla!H5</f>
        <v>3</v>
      </c>
      <c r="D4" s="130">
        <f>Plantilla!I5</f>
        <v>8.4</v>
      </c>
      <c r="E4" s="124">
        <f t="shared" ref="E4:E26" si="4">D4</f>
        <v>8.4</v>
      </c>
      <c r="F4" s="124">
        <f t="shared" ref="F4:F26" si="5">E4+0.1</f>
        <v>8.5</v>
      </c>
      <c r="G4" s="124">
        <f t="shared" ref="G4:G26" si="6">C4</f>
        <v>3</v>
      </c>
      <c r="H4" s="124">
        <f t="shared" ref="H4:H26" si="7">G4+0.99</f>
        <v>3.99</v>
      </c>
      <c r="I4" s="128">
        <f t="shared" ref="I4:I26" si="8">G4*G4*E4</f>
        <v>75.600000000000009</v>
      </c>
      <c r="J4" s="128">
        <f t="shared" ref="J4:J26" si="9">H4*H4*F4</f>
        <v>135.32085000000001</v>
      </c>
      <c r="K4" s="125"/>
      <c r="O4" t="str">
        <f>A7</f>
        <v>F. Lasprilla</v>
      </c>
      <c r="P4" s="126">
        <f>E7</f>
        <v>6.3</v>
      </c>
      <c r="Q4" s="126">
        <f t="shared" ref="Q4:S4" si="10">F7</f>
        <v>6.3999999999999995</v>
      </c>
      <c r="R4" s="126">
        <f t="shared" si="10"/>
        <v>4</v>
      </c>
      <c r="S4" s="126">
        <f t="shared" si="10"/>
        <v>4.99</v>
      </c>
      <c r="V4" s="55" t="str">
        <f t="shared" ref="V4:V13" si="11">O4</f>
        <v>F. Lasprilla</v>
      </c>
      <c r="W4" s="126">
        <f t="shared" ref="W4:W13" si="12">P4</f>
        <v>6.3</v>
      </c>
      <c r="X4" s="126">
        <f t="shared" ref="X4:X13" si="13">Q4</f>
        <v>6.3999999999999995</v>
      </c>
      <c r="Y4" s="126">
        <f t="shared" ref="Y4:Y13" si="14">R4</f>
        <v>4</v>
      </c>
      <c r="Z4" s="126">
        <f t="shared" ref="Z4:Z13" si="15">S4</f>
        <v>4.99</v>
      </c>
    </row>
    <row r="5" spans="1:26" x14ac:dyDescent="0.25">
      <c r="A5" s="129" t="str">
        <f>Plantilla!D6</f>
        <v>E. Toney</v>
      </c>
      <c r="B5" s="50">
        <f>Plantilla!E6</f>
        <v>36</v>
      </c>
      <c r="C5" s="50">
        <f>Plantilla!H6</f>
        <v>4</v>
      </c>
      <c r="D5" s="130">
        <f>Plantilla!I6</f>
        <v>18</v>
      </c>
      <c r="E5" s="124">
        <f t="shared" si="4"/>
        <v>18</v>
      </c>
      <c r="F5" s="124">
        <f t="shared" si="5"/>
        <v>18.100000000000001</v>
      </c>
      <c r="G5" s="124">
        <f t="shared" si="6"/>
        <v>4</v>
      </c>
      <c r="H5" s="124">
        <f t="shared" si="7"/>
        <v>4.99</v>
      </c>
      <c r="I5" s="128">
        <f t="shared" si="8"/>
        <v>288</v>
      </c>
      <c r="J5" s="128">
        <f t="shared" si="9"/>
        <v>450.69181000000009</v>
      </c>
      <c r="K5" s="125"/>
      <c r="L5" s="54"/>
      <c r="O5" t="str">
        <f>A14</f>
        <v>G. Piscaer</v>
      </c>
      <c r="P5" s="126">
        <f>E14</f>
        <v>1.8</v>
      </c>
      <c r="Q5" s="126">
        <f t="shared" ref="Q5:S5" si="16">F14</f>
        <v>1.9000000000000001</v>
      </c>
      <c r="R5" s="126">
        <f t="shared" si="16"/>
        <v>1</v>
      </c>
      <c r="S5" s="126">
        <f t="shared" si="16"/>
        <v>1.99</v>
      </c>
      <c r="V5" s="55" t="str">
        <f t="shared" si="11"/>
        <v>G. Piscaer</v>
      </c>
      <c r="W5" s="126">
        <f t="shared" si="12"/>
        <v>1.8</v>
      </c>
      <c r="X5" s="126">
        <f t="shared" si="13"/>
        <v>1.9000000000000001</v>
      </c>
      <c r="Y5" s="126">
        <f t="shared" si="14"/>
        <v>1</v>
      </c>
      <c r="Z5" s="126">
        <f t="shared" si="15"/>
        <v>1.99</v>
      </c>
    </row>
    <row r="6" spans="1:26" x14ac:dyDescent="0.25">
      <c r="A6" s="129" t="str">
        <f>Plantilla!D7</f>
        <v>B. Bartolache</v>
      </c>
      <c r="B6" s="50">
        <f>Plantilla!E7</f>
        <v>36</v>
      </c>
      <c r="C6" s="50">
        <f>Plantilla!H7</f>
        <v>3</v>
      </c>
      <c r="D6" s="130">
        <f>Plantilla!I7</f>
        <v>11.8</v>
      </c>
      <c r="E6" s="124">
        <f t="shared" si="4"/>
        <v>11.8</v>
      </c>
      <c r="F6" s="124">
        <f t="shared" si="5"/>
        <v>11.9</v>
      </c>
      <c r="G6" s="124">
        <f t="shared" si="6"/>
        <v>3</v>
      </c>
      <c r="H6" s="124">
        <f t="shared" si="7"/>
        <v>3.99</v>
      </c>
      <c r="I6" s="128">
        <f t="shared" si="8"/>
        <v>106.2</v>
      </c>
      <c r="J6" s="128">
        <f t="shared" si="9"/>
        <v>189.44919000000002</v>
      </c>
      <c r="K6" s="125"/>
      <c r="O6" t="str">
        <f>A5</f>
        <v>E. Toney</v>
      </c>
      <c r="P6" s="126">
        <f>E5</f>
        <v>18</v>
      </c>
      <c r="Q6" s="126">
        <f t="shared" ref="Q6:S6" si="17">F5</f>
        <v>18.100000000000001</v>
      </c>
      <c r="R6" s="126">
        <f t="shared" si="17"/>
        <v>4</v>
      </c>
      <c r="S6" s="126">
        <f t="shared" si="17"/>
        <v>4.99</v>
      </c>
      <c r="V6" s="55" t="str">
        <f t="shared" si="11"/>
        <v>E. Toney</v>
      </c>
      <c r="W6" s="126">
        <f t="shared" si="12"/>
        <v>18</v>
      </c>
      <c r="X6" s="126">
        <f t="shared" si="13"/>
        <v>18.100000000000001</v>
      </c>
      <c r="Y6" s="126">
        <f t="shared" si="14"/>
        <v>4</v>
      </c>
      <c r="Z6" s="126">
        <f t="shared" si="15"/>
        <v>4.99</v>
      </c>
    </row>
    <row r="7" spans="1:26" x14ac:dyDescent="0.25">
      <c r="A7" s="129" t="str">
        <f>Plantilla!D8</f>
        <v>F. Lasprilla</v>
      </c>
      <c r="B7" s="50">
        <f>Plantilla!E8</f>
        <v>32</v>
      </c>
      <c r="C7" s="50">
        <f>Plantilla!H8</f>
        <v>4</v>
      </c>
      <c r="D7" s="130">
        <f>Plantilla!I8</f>
        <v>6.3</v>
      </c>
      <c r="E7" s="124">
        <f t="shared" si="4"/>
        <v>6.3</v>
      </c>
      <c r="F7" s="124">
        <f t="shared" si="5"/>
        <v>6.3999999999999995</v>
      </c>
      <c r="G7" s="124">
        <f t="shared" si="6"/>
        <v>4</v>
      </c>
      <c r="H7" s="124">
        <f t="shared" si="7"/>
        <v>4.99</v>
      </c>
      <c r="I7" s="128">
        <f t="shared" si="8"/>
        <v>100.8</v>
      </c>
      <c r="J7" s="128">
        <f t="shared" si="9"/>
        <v>159.36063999999999</v>
      </c>
      <c r="K7" s="125"/>
      <c r="O7" t="str">
        <f>A6</f>
        <v>B. Bartolache</v>
      </c>
      <c r="P7" s="126">
        <f>E6</f>
        <v>11.8</v>
      </c>
      <c r="Q7" s="126">
        <f t="shared" ref="Q7" si="18">F6</f>
        <v>11.9</v>
      </c>
      <c r="R7" s="126">
        <f t="shared" ref="R7" si="19">G6</f>
        <v>3</v>
      </c>
      <c r="S7" s="126">
        <f t="shared" ref="S7" si="20">H6</f>
        <v>3.99</v>
      </c>
      <c r="V7" s="55" t="str">
        <f t="shared" si="11"/>
        <v>B. Bartolache</v>
      </c>
      <c r="W7" s="126">
        <f t="shared" si="12"/>
        <v>11.8</v>
      </c>
      <c r="X7" s="126">
        <f t="shared" si="13"/>
        <v>11.9</v>
      </c>
      <c r="Y7" s="126">
        <f t="shared" si="14"/>
        <v>3</v>
      </c>
      <c r="Z7" s="126">
        <f t="shared" si="15"/>
        <v>3.99</v>
      </c>
    </row>
    <row r="8" spans="1:26" x14ac:dyDescent="0.25">
      <c r="A8" s="129" t="str">
        <f>Plantilla!D9</f>
        <v>E. Romweber</v>
      </c>
      <c r="B8" s="50">
        <f>Plantilla!E9</f>
        <v>35</v>
      </c>
      <c r="C8" s="50">
        <f>Plantilla!H9</f>
        <v>0</v>
      </c>
      <c r="D8" s="130">
        <f>Plantilla!I9</f>
        <v>17.100000000000001</v>
      </c>
      <c r="E8" s="124">
        <f t="shared" si="4"/>
        <v>17.100000000000001</v>
      </c>
      <c r="F8" s="124">
        <f t="shared" si="5"/>
        <v>17.200000000000003</v>
      </c>
      <c r="G8" s="124">
        <f t="shared" si="6"/>
        <v>0</v>
      </c>
      <c r="H8" s="124">
        <f t="shared" si="7"/>
        <v>0.99</v>
      </c>
      <c r="I8" s="128">
        <f t="shared" si="8"/>
        <v>0</v>
      </c>
      <c r="J8" s="128">
        <f t="shared" si="9"/>
        <v>16.857720000000004</v>
      </c>
      <c r="K8" s="125"/>
      <c r="O8" t="str">
        <f>A12</f>
        <v>I. Vanags</v>
      </c>
      <c r="P8" s="126">
        <f>E12</f>
        <v>0.4</v>
      </c>
      <c r="Q8" s="126">
        <f t="shared" ref="Q8:S8" si="21">F12</f>
        <v>0.5</v>
      </c>
      <c r="R8" s="126">
        <f t="shared" si="21"/>
        <v>4</v>
      </c>
      <c r="S8" s="126">
        <f t="shared" si="21"/>
        <v>4.99</v>
      </c>
      <c r="V8" s="55" t="str">
        <f t="shared" si="11"/>
        <v>I. Vanags</v>
      </c>
      <c r="W8" s="126">
        <f t="shared" si="12"/>
        <v>0.4</v>
      </c>
      <c r="X8" s="126">
        <f t="shared" si="13"/>
        <v>0.5</v>
      </c>
      <c r="Y8" s="126">
        <f t="shared" si="14"/>
        <v>4</v>
      </c>
      <c r="Z8" s="126">
        <f t="shared" si="15"/>
        <v>4.99</v>
      </c>
    </row>
    <row r="9" spans="1:26" x14ac:dyDescent="0.25">
      <c r="A9" s="129" t="str">
        <f>Plantilla!D10</f>
        <v>S. Buschelman</v>
      </c>
      <c r="B9" s="50">
        <f>Plantilla!E10</f>
        <v>34</v>
      </c>
      <c r="C9" s="50">
        <f>Plantilla!H10</f>
        <v>3</v>
      </c>
      <c r="D9" s="130">
        <f>Plantilla!I10</f>
        <v>14.8</v>
      </c>
      <c r="E9" s="124">
        <f t="shared" si="4"/>
        <v>14.8</v>
      </c>
      <c r="F9" s="124">
        <f t="shared" si="5"/>
        <v>14.9</v>
      </c>
      <c r="G9" s="124">
        <f t="shared" si="6"/>
        <v>3</v>
      </c>
      <c r="H9" s="124">
        <f t="shared" si="7"/>
        <v>3.99</v>
      </c>
      <c r="I9" s="128">
        <f t="shared" si="8"/>
        <v>133.20000000000002</v>
      </c>
      <c r="J9" s="128">
        <f t="shared" si="9"/>
        <v>237.20949000000002</v>
      </c>
      <c r="K9" s="125"/>
      <c r="O9" t="str">
        <f>A15</f>
        <v>M. Bondarewski</v>
      </c>
      <c r="P9" s="126">
        <f>E15</f>
        <v>1.6</v>
      </c>
      <c r="Q9" s="126">
        <f t="shared" ref="Q9:S9" si="22">F15</f>
        <v>1.7000000000000002</v>
      </c>
      <c r="R9" s="126">
        <f t="shared" si="22"/>
        <v>1</v>
      </c>
      <c r="S9" s="126">
        <f t="shared" si="22"/>
        <v>1.99</v>
      </c>
      <c r="V9" s="55" t="str">
        <f t="shared" si="11"/>
        <v>M. Bondarewski</v>
      </c>
      <c r="W9" s="126">
        <f t="shared" si="12"/>
        <v>1.6</v>
      </c>
      <c r="X9" s="126">
        <f t="shared" si="13"/>
        <v>1.7000000000000002</v>
      </c>
      <c r="Y9" s="126">
        <f t="shared" si="14"/>
        <v>1</v>
      </c>
      <c r="Z9" s="126">
        <f t="shared" si="15"/>
        <v>1.99</v>
      </c>
    </row>
    <row r="10" spans="1:26" x14ac:dyDescent="0.25">
      <c r="A10" s="129" t="str">
        <f>Plantilla!D11</f>
        <v>E. Gross</v>
      </c>
      <c r="B10" s="50">
        <f>Plantilla!E11</f>
        <v>35</v>
      </c>
      <c r="C10" s="50">
        <f>Plantilla!H11</f>
        <v>3</v>
      </c>
      <c r="D10" s="130">
        <f>Plantilla!I11</f>
        <v>13.1</v>
      </c>
      <c r="E10" s="124">
        <f t="shared" si="4"/>
        <v>13.1</v>
      </c>
      <c r="F10" s="124">
        <f t="shared" si="5"/>
        <v>13.2</v>
      </c>
      <c r="G10" s="124">
        <f t="shared" si="6"/>
        <v>3</v>
      </c>
      <c r="H10" s="124">
        <f t="shared" si="7"/>
        <v>3.99</v>
      </c>
      <c r="I10" s="128">
        <f t="shared" si="8"/>
        <v>117.89999999999999</v>
      </c>
      <c r="J10" s="128">
        <f t="shared" si="9"/>
        <v>210.14532</v>
      </c>
      <c r="K10" s="125"/>
      <c r="O10" t="str">
        <f>A13</f>
        <v>I. Stone</v>
      </c>
      <c r="P10" s="126">
        <f>E13</f>
        <v>1.2</v>
      </c>
      <c r="Q10" s="126">
        <f t="shared" ref="Q10:S10" si="23">F13</f>
        <v>1.3</v>
      </c>
      <c r="R10" s="126">
        <f t="shared" si="23"/>
        <v>6</v>
      </c>
      <c r="S10" s="126">
        <f t="shared" si="23"/>
        <v>6.99</v>
      </c>
      <c r="V10" s="55" t="str">
        <f t="shared" si="11"/>
        <v>I. Stone</v>
      </c>
      <c r="W10" s="126">
        <f t="shared" si="12"/>
        <v>1.2</v>
      </c>
      <c r="X10" s="126">
        <f t="shared" si="13"/>
        <v>1.3</v>
      </c>
      <c r="Y10" s="126">
        <f t="shared" si="14"/>
        <v>6</v>
      </c>
      <c r="Z10" s="126">
        <f t="shared" si="15"/>
        <v>6.99</v>
      </c>
    </row>
    <row r="11" spans="1:26" x14ac:dyDescent="0.25">
      <c r="A11" s="129" t="str">
        <f>Plantilla!D12</f>
        <v>W. Gelifini</v>
      </c>
      <c r="B11" s="50">
        <f>Plantilla!E12</f>
        <v>34</v>
      </c>
      <c r="C11" s="50">
        <f>Plantilla!H12</f>
        <v>2</v>
      </c>
      <c r="D11" s="130">
        <f>Plantilla!I12</f>
        <v>4.5</v>
      </c>
      <c r="E11" s="124">
        <f t="shared" si="4"/>
        <v>4.5</v>
      </c>
      <c r="F11" s="124">
        <f t="shared" si="5"/>
        <v>4.5999999999999996</v>
      </c>
      <c r="G11" s="124">
        <f t="shared" si="6"/>
        <v>2</v>
      </c>
      <c r="H11" s="124">
        <f t="shared" si="7"/>
        <v>2.99</v>
      </c>
      <c r="I11" s="128">
        <f t="shared" si="8"/>
        <v>18</v>
      </c>
      <c r="J11" s="128">
        <f t="shared" si="9"/>
        <v>41.124459999999999</v>
      </c>
      <c r="K11" s="125"/>
      <c r="O11" t="str">
        <f>A10</f>
        <v>E. Gross</v>
      </c>
      <c r="P11" s="126">
        <f>E10</f>
        <v>13.1</v>
      </c>
      <c r="Q11" s="126">
        <f t="shared" ref="Q11:S11" si="24">F10</f>
        <v>13.2</v>
      </c>
      <c r="R11" s="126">
        <f t="shared" si="24"/>
        <v>3</v>
      </c>
      <c r="S11" s="126">
        <f t="shared" si="24"/>
        <v>3.99</v>
      </c>
      <c r="V11" s="55" t="str">
        <f t="shared" si="11"/>
        <v>E. Gross</v>
      </c>
      <c r="W11" s="126">
        <f t="shared" si="12"/>
        <v>13.1</v>
      </c>
      <c r="X11" s="126">
        <f t="shared" si="13"/>
        <v>13.2</v>
      </c>
      <c r="Y11" s="126">
        <f t="shared" si="14"/>
        <v>3</v>
      </c>
      <c r="Z11" s="126">
        <f t="shared" si="15"/>
        <v>3.99</v>
      </c>
    </row>
    <row r="12" spans="1:26" x14ac:dyDescent="0.25">
      <c r="A12" s="129" t="str">
        <f>Plantilla!D13</f>
        <v>I. Vanags</v>
      </c>
      <c r="B12" s="50">
        <f>Plantilla!E13</f>
        <v>18</v>
      </c>
      <c r="C12" s="50">
        <f>Plantilla!H13</f>
        <v>4</v>
      </c>
      <c r="D12" s="130">
        <f>Plantilla!I13</f>
        <v>0.4</v>
      </c>
      <c r="E12" s="124">
        <f t="shared" si="4"/>
        <v>0.4</v>
      </c>
      <c r="F12" s="124">
        <f t="shared" si="5"/>
        <v>0.5</v>
      </c>
      <c r="G12" s="124">
        <f t="shared" si="6"/>
        <v>4</v>
      </c>
      <c r="H12" s="124">
        <f t="shared" si="7"/>
        <v>4.99</v>
      </c>
      <c r="I12" s="128">
        <f t="shared" si="8"/>
        <v>6.4</v>
      </c>
      <c r="J12" s="128">
        <f t="shared" si="9"/>
        <v>12.450050000000001</v>
      </c>
      <c r="K12" s="125"/>
      <c r="O12" t="str">
        <f>A20</f>
        <v>P. Tuderek</v>
      </c>
      <c r="P12" s="126">
        <f>E20</f>
        <v>0.6</v>
      </c>
      <c r="Q12" s="126">
        <f t="shared" ref="Q12:S12" si="25">F20</f>
        <v>0.7</v>
      </c>
      <c r="R12" s="126">
        <f t="shared" si="25"/>
        <v>4</v>
      </c>
      <c r="S12" s="126">
        <f t="shared" si="25"/>
        <v>4.99</v>
      </c>
      <c r="V12" s="55" t="str">
        <f t="shared" si="11"/>
        <v>P. Tuderek</v>
      </c>
      <c r="W12" s="126">
        <f t="shared" si="12"/>
        <v>0.6</v>
      </c>
      <c r="X12" s="126">
        <f t="shared" si="13"/>
        <v>0.7</v>
      </c>
      <c r="Y12" s="126">
        <f t="shared" si="14"/>
        <v>4</v>
      </c>
      <c r="Z12" s="126">
        <f t="shared" si="15"/>
        <v>4.99</v>
      </c>
    </row>
    <row r="13" spans="1:26" x14ac:dyDescent="0.25">
      <c r="A13" s="324" t="str">
        <f>Plantilla!D14</f>
        <v>I. Stone</v>
      </c>
      <c r="B13" s="325">
        <f>Plantilla!E14</f>
        <v>18</v>
      </c>
      <c r="C13" s="325">
        <f>Plantilla!H14</f>
        <v>6</v>
      </c>
      <c r="D13" s="326">
        <f>Plantilla!I14</f>
        <v>1.2</v>
      </c>
      <c r="E13" s="327">
        <f t="shared" si="4"/>
        <v>1.2</v>
      </c>
      <c r="F13" s="327">
        <f t="shared" si="5"/>
        <v>1.3</v>
      </c>
      <c r="G13" s="327">
        <f t="shared" si="6"/>
        <v>6</v>
      </c>
      <c r="H13" s="327">
        <f t="shared" si="7"/>
        <v>6.99</v>
      </c>
      <c r="I13" s="328">
        <f t="shared" si="8"/>
        <v>43.199999999999996</v>
      </c>
      <c r="J13" s="328">
        <f t="shared" si="9"/>
        <v>63.518130000000006</v>
      </c>
      <c r="K13" s="125"/>
      <c r="O13" t="str">
        <f>A19</f>
        <v>V. Godoi</v>
      </c>
      <c r="P13" s="126">
        <f>E19</f>
        <v>4.5</v>
      </c>
      <c r="Q13" s="126">
        <f t="shared" ref="Q13:S13" si="26">F19</f>
        <v>4.5999999999999996</v>
      </c>
      <c r="R13" s="126">
        <f t="shared" si="26"/>
        <v>5</v>
      </c>
      <c r="S13" s="126">
        <f t="shared" si="26"/>
        <v>5.99</v>
      </c>
      <c r="V13" s="55" t="str">
        <f t="shared" si="11"/>
        <v>V. Godoi</v>
      </c>
      <c r="W13" s="126">
        <f t="shared" si="12"/>
        <v>4.5</v>
      </c>
      <c r="X13" s="126">
        <f t="shared" si="13"/>
        <v>4.5999999999999996</v>
      </c>
      <c r="Y13" s="126">
        <f t="shared" si="14"/>
        <v>5</v>
      </c>
      <c r="Z13" s="126">
        <f t="shared" si="15"/>
        <v>5.99</v>
      </c>
    </row>
    <row r="14" spans="1:26" x14ac:dyDescent="0.25">
      <c r="A14" s="129" t="str">
        <f>Plantilla!D15</f>
        <v>G. Piscaer</v>
      </c>
      <c r="B14" s="50">
        <f>Plantilla!E15</f>
        <v>18</v>
      </c>
      <c r="C14" s="50">
        <f>Plantilla!H15</f>
        <v>1</v>
      </c>
      <c r="D14" s="130">
        <f>Plantilla!I15</f>
        <v>1.8</v>
      </c>
      <c r="E14" s="124">
        <f t="shared" si="4"/>
        <v>1.8</v>
      </c>
      <c r="F14" s="124">
        <f t="shared" si="5"/>
        <v>1.9000000000000001</v>
      </c>
      <c r="G14" s="124">
        <f t="shared" si="6"/>
        <v>1</v>
      </c>
      <c r="H14" s="124">
        <f t="shared" si="7"/>
        <v>1.99</v>
      </c>
      <c r="I14" s="128">
        <f t="shared" si="8"/>
        <v>1.8</v>
      </c>
      <c r="J14" s="128">
        <f t="shared" si="9"/>
        <v>7.5241900000000008</v>
      </c>
      <c r="K14" s="125"/>
      <c r="P14" s="48">
        <f>SUM(P4:P13)/10</f>
        <v>5.9300000000000015</v>
      </c>
      <c r="Q14" s="48">
        <f>SUM(Q4:Q13)/10</f>
        <v>6.03</v>
      </c>
      <c r="R14" s="48"/>
      <c r="S14" s="48"/>
      <c r="W14" s="48">
        <f>SUM(W4:W13)/10</f>
        <v>5.9300000000000015</v>
      </c>
      <c r="X14" s="48">
        <f>SUM(X4:X13)/10</f>
        <v>6.03</v>
      </c>
      <c r="Y14" s="48"/>
      <c r="Z14" s="48"/>
    </row>
    <row r="15" spans="1:26" x14ac:dyDescent="0.25">
      <c r="A15" s="129" t="str">
        <f>Plantilla!D16</f>
        <v>M. Bondarewski</v>
      </c>
      <c r="B15" s="50">
        <f>Plantilla!E16</f>
        <v>18</v>
      </c>
      <c r="C15" s="50">
        <f>Plantilla!H16</f>
        <v>1</v>
      </c>
      <c r="D15" s="130">
        <f>Plantilla!I16</f>
        <v>1.6</v>
      </c>
      <c r="E15" s="124">
        <f t="shared" si="4"/>
        <v>1.6</v>
      </c>
      <c r="F15" s="124">
        <f t="shared" si="5"/>
        <v>1.7000000000000002</v>
      </c>
      <c r="G15" s="124">
        <f t="shared" si="6"/>
        <v>1</v>
      </c>
      <c r="H15" s="124">
        <f t="shared" si="7"/>
        <v>1.99</v>
      </c>
      <c r="I15" s="128">
        <f t="shared" si="8"/>
        <v>1.6</v>
      </c>
      <c r="J15" s="128">
        <f t="shared" si="9"/>
        <v>6.7321700000000009</v>
      </c>
      <c r="K15" s="125"/>
    </row>
    <row r="16" spans="1:26" x14ac:dyDescent="0.25">
      <c r="A16" s="129" t="str">
        <f>Plantilla!D17</f>
        <v>J. Vartiainen</v>
      </c>
      <c r="B16" s="50">
        <f>Plantilla!E17</f>
        <v>19</v>
      </c>
      <c r="C16" s="50">
        <f>Plantilla!H17</f>
        <v>4</v>
      </c>
      <c r="D16" s="130">
        <f>Plantilla!I17</f>
        <v>0.3</v>
      </c>
      <c r="E16" s="124">
        <f t="shared" si="4"/>
        <v>0.3</v>
      </c>
      <c r="F16" s="124">
        <f t="shared" si="5"/>
        <v>0.4</v>
      </c>
      <c r="G16" s="124">
        <f t="shared" si="6"/>
        <v>4</v>
      </c>
      <c r="H16" s="124">
        <f t="shared" si="7"/>
        <v>4.99</v>
      </c>
      <c r="I16" s="128">
        <f t="shared" si="8"/>
        <v>4.8</v>
      </c>
      <c r="J16" s="128">
        <f t="shared" si="9"/>
        <v>9.9600400000000011</v>
      </c>
      <c r="K16" s="125"/>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29" t="str">
        <f>Plantilla!D18</f>
        <v>R. Forsyth</v>
      </c>
      <c r="B17" s="50">
        <f>Plantilla!E18</f>
        <v>19</v>
      </c>
      <c r="C17" s="50">
        <f>Plantilla!H18</f>
        <v>4</v>
      </c>
      <c r="D17" s="130">
        <f>Plantilla!I18</f>
        <v>1.8</v>
      </c>
      <c r="E17" s="124">
        <f t="shared" si="4"/>
        <v>1.8</v>
      </c>
      <c r="F17" s="124">
        <f t="shared" si="5"/>
        <v>1.9000000000000001</v>
      </c>
      <c r="G17" s="124">
        <f t="shared" si="6"/>
        <v>4</v>
      </c>
      <c r="H17" s="124">
        <f t="shared" si="7"/>
        <v>4.99</v>
      </c>
      <c r="I17" s="128">
        <f t="shared" si="8"/>
        <v>28.8</v>
      </c>
      <c r="J17" s="128">
        <f t="shared" si="9"/>
        <v>47.310190000000006</v>
      </c>
      <c r="K17" s="125"/>
      <c r="O17" s="111" t="s">
        <v>393</v>
      </c>
      <c r="P17" s="48">
        <f>P16/16.5</f>
        <v>5.0303030303030294</v>
      </c>
      <c r="Q17" s="48">
        <f>Q16/16.5</f>
        <v>5.0969696969696967</v>
      </c>
      <c r="R17" s="48"/>
      <c r="V17" s="55" t="s">
        <v>238</v>
      </c>
      <c r="W17" s="48">
        <f>W16/17</f>
        <v>4.8823529411764701</v>
      </c>
      <c r="X17" s="48">
        <f>X16/17</f>
        <v>4.9470588235294111</v>
      </c>
      <c r="Y17" s="48"/>
    </row>
    <row r="18" spans="1:25" x14ac:dyDescent="0.25">
      <c r="A18" s="129" t="str">
        <f>Plantilla!D19</f>
        <v>M. Grupinski</v>
      </c>
      <c r="B18" s="50">
        <f>Plantilla!E19</f>
        <v>22</v>
      </c>
      <c r="C18" s="50">
        <f>Plantilla!H19</f>
        <v>5</v>
      </c>
      <c r="D18" s="130">
        <f>Plantilla!I19</f>
        <v>1.6</v>
      </c>
      <c r="E18" s="124">
        <f t="shared" si="4"/>
        <v>1.6</v>
      </c>
      <c r="F18" s="124">
        <f t="shared" si="5"/>
        <v>1.7000000000000002</v>
      </c>
      <c r="G18" s="124">
        <f t="shared" si="6"/>
        <v>5</v>
      </c>
      <c r="H18" s="124">
        <f t="shared" si="7"/>
        <v>5.99</v>
      </c>
      <c r="I18" s="128">
        <f t="shared" si="8"/>
        <v>40</v>
      </c>
      <c r="J18" s="128">
        <f t="shared" si="9"/>
        <v>60.996170000000014</v>
      </c>
      <c r="K18" s="125"/>
      <c r="L18" s="56" t="s">
        <v>239</v>
      </c>
      <c r="O18" s="69" t="s">
        <v>240</v>
      </c>
      <c r="P18" s="83">
        <f>R3^2</f>
        <v>36</v>
      </c>
      <c r="Q18" s="83">
        <f>S3^2</f>
        <v>48.860100000000003</v>
      </c>
      <c r="R18" s="83"/>
      <c r="V18" s="55" t="s">
        <v>240</v>
      </c>
      <c r="W18" s="83">
        <f>Y3^2</f>
        <v>36</v>
      </c>
      <c r="X18" s="83">
        <f>Z3^2</f>
        <v>48.860100000000003</v>
      </c>
      <c r="Y18" s="83"/>
    </row>
    <row r="19" spans="1:25" x14ac:dyDescent="0.25">
      <c r="A19" s="129" t="str">
        <f>Plantilla!D20</f>
        <v>V. Godoi</v>
      </c>
      <c r="B19" s="50">
        <f>Plantilla!E20</f>
        <v>25</v>
      </c>
      <c r="C19" s="50">
        <f>Plantilla!H20</f>
        <v>5</v>
      </c>
      <c r="D19" s="130">
        <f>Plantilla!I20</f>
        <v>4.5</v>
      </c>
      <c r="E19" s="124">
        <f t="shared" si="4"/>
        <v>4.5</v>
      </c>
      <c r="F19" s="124">
        <f t="shared" si="5"/>
        <v>4.5999999999999996</v>
      </c>
      <c r="G19" s="124">
        <f t="shared" si="6"/>
        <v>5</v>
      </c>
      <c r="H19" s="124">
        <f t="shared" si="7"/>
        <v>5.99</v>
      </c>
      <c r="I19" s="128">
        <f t="shared" si="8"/>
        <v>112.5</v>
      </c>
      <c r="J19" s="128">
        <f t="shared" si="9"/>
        <v>165.04846000000001</v>
      </c>
      <c r="K19" s="125"/>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29" t="str">
        <f>Plantilla!D21</f>
        <v>P. Tuderek</v>
      </c>
      <c r="B20" s="50">
        <f>Plantilla!E21</f>
        <v>18</v>
      </c>
      <c r="C20" s="50">
        <f>Plantilla!H21</f>
        <v>4</v>
      </c>
      <c r="D20" s="130">
        <f>Plantilla!I21</f>
        <v>0.6</v>
      </c>
      <c r="E20" s="124">
        <f t="shared" si="4"/>
        <v>0.6</v>
      </c>
      <c r="F20" s="124">
        <f t="shared" si="5"/>
        <v>0.7</v>
      </c>
      <c r="G20" s="124">
        <f t="shared" si="6"/>
        <v>4</v>
      </c>
      <c r="H20" s="124">
        <f t="shared" si="7"/>
        <v>4.99</v>
      </c>
      <c r="I20" s="128">
        <f t="shared" si="8"/>
        <v>9.6</v>
      </c>
      <c r="J20" s="128">
        <f t="shared" si="9"/>
        <v>17.430070000000001</v>
      </c>
      <c r="K20" s="125"/>
      <c r="L20" s="56" t="s">
        <v>243</v>
      </c>
      <c r="O20" s="111" t="s">
        <v>394</v>
      </c>
      <c r="P20" s="48">
        <f>(P19^(2/3))/27</f>
        <v>3.331732564718342</v>
      </c>
      <c r="Q20" s="48">
        <f>(Q19^(2/3))/27</f>
        <v>4.0956588516953847</v>
      </c>
      <c r="R20" s="48"/>
      <c r="V20" s="55" t="s">
        <v>244</v>
      </c>
      <c r="W20" s="48">
        <f>(W19^(2/3))/30</f>
        <v>2.9985593082465076</v>
      </c>
      <c r="X20" s="48">
        <f>(X19^(2/3))/30</f>
        <v>3.6860929665258464</v>
      </c>
      <c r="Y20" s="48"/>
    </row>
    <row r="21" spans="1:25" x14ac:dyDescent="0.25">
      <c r="A21" s="129" t="str">
        <f>Plantilla!D22</f>
        <v>G. Stoychev</v>
      </c>
      <c r="B21" s="50">
        <f>Plantilla!E22</f>
        <v>23</v>
      </c>
      <c r="C21" s="50">
        <f>Plantilla!H22</f>
        <v>3</v>
      </c>
      <c r="D21" s="130">
        <f>Plantilla!I22</f>
        <v>3.7</v>
      </c>
      <c r="E21" s="124">
        <f t="shared" si="4"/>
        <v>3.7</v>
      </c>
      <c r="F21" s="124">
        <f t="shared" si="5"/>
        <v>3.8000000000000003</v>
      </c>
      <c r="G21" s="124">
        <f t="shared" si="6"/>
        <v>3</v>
      </c>
      <c r="H21" s="124">
        <f t="shared" si="7"/>
        <v>3.99</v>
      </c>
      <c r="I21" s="128">
        <f t="shared" si="8"/>
        <v>33.300000000000004</v>
      </c>
      <c r="J21" s="128">
        <f t="shared" si="9"/>
        <v>60.496380000000009</v>
      </c>
      <c r="K21" s="125"/>
      <c r="L21" s="56" t="s">
        <v>245</v>
      </c>
      <c r="O21" s="55" t="s">
        <v>246</v>
      </c>
      <c r="P21" s="302">
        <f>P17+P20</f>
        <v>8.3620355950213714</v>
      </c>
      <c r="Q21" s="302">
        <f>Q17+Q20</f>
        <v>9.1926285486650805</v>
      </c>
      <c r="V21" s="55" t="s">
        <v>246</v>
      </c>
      <c r="W21" s="302">
        <f>W17+W20</f>
        <v>7.8809122494229777</v>
      </c>
      <c r="X21" s="302">
        <f>X17+X20</f>
        <v>8.6331517900552583</v>
      </c>
    </row>
    <row r="22" spans="1:25" x14ac:dyDescent="0.25">
      <c r="A22" s="129" t="str">
        <f>Plantilla!D23</f>
        <v>K. Helms</v>
      </c>
      <c r="B22" s="50">
        <f>Plantilla!E23</f>
        <v>35</v>
      </c>
      <c r="C22" s="50">
        <f>Plantilla!H23</f>
        <v>2</v>
      </c>
      <c r="D22" s="130">
        <f>Plantilla!I23</f>
        <v>13.5</v>
      </c>
      <c r="E22" s="124">
        <f t="shared" si="4"/>
        <v>13.5</v>
      </c>
      <c r="F22" s="124">
        <f t="shared" si="5"/>
        <v>13.6</v>
      </c>
      <c r="G22" s="124">
        <f t="shared" si="6"/>
        <v>2</v>
      </c>
      <c r="H22" s="124">
        <f t="shared" si="7"/>
        <v>2.99</v>
      </c>
      <c r="I22" s="128">
        <f t="shared" si="8"/>
        <v>54</v>
      </c>
      <c r="J22" s="128">
        <f t="shared" si="9"/>
        <v>121.58536000000001</v>
      </c>
      <c r="K22" s="125"/>
      <c r="L22" t="s">
        <v>247</v>
      </c>
    </row>
    <row r="23" spans="1:25" x14ac:dyDescent="0.25">
      <c r="A23" s="129" t="str">
        <f>Plantilla!D24</f>
        <v>S. Zobbe</v>
      </c>
      <c r="B23" s="50">
        <f>Plantilla!E24</f>
        <v>32</v>
      </c>
      <c r="C23" s="50">
        <f>Plantilla!H24</f>
        <v>2</v>
      </c>
      <c r="D23" s="130">
        <f>Plantilla!I24</f>
        <v>13</v>
      </c>
      <c r="E23" s="124">
        <f t="shared" si="4"/>
        <v>13</v>
      </c>
      <c r="F23" s="124">
        <f t="shared" si="5"/>
        <v>13.1</v>
      </c>
      <c r="G23" s="124">
        <f t="shared" si="6"/>
        <v>2</v>
      </c>
      <c r="H23" s="124">
        <f t="shared" si="7"/>
        <v>2.99</v>
      </c>
      <c r="I23" s="128">
        <f t="shared" si="8"/>
        <v>52</v>
      </c>
      <c r="J23" s="128">
        <f t="shared" si="9"/>
        <v>117.11531000000001</v>
      </c>
      <c r="K23" s="125"/>
      <c r="O23" s="87">
        <v>42576</v>
      </c>
      <c r="P23">
        <v>6.76</v>
      </c>
      <c r="Q23">
        <v>6.99</v>
      </c>
      <c r="R23" t="s">
        <v>368</v>
      </c>
      <c r="W23" s="48"/>
    </row>
    <row r="24" spans="1:25" x14ac:dyDescent="0.25">
      <c r="A24" s="129" t="str">
        <f>Plantilla!D25</f>
        <v>L. Bauman</v>
      </c>
      <c r="B24" s="50">
        <f>Plantilla!E25</f>
        <v>35</v>
      </c>
      <c r="C24" s="50">
        <f>Plantilla!H25</f>
        <v>0</v>
      </c>
      <c r="D24" s="130">
        <f>Plantilla!I25</f>
        <v>12</v>
      </c>
      <c r="E24" s="124">
        <f t="shared" si="4"/>
        <v>12</v>
      </c>
      <c r="F24" s="124">
        <f t="shared" si="5"/>
        <v>12.1</v>
      </c>
      <c r="G24" s="124">
        <f t="shared" si="6"/>
        <v>0</v>
      </c>
      <c r="H24" s="124">
        <f t="shared" si="7"/>
        <v>0.99</v>
      </c>
      <c r="I24" s="128">
        <f t="shared" si="8"/>
        <v>0</v>
      </c>
      <c r="J24" s="128">
        <f t="shared" si="9"/>
        <v>11.859209999999999</v>
      </c>
    </row>
    <row r="25" spans="1:25" x14ac:dyDescent="0.25">
      <c r="A25" s="129" t="str">
        <f>Plantilla!D26</f>
        <v>J. Limon</v>
      </c>
      <c r="B25" s="50">
        <f>Plantilla!E26</f>
        <v>34</v>
      </c>
      <c r="C25" s="50">
        <f>Plantilla!H26</f>
        <v>3</v>
      </c>
      <c r="D25" s="130">
        <f>Plantilla!I26</f>
        <v>14.3</v>
      </c>
      <c r="E25" s="124">
        <f t="shared" si="4"/>
        <v>14.3</v>
      </c>
      <c r="F25" s="124">
        <f t="shared" si="5"/>
        <v>14.4</v>
      </c>
      <c r="G25" s="124">
        <f t="shared" si="6"/>
        <v>3</v>
      </c>
      <c r="H25" s="124">
        <f t="shared" si="7"/>
        <v>3.99</v>
      </c>
      <c r="I25" s="128">
        <f t="shared" si="8"/>
        <v>128.70000000000002</v>
      </c>
      <c r="J25" s="128">
        <f t="shared" si="9"/>
        <v>229.24944000000002</v>
      </c>
      <c r="V25"/>
    </row>
    <row r="26" spans="1:25" x14ac:dyDescent="0.25">
      <c r="A26" s="129" t="str">
        <f>Plantilla!D27</f>
        <v>P .Trivadi</v>
      </c>
      <c r="B26" s="50">
        <f>Plantilla!E27</f>
        <v>32</v>
      </c>
      <c r="C26" s="50">
        <f>Plantilla!H27</f>
        <v>5</v>
      </c>
      <c r="D26" s="130">
        <f>Plantilla!I27</f>
        <v>6.2</v>
      </c>
      <c r="E26" s="124">
        <f t="shared" si="4"/>
        <v>6.2</v>
      </c>
      <c r="F26" s="124">
        <f t="shared" si="5"/>
        <v>6.3</v>
      </c>
      <c r="G26" s="124">
        <f t="shared" si="6"/>
        <v>5</v>
      </c>
      <c r="H26" s="124">
        <f t="shared" si="7"/>
        <v>5.99</v>
      </c>
      <c r="I26" s="128">
        <f t="shared" si="8"/>
        <v>155</v>
      </c>
      <c r="J26" s="128">
        <f t="shared" si="9"/>
        <v>226.04463000000004</v>
      </c>
      <c r="V26"/>
    </row>
    <row r="27" spans="1:25" x14ac:dyDescent="0.25">
      <c r="V27"/>
    </row>
  </sheetData>
  <conditionalFormatting sqref="I3:J26">
    <cfRule type="cellIs" dxfId="19" priority="1" operator="between">
      <formula>70</formula>
      <formula>100</formula>
    </cfRule>
    <cfRule type="cellIs" dxfId="18"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1" bestFit="1" customWidth="1"/>
    <col min="14" max="14" width="21.5703125" style="151" bestFit="1" customWidth="1"/>
    <col min="15" max="15" width="14" style="183" bestFit="1" customWidth="1"/>
    <col min="16" max="16" width="13" style="151" bestFit="1" customWidth="1"/>
    <col min="17" max="17" width="10.42578125" style="151" bestFit="1" customWidth="1"/>
    <col min="18" max="18" width="10.28515625" style="151" bestFit="1" customWidth="1"/>
    <col min="19" max="19" width="21" style="151" bestFit="1" customWidth="1"/>
    <col min="20" max="20" width="12" style="151" bestFit="1" customWidth="1"/>
    <col min="21" max="21" width="16.85546875" style="151"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2" t="s">
        <v>270</v>
      </c>
      <c r="N1" s="152" t="s">
        <v>271</v>
      </c>
      <c r="O1" s="152" t="s">
        <v>302</v>
      </c>
      <c r="P1" s="152" t="s">
        <v>268</v>
      </c>
      <c r="Q1" s="152" t="s">
        <v>274</v>
      </c>
      <c r="R1" s="152" t="s">
        <v>275</v>
      </c>
      <c r="S1" s="152" t="s">
        <v>269</v>
      </c>
      <c r="T1" s="152" t="s">
        <v>249</v>
      </c>
      <c r="U1" s="152" t="s">
        <v>272</v>
      </c>
      <c r="V1" s="152" t="s">
        <v>273</v>
      </c>
    </row>
    <row r="2" spans="1:22" x14ac:dyDescent="0.25">
      <c r="A2" s="93"/>
      <c r="B2" s="93" t="s">
        <v>182</v>
      </c>
      <c r="C2" s="93"/>
      <c r="D2" s="90" t="s">
        <v>168</v>
      </c>
      <c r="E2" s="57">
        <v>42</v>
      </c>
      <c r="F2" s="80" t="s">
        <v>220</v>
      </c>
      <c r="G2" s="131">
        <v>3</v>
      </c>
      <c r="H2" s="59">
        <v>16.004000000000001</v>
      </c>
      <c r="I2" s="98">
        <f>(G2)*(G2)*(H2)</f>
        <v>144.036</v>
      </c>
      <c r="J2" s="98">
        <f>(G2+1)*(G2+1)*H2</f>
        <v>256.06400000000002</v>
      </c>
      <c r="K2" s="91">
        <v>0</v>
      </c>
      <c r="L2" s="91">
        <v>300</v>
      </c>
      <c r="M2" s="153">
        <v>41576</v>
      </c>
      <c r="N2" s="153">
        <v>41731</v>
      </c>
      <c r="O2" s="153">
        <v>42305</v>
      </c>
      <c r="P2" s="63">
        <v>772000</v>
      </c>
      <c r="Q2" s="63">
        <f>((N2-M2)/7)*L2</f>
        <v>6642.8571428571431</v>
      </c>
      <c r="R2" s="63">
        <f ca="1">((TODAY()-N2)/7)*L2</f>
        <v>82457.142857142855</v>
      </c>
      <c r="S2" s="63">
        <v>2068800</v>
      </c>
      <c r="T2" s="63">
        <f ca="1">S2+Q2+P2+R2</f>
        <v>2929900</v>
      </c>
      <c r="U2" s="67">
        <f ca="1">T2/((O2-N2)/112)</f>
        <v>571687.80487804883</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2" t="s">
        <v>270</v>
      </c>
      <c r="N3" s="152" t="s">
        <v>271</v>
      </c>
      <c r="O3" s="152" t="s">
        <v>302</v>
      </c>
      <c r="P3" s="152" t="s">
        <v>268</v>
      </c>
      <c r="Q3" s="152" t="s">
        <v>274</v>
      </c>
      <c r="R3" s="152" t="s">
        <v>275</v>
      </c>
      <c r="S3" s="152" t="s">
        <v>269</v>
      </c>
      <c r="T3" s="152" t="s">
        <v>249</v>
      </c>
      <c r="U3" s="152" t="s">
        <v>272</v>
      </c>
      <c r="V3" s="152" t="s">
        <v>273</v>
      </c>
    </row>
    <row r="4" spans="1:22" x14ac:dyDescent="0.25">
      <c r="A4" s="93"/>
      <c r="B4" s="93" t="s">
        <v>182</v>
      </c>
      <c r="C4" s="93"/>
      <c r="D4" s="90" t="s">
        <v>252</v>
      </c>
      <c r="E4" s="57">
        <v>44</v>
      </c>
      <c r="F4" s="80" t="s">
        <v>220</v>
      </c>
      <c r="G4" s="131">
        <v>5</v>
      </c>
      <c r="H4" s="59">
        <v>16.109000000000002</v>
      </c>
      <c r="I4" s="98">
        <f t="shared" ref="I4" si="0">(G4)*(G4)*(H4)</f>
        <v>402.72500000000002</v>
      </c>
      <c r="J4" s="98">
        <f t="shared" ref="J4" si="1">(G4+1)*(G4+1)*H4</f>
        <v>579.92400000000009</v>
      </c>
      <c r="K4" s="91">
        <v>0</v>
      </c>
      <c r="L4" s="91">
        <v>300</v>
      </c>
      <c r="M4" s="153">
        <v>41976</v>
      </c>
      <c r="N4" s="153">
        <v>42305</v>
      </c>
      <c r="O4" s="153">
        <v>42908</v>
      </c>
      <c r="P4" s="63">
        <v>1052640</v>
      </c>
      <c r="Q4" s="63">
        <f>((N4-M4)/7)*L4</f>
        <v>14100</v>
      </c>
      <c r="R4" s="63">
        <f ca="1">((TODAY()-N4)/7)*L4</f>
        <v>57857.142857142855</v>
      </c>
      <c r="S4" s="63">
        <v>2059800</v>
      </c>
      <c r="T4" s="63">
        <f>S4+Q4+P4</f>
        <v>3126540</v>
      </c>
      <c r="U4" s="67">
        <f>T4/((O4-N4)/112)</f>
        <v>580717.21393034828</v>
      </c>
      <c r="V4" s="49">
        <f ca="1">(A7-N4)/112</f>
        <v>12.053571428571429</v>
      </c>
    </row>
    <row r="5" spans="1:22" x14ac:dyDescent="0.25">
      <c r="M5" s="183"/>
      <c r="N5" s="183"/>
      <c r="O5" s="267"/>
      <c r="P5" s="183"/>
      <c r="Q5" s="183"/>
      <c r="R5" s="183"/>
      <c r="S5" s="183"/>
      <c r="T5" s="183"/>
      <c r="U5" s="183"/>
    </row>
    <row r="6" spans="1:22" x14ac:dyDescent="0.25">
      <c r="M6" s="183"/>
      <c r="N6" s="183"/>
      <c r="P6" s="183"/>
      <c r="Q6" s="183"/>
      <c r="R6" s="183"/>
      <c r="S6" s="183"/>
      <c r="T6" s="183"/>
      <c r="U6" s="183"/>
    </row>
    <row r="7" spans="1:22" x14ac:dyDescent="0.25">
      <c r="A7" s="53">
        <f ca="1">TODAY()</f>
        <v>43655</v>
      </c>
    </row>
    <row r="8" spans="1:22" x14ac:dyDescent="0.25">
      <c r="A8" s="53">
        <v>41757</v>
      </c>
    </row>
    <row r="9" spans="1:22" x14ac:dyDescent="0.25">
      <c r="A9" s="55">
        <f ca="1">A7-A8</f>
        <v>1898</v>
      </c>
    </row>
    <row r="10" spans="1:22" x14ac:dyDescent="0.25">
      <c r="A10" s="150">
        <f ca="1">A9/112</f>
        <v>16.946428571428573</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2" t="s">
        <v>270</v>
      </c>
      <c r="N12" s="152" t="s">
        <v>271</v>
      </c>
      <c r="O12" s="152" t="s">
        <v>302</v>
      </c>
      <c r="P12" s="152" t="s">
        <v>268</v>
      </c>
      <c r="Q12" s="152" t="s">
        <v>274</v>
      </c>
      <c r="R12" s="152" t="s">
        <v>275</v>
      </c>
      <c r="S12" s="152" t="s">
        <v>269</v>
      </c>
      <c r="T12" s="152" t="s">
        <v>249</v>
      </c>
      <c r="U12" s="152" t="s">
        <v>272</v>
      </c>
      <c r="V12" s="152" t="s">
        <v>273</v>
      </c>
    </row>
    <row r="13" spans="1:22" x14ac:dyDescent="0.25">
      <c r="D13" s="90" t="s">
        <v>379</v>
      </c>
      <c r="E13" s="57">
        <v>39</v>
      </c>
      <c r="F13" s="80"/>
      <c r="G13" s="131">
        <v>6</v>
      </c>
      <c r="H13" s="59">
        <v>13</v>
      </c>
      <c r="I13" s="98">
        <f t="shared" ref="I13" si="2">(G13)*(G13)*(H13)</f>
        <v>468</v>
      </c>
      <c r="J13" s="98">
        <f t="shared" ref="J13" si="3">(G13+1)*(G13+1)*H13</f>
        <v>637</v>
      </c>
      <c r="K13" s="91">
        <v>1130</v>
      </c>
      <c r="L13" s="91">
        <v>864</v>
      </c>
      <c r="M13" s="153">
        <v>42628</v>
      </c>
      <c r="N13" s="153">
        <f>O4</f>
        <v>42908</v>
      </c>
      <c r="O13" s="153">
        <f ca="1">TODAY()</f>
        <v>43655</v>
      </c>
      <c r="P13" s="269">
        <v>1800000</v>
      </c>
      <c r="Q13" s="63">
        <v>372</v>
      </c>
      <c r="R13" s="63">
        <f t="shared" ref="R13" ca="1" si="4">((TODAY()-N13)/7)*L13</f>
        <v>92201.142857142855</v>
      </c>
      <c r="S13" s="269">
        <v>2553000</v>
      </c>
      <c r="T13" s="63">
        <f t="shared" ref="T13" si="5">S13+Q13+P13</f>
        <v>4353372</v>
      </c>
      <c r="U13" s="67">
        <f t="shared" ref="U13" ca="1" si="6">T13/((O13-N13)/112)</f>
        <v>652714.40963855421</v>
      </c>
      <c r="V13" s="49">
        <v>7</v>
      </c>
    </row>
    <row r="16" spans="1:22" x14ac:dyDescent="0.25">
      <c r="N16" s="307"/>
    </row>
    <row r="17" spans="1:22" ht="18" x14ac:dyDescent="0.25">
      <c r="A17" s="255">
        <v>42908</v>
      </c>
      <c r="B17" s="87"/>
      <c r="C17">
        <v>112</v>
      </c>
      <c r="D17">
        <v>0</v>
      </c>
    </row>
    <row r="18" spans="1:22" x14ac:dyDescent="0.25">
      <c r="A18" s="87">
        <f ca="1">TODAY()</f>
        <v>43655</v>
      </c>
      <c r="B18" s="87"/>
      <c r="C18">
        <v>400</v>
      </c>
      <c r="D18">
        <v>1</v>
      </c>
    </row>
    <row r="19" spans="1:22" x14ac:dyDescent="0.25">
      <c r="A19">
        <f ca="1">A18-A17</f>
        <v>747</v>
      </c>
      <c r="C19">
        <f>C18-C17</f>
        <v>288</v>
      </c>
      <c r="D19" s="256">
        <f ca="1">(A19-C17)/C19</f>
        <v>2.2048611111111112</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2" t="s">
        <v>270</v>
      </c>
      <c r="N24" s="152" t="s">
        <v>271</v>
      </c>
      <c r="O24" s="152" t="s">
        <v>302</v>
      </c>
      <c r="P24" s="152" t="s">
        <v>268</v>
      </c>
      <c r="Q24" s="152" t="s">
        <v>274</v>
      </c>
      <c r="R24" s="152" t="s">
        <v>275</v>
      </c>
      <c r="S24" s="152" t="s">
        <v>269</v>
      </c>
      <c r="T24" s="152" t="s">
        <v>249</v>
      </c>
      <c r="U24" s="152" t="s">
        <v>272</v>
      </c>
      <c r="V24" s="152" t="s">
        <v>273</v>
      </c>
    </row>
    <row r="28" spans="1:22" ht="19.5" x14ac:dyDescent="0.25">
      <c r="A28" s="675" t="s">
        <v>108</v>
      </c>
      <c r="B28" s="675"/>
      <c r="C28" s="675"/>
      <c r="D28" s="675"/>
    </row>
    <row r="29" spans="1:22" x14ac:dyDescent="0.25">
      <c r="A29" s="676" t="s">
        <v>92</v>
      </c>
      <c r="B29" s="677" t="s">
        <v>109</v>
      </c>
      <c r="C29" s="677" t="s">
        <v>110</v>
      </c>
      <c r="D29" s="677" t="s">
        <v>111</v>
      </c>
    </row>
    <row r="30" spans="1:22" x14ac:dyDescent="0.25">
      <c r="A30" s="676"/>
      <c r="B30" s="677"/>
      <c r="C30" s="677"/>
      <c r="D30" s="677"/>
    </row>
    <row r="31" spans="1:22" x14ac:dyDescent="0.25">
      <c r="A31" s="64" t="s">
        <v>109</v>
      </c>
      <c r="B31" s="65" t="s">
        <v>112</v>
      </c>
      <c r="C31" s="65" t="s">
        <v>113</v>
      </c>
      <c r="D31" s="65" t="s">
        <v>113</v>
      </c>
    </row>
    <row r="32" spans="1:22" x14ac:dyDescent="0.25">
      <c r="A32" s="268" t="s">
        <v>110</v>
      </c>
      <c r="B32" s="66" t="s">
        <v>114</v>
      </c>
      <c r="C32" s="66" t="s">
        <v>115</v>
      </c>
      <c r="D32" s="66" t="s">
        <v>113</v>
      </c>
    </row>
    <row r="33" spans="1:4" x14ac:dyDescent="0.25">
      <c r="A33" s="64" t="s">
        <v>111</v>
      </c>
      <c r="B33" s="65" t="s">
        <v>116</v>
      </c>
      <c r="C33" s="65" t="s">
        <v>117</v>
      </c>
      <c r="D33" s="65" t="s">
        <v>118</v>
      </c>
    </row>
    <row r="34" spans="1:4" x14ac:dyDescent="0.25">
      <c r="A34" s="268" t="s">
        <v>119</v>
      </c>
      <c r="B34" s="66" t="s">
        <v>120</v>
      </c>
      <c r="C34" s="66" t="s">
        <v>121</v>
      </c>
      <c r="D34" s="66" t="s">
        <v>122</v>
      </c>
    </row>
    <row r="35" spans="1:4" x14ac:dyDescent="0.25">
      <c r="A35" s="64" t="s">
        <v>123</v>
      </c>
      <c r="B35" s="65" t="s">
        <v>124</v>
      </c>
      <c r="C35" s="65" t="s">
        <v>125</v>
      </c>
      <c r="D35" s="65" t="s">
        <v>126</v>
      </c>
    </row>
    <row r="36" spans="1:4" x14ac:dyDescent="0.25">
      <c r="A36" s="268" t="s">
        <v>127</v>
      </c>
      <c r="B36" s="66" t="s">
        <v>128</v>
      </c>
      <c r="C36" s="66" t="s">
        <v>129</v>
      </c>
      <c r="D36" s="66" t="s">
        <v>130</v>
      </c>
    </row>
    <row r="37" spans="1:4" x14ac:dyDescent="0.25">
      <c r="A37" s="64" t="s">
        <v>131</v>
      </c>
      <c r="B37" s="65" t="s">
        <v>132</v>
      </c>
      <c r="C37" s="65" t="s">
        <v>133</v>
      </c>
      <c r="D37" s="65" t="s">
        <v>134</v>
      </c>
    </row>
    <row r="38" spans="1:4" x14ac:dyDescent="0.25">
      <c r="A38" s="268" t="s">
        <v>135</v>
      </c>
      <c r="B38" s="66" t="s">
        <v>136</v>
      </c>
      <c r="C38" s="66" t="s">
        <v>137</v>
      </c>
      <c r="D38" s="66" t="s">
        <v>138</v>
      </c>
    </row>
    <row r="39" spans="1:4" x14ac:dyDescent="0.25">
      <c r="A39" s="64" t="s">
        <v>139</v>
      </c>
      <c r="B39" s="65" t="s">
        <v>140</v>
      </c>
      <c r="C39" s="65" t="s">
        <v>141</v>
      </c>
      <c r="D39" s="65" t="s">
        <v>142</v>
      </c>
    </row>
    <row r="40" spans="1:4" x14ac:dyDescent="0.25">
      <c r="A40" s="268" t="s">
        <v>143</v>
      </c>
      <c r="B40" s="66" t="s">
        <v>144</v>
      </c>
      <c r="C40" s="66" t="s">
        <v>145</v>
      </c>
      <c r="D40" s="66" t="s">
        <v>146</v>
      </c>
    </row>
    <row r="41" spans="1:4" x14ac:dyDescent="0.25">
      <c r="A41" s="64" t="s">
        <v>147</v>
      </c>
      <c r="B41" s="65" t="s">
        <v>148</v>
      </c>
      <c r="C41" s="65" t="s">
        <v>149</v>
      </c>
      <c r="D41" s="65" t="s">
        <v>150</v>
      </c>
    </row>
    <row r="42" spans="1:4" x14ac:dyDescent="0.25">
      <c r="A42" s="268" t="s">
        <v>151</v>
      </c>
      <c r="B42" s="66" t="s">
        <v>152</v>
      </c>
      <c r="C42" s="66" t="s">
        <v>153</v>
      </c>
      <c r="D42" s="66" t="s">
        <v>154</v>
      </c>
    </row>
    <row r="43" spans="1:4" x14ac:dyDescent="0.25">
      <c r="A43" s="64" t="s">
        <v>155</v>
      </c>
      <c r="B43" s="65" t="s">
        <v>156</v>
      </c>
      <c r="C43" s="65" t="s">
        <v>157</v>
      </c>
      <c r="D43" s="65" t="s">
        <v>158</v>
      </c>
    </row>
    <row r="44" spans="1:4" x14ac:dyDescent="0.25">
      <c r="A44" s="268"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22"/>
      <c r="N2" s="51">
        <f>SUM(N4:N17)</f>
        <v>5960</v>
      </c>
      <c r="O2" s="51">
        <f>SUM(O4:O17)</f>
        <v>7201.2000000000007</v>
      </c>
      <c r="R2" s="322"/>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2"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2" t="s">
        <v>437</v>
      </c>
      <c r="AF3" s="331" t="s">
        <v>304</v>
      </c>
      <c r="AG3">
        <v>0</v>
      </c>
      <c r="AI3" s="2" t="s">
        <v>430</v>
      </c>
    </row>
    <row r="4" spans="1:35" x14ac:dyDescent="0.25">
      <c r="A4" s="332" t="s">
        <v>170</v>
      </c>
      <c r="B4" s="333" t="s">
        <v>1</v>
      </c>
      <c r="C4" s="135"/>
      <c r="D4" s="135"/>
      <c r="E4" s="135"/>
      <c r="F4" s="135"/>
      <c r="G4" s="334">
        <v>2</v>
      </c>
      <c r="H4" s="136">
        <v>2</v>
      </c>
      <c r="I4" s="334">
        <v>2</v>
      </c>
      <c r="J4" s="136">
        <v>0</v>
      </c>
      <c r="K4" s="334">
        <v>0</v>
      </c>
      <c r="L4" s="136">
        <v>0</v>
      </c>
      <c r="M4" s="334">
        <v>2</v>
      </c>
      <c r="N4" s="116"/>
      <c r="O4" s="51"/>
      <c r="Q4" s="332" t="s">
        <v>170</v>
      </c>
      <c r="R4" s="333" t="str">
        <f t="shared" ref="R4:R17" si="0">B4</f>
        <v>POR</v>
      </c>
      <c r="S4" s="135"/>
      <c r="T4" s="135"/>
      <c r="U4" s="135"/>
      <c r="V4" s="334">
        <f t="shared" ref="V4:AC4" si="1">G4</f>
        <v>2</v>
      </c>
      <c r="W4" s="334">
        <f t="shared" si="1"/>
        <v>2</v>
      </c>
      <c r="X4" s="334">
        <f t="shared" si="1"/>
        <v>2</v>
      </c>
      <c r="Y4" s="334">
        <f t="shared" si="1"/>
        <v>0</v>
      </c>
      <c r="Z4" s="334">
        <f t="shared" si="1"/>
        <v>0</v>
      </c>
      <c r="AA4" s="334">
        <f t="shared" si="1"/>
        <v>0</v>
      </c>
      <c r="AB4" s="334">
        <f t="shared" si="1"/>
        <v>2</v>
      </c>
      <c r="AC4" s="116">
        <f t="shared" si="1"/>
        <v>0</v>
      </c>
      <c r="AD4" s="51">
        <f>AC4*1.2</f>
        <v>0</v>
      </c>
      <c r="AF4" s="331" t="s">
        <v>303</v>
      </c>
      <c r="AG4">
        <v>40</v>
      </c>
      <c r="AI4" t="s">
        <v>431</v>
      </c>
    </row>
    <row r="5" spans="1:35" x14ac:dyDescent="0.25">
      <c r="A5" s="332" t="s">
        <v>222</v>
      </c>
      <c r="B5" s="333" t="s">
        <v>2</v>
      </c>
      <c r="C5" s="80"/>
      <c r="D5" s="80" t="s">
        <v>438</v>
      </c>
      <c r="E5" s="80"/>
      <c r="F5" s="80"/>
      <c r="G5" s="101">
        <v>0</v>
      </c>
      <c r="H5" s="92">
        <v>2</v>
      </c>
      <c r="I5" s="92">
        <v>2</v>
      </c>
      <c r="J5" s="136">
        <v>2</v>
      </c>
      <c r="K5" s="101">
        <v>2</v>
      </c>
      <c r="L5" s="92">
        <v>2</v>
      </c>
      <c r="M5" s="101">
        <v>2</v>
      </c>
      <c r="N5" s="116"/>
      <c r="O5" s="51"/>
      <c r="Q5" s="332" t="s">
        <v>222</v>
      </c>
      <c r="R5" s="333" t="str">
        <f t="shared" si="0"/>
        <v>DEF</v>
      </c>
      <c r="S5" s="135" t="str">
        <f t="shared" ref="S5:S17" si="2">D5</f>
        <v>IMP/CAB</v>
      </c>
      <c r="T5" s="135"/>
      <c r="U5" s="135"/>
      <c r="V5" s="334">
        <f t="shared" ref="V5:V17" si="3">G5</f>
        <v>0</v>
      </c>
      <c r="W5" s="334">
        <f t="shared" ref="W5:W17" si="4">H5</f>
        <v>2</v>
      </c>
      <c r="X5" s="334">
        <f t="shared" ref="X5:X17" si="5">I5</f>
        <v>2</v>
      </c>
      <c r="Y5" s="334">
        <f t="shared" ref="Y5:Y17" si="6">J5</f>
        <v>2</v>
      </c>
      <c r="Z5" s="334">
        <f t="shared" ref="Z5:Z17" si="7">K5</f>
        <v>2</v>
      </c>
      <c r="AA5" s="334">
        <f t="shared" ref="AA5:AA17" si="8">L5</f>
        <v>2</v>
      </c>
      <c r="AB5" s="334">
        <f t="shared" ref="AB5:AB17" si="9">M5</f>
        <v>2</v>
      </c>
      <c r="AC5" s="116">
        <f>N5</f>
        <v>0</v>
      </c>
      <c r="AD5" s="51">
        <f t="shared" ref="AD5:AD17" si="10">AC5*1.2</f>
        <v>0</v>
      </c>
      <c r="AF5" s="331" t="s">
        <v>0</v>
      </c>
      <c r="AG5">
        <v>0</v>
      </c>
      <c r="AI5" t="s">
        <v>432</v>
      </c>
    </row>
    <row r="6" spans="1:35" x14ac:dyDescent="0.25">
      <c r="A6" s="332" t="s">
        <v>172</v>
      </c>
      <c r="B6" s="333" t="s">
        <v>2</v>
      </c>
      <c r="C6" s="80"/>
      <c r="D6" s="80" t="s">
        <v>438</v>
      </c>
      <c r="E6" s="80"/>
      <c r="F6" s="80"/>
      <c r="G6" s="101">
        <v>0</v>
      </c>
      <c r="H6" s="92">
        <v>2</v>
      </c>
      <c r="I6" s="92">
        <v>2</v>
      </c>
      <c r="J6" s="136">
        <v>2</v>
      </c>
      <c r="K6" s="101">
        <v>2</v>
      </c>
      <c r="L6" s="92">
        <v>2</v>
      </c>
      <c r="M6" s="101">
        <v>2</v>
      </c>
      <c r="N6" s="116"/>
      <c r="O6" s="51"/>
      <c r="Q6" s="332" t="s">
        <v>172</v>
      </c>
      <c r="R6" s="333" t="str">
        <f t="shared" si="0"/>
        <v>DEF</v>
      </c>
      <c r="S6" s="135" t="str">
        <f t="shared" si="2"/>
        <v>IMP/CAB</v>
      </c>
      <c r="T6" s="135"/>
      <c r="U6" s="135"/>
      <c r="V6" s="334">
        <f t="shared" si="3"/>
        <v>0</v>
      </c>
      <c r="W6" s="334">
        <f t="shared" si="4"/>
        <v>2</v>
      </c>
      <c r="X6" s="334">
        <f t="shared" si="5"/>
        <v>2</v>
      </c>
      <c r="Y6" s="334">
        <f t="shared" si="6"/>
        <v>2</v>
      </c>
      <c r="Z6" s="334">
        <f t="shared" si="7"/>
        <v>2</v>
      </c>
      <c r="AA6" s="334">
        <f t="shared" si="8"/>
        <v>2</v>
      </c>
      <c r="AB6" s="334">
        <f t="shared" si="9"/>
        <v>2</v>
      </c>
      <c r="AC6" s="116">
        <f>N6</f>
        <v>0</v>
      </c>
      <c r="AD6" s="51">
        <f t="shared" si="10"/>
        <v>0</v>
      </c>
      <c r="AF6" s="331" t="s">
        <v>322</v>
      </c>
      <c r="AG6">
        <v>17</v>
      </c>
      <c r="AI6" t="s">
        <v>433</v>
      </c>
    </row>
    <row r="7" spans="1:35" x14ac:dyDescent="0.25">
      <c r="A7" s="332" t="s">
        <v>174</v>
      </c>
      <c r="B7" s="333" t="s">
        <v>2</v>
      </c>
      <c r="C7" s="80"/>
      <c r="D7" s="80" t="s">
        <v>438</v>
      </c>
      <c r="E7" s="80"/>
      <c r="F7" s="80"/>
      <c r="G7" s="101">
        <v>0</v>
      </c>
      <c r="H7" s="92">
        <v>2</v>
      </c>
      <c r="I7" s="92">
        <v>2</v>
      </c>
      <c r="J7" s="136">
        <v>2</v>
      </c>
      <c r="K7" s="101">
        <v>2</v>
      </c>
      <c r="L7" s="92">
        <v>2</v>
      </c>
      <c r="M7" s="101">
        <v>2</v>
      </c>
      <c r="N7" s="116"/>
      <c r="O7" s="51"/>
      <c r="Q7" s="332" t="s">
        <v>174</v>
      </c>
      <c r="R7" s="333" t="str">
        <f t="shared" si="0"/>
        <v>DEF</v>
      </c>
      <c r="S7" s="135" t="str">
        <f t="shared" si="2"/>
        <v>IMP/CAB</v>
      </c>
      <c r="T7" s="135"/>
      <c r="U7" s="135"/>
      <c r="V7" s="334">
        <f t="shared" si="3"/>
        <v>0</v>
      </c>
      <c r="W7" s="334">
        <f t="shared" si="4"/>
        <v>2</v>
      </c>
      <c r="X7" s="334">
        <f t="shared" si="5"/>
        <v>2</v>
      </c>
      <c r="Y7" s="334">
        <f t="shared" si="6"/>
        <v>2</v>
      </c>
      <c r="Z7" s="334">
        <f t="shared" si="7"/>
        <v>2</v>
      </c>
      <c r="AA7" s="334">
        <f t="shared" si="8"/>
        <v>2</v>
      </c>
      <c r="AB7" s="334">
        <f t="shared" si="9"/>
        <v>2</v>
      </c>
      <c r="AC7" s="116">
        <f>N7</f>
        <v>0</v>
      </c>
      <c r="AD7" s="51">
        <f t="shared" si="10"/>
        <v>0</v>
      </c>
      <c r="AF7" s="331" t="s">
        <v>246</v>
      </c>
      <c r="AG7">
        <f>AG5+AG4+AG3+AG6</f>
        <v>57</v>
      </c>
      <c r="AI7" t="s">
        <v>434</v>
      </c>
    </row>
    <row r="8" spans="1:35" x14ac:dyDescent="0.25">
      <c r="A8" s="332" t="s">
        <v>178</v>
      </c>
      <c r="B8" s="333" t="s">
        <v>2</v>
      </c>
      <c r="C8" s="80"/>
      <c r="D8" s="80" t="s">
        <v>438</v>
      </c>
      <c r="E8" s="80"/>
      <c r="F8" s="80"/>
      <c r="G8" s="101">
        <v>0</v>
      </c>
      <c r="H8" s="92">
        <v>2</v>
      </c>
      <c r="I8" s="92">
        <v>2</v>
      </c>
      <c r="J8" s="136">
        <v>2</v>
      </c>
      <c r="K8" s="101">
        <v>2</v>
      </c>
      <c r="L8" s="92">
        <v>2</v>
      </c>
      <c r="M8" s="101">
        <v>2</v>
      </c>
      <c r="N8" s="116"/>
      <c r="O8" s="51"/>
      <c r="Q8" s="332" t="s">
        <v>178</v>
      </c>
      <c r="R8" s="333" t="str">
        <f t="shared" si="0"/>
        <v>DEF</v>
      </c>
      <c r="S8" s="135" t="str">
        <f t="shared" si="2"/>
        <v>IMP/CAB</v>
      </c>
      <c r="T8" s="135"/>
      <c r="U8" s="135"/>
      <c r="V8" s="334">
        <f t="shared" si="3"/>
        <v>0</v>
      </c>
      <c r="W8" s="334">
        <f t="shared" si="4"/>
        <v>2</v>
      </c>
      <c r="X8" s="334">
        <f t="shared" si="5"/>
        <v>2</v>
      </c>
      <c r="Y8" s="334">
        <f t="shared" si="6"/>
        <v>2</v>
      </c>
      <c r="Z8" s="334">
        <f t="shared" si="7"/>
        <v>2</v>
      </c>
      <c r="AA8" s="334">
        <f t="shared" si="8"/>
        <v>2</v>
      </c>
      <c r="AB8" s="334">
        <f t="shared" si="9"/>
        <v>2</v>
      </c>
      <c r="AC8" s="116">
        <f>N8</f>
        <v>0</v>
      </c>
      <c r="AD8" s="51">
        <f t="shared" si="10"/>
        <v>0</v>
      </c>
      <c r="AF8" s="331" t="s">
        <v>60</v>
      </c>
      <c r="AG8" s="83">
        <f>AG7/16</f>
        <v>3.5625</v>
      </c>
    </row>
    <row r="9" spans="1:35" x14ac:dyDescent="0.25">
      <c r="A9" s="332" t="s">
        <v>173</v>
      </c>
      <c r="B9" s="333" t="s">
        <v>2</v>
      </c>
      <c r="C9" s="80"/>
      <c r="D9" s="80" t="s">
        <v>438</v>
      </c>
      <c r="E9" s="80"/>
      <c r="F9" s="80"/>
      <c r="G9" s="101">
        <v>0</v>
      </c>
      <c r="H9" s="92">
        <v>2</v>
      </c>
      <c r="I9" s="92">
        <v>2</v>
      </c>
      <c r="J9" s="136">
        <v>2</v>
      </c>
      <c r="K9" s="101">
        <v>2</v>
      </c>
      <c r="L9" s="92">
        <v>2</v>
      </c>
      <c r="M9" s="101">
        <v>2</v>
      </c>
      <c r="N9" s="116"/>
      <c r="O9" s="51"/>
      <c r="Q9" s="332" t="s">
        <v>173</v>
      </c>
      <c r="R9" s="333" t="str">
        <f t="shared" si="0"/>
        <v>DEF</v>
      </c>
      <c r="S9" s="135" t="str">
        <f t="shared" si="2"/>
        <v>IMP/CAB</v>
      </c>
      <c r="T9" s="135"/>
      <c r="U9" s="135"/>
      <c r="V9" s="334">
        <f t="shared" si="3"/>
        <v>0</v>
      </c>
      <c r="W9" s="334">
        <f t="shared" si="4"/>
        <v>2</v>
      </c>
      <c r="X9" s="334">
        <f t="shared" si="5"/>
        <v>2</v>
      </c>
      <c r="Y9" s="334">
        <f t="shared" si="6"/>
        <v>2</v>
      </c>
      <c r="Z9" s="334">
        <f t="shared" si="7"/>
        <v>2</v>
      </c>
      <c r="AA9" s="334">
        <f t="shared" si="8"/>
        <v>2</v>
      </c>
      <c r="AB9" s="334">
        <f t="shared" si="9"/>
        <v>2</v>
      </c>
      <c r="AC9" s="116">
        <f>N9</f>
        <v>0</v>
      </c>
      <c r="AD9" s="51">
        <f t="shared" si="10"/>
        <v>0</v>
      </c>
    </row>
    <row r="10" spans="1:35" x14ac:dyDescent="0.25">
      <c r="A10" s="332" t="s">
        <v>175</v>
      </c>
      <c r="B10" s="333" t="s">
        <v>439</v>
      </c>
      <c r="C10" s="296" t="str">
        <f>Plantilla!D13</f>
        <v>I. Vanags</v>
      </c>
      <c r="D10" s="80" t="str">
        <f>Plantilla!G13</f>
        <v>CAB</v>
      </c>
      <c r="E10" s="80">
        <v>18</v>
      </c>
      <c r="F10" s="80">
        <v>64</v>
      </c>
      <c r="G10" s="101">
        <f>Plantilla!X13</f>
        <v>0</v>
      </c>
      <c r="H10" s="101">
        <f>Plantilla!Y13</f>
        <v>4</v>
      </c>
      <c r="I10" s="101">
        <f>Plantilla!Z13</f>
        <v>7.8</v>
      </c>
      <c r="J10" s="101">
        <f>Plantilla!AA13</f>
        <v>3</v>
      </c>
      <c r="K10" s="101">
        <f>Plantilla!AB13</f>
        <v>4</v>
      </c>
      <c r="L10" s="101">
        <f>Plantilla!AC13</f>
        <v>7</v>
      </c>
      <c r="M10" s="101">
        <f>Plantilla!AD13</f>
        <v>6</v>
      </c>
      <c r="N10" s="116">
        <f>Plantilla!V13</f>
        <v>684</v>
      </c>
      <c r="O10" s="51">
        <v>870</v>
      </c>
      <c r="Q10" s="332" t="s">
        <v>175</v>
      </c>
      <c r="R10" s="333" t="str">
        <f t="shared" si="0"/>
        <v>Inners</v>
      </c>
      <c r="S10" s="135" t="str">
        <f t="shared" si="2"/>
        <v>CAB</v>
      </c>
      <c r="T10" s="135">
        <f>E10+3+1</f>
        <v>22</v>
      </c>
      <c r="U10" s="135">
        <f>F10+13*7-122</f>
        <v>33</v>
      </c>
      <c r="V10" s="334">
        <f t="shared" si="3"/>
        <v>0</v>
      </c>
      <c r="W10" s="334">
        <f t="shared" si="4"/>
        <v>4</v>
      </c>
      <c r="X10" s="334">
        <f>13+5/10</f>
        <v>13.5</v>
      </c>
      <c r="Y10" s="334">
        <f t="shared" si="6"/>
        <v>3</v>
      </c>
      <c r="Z10" s="334">
        <f t="shared" si="7"/>
        <v>4</v>
      </c>
      <c r="AA10" s="334">
        <f>10+1/6</f>
        <v>10.166666666666666</v>
      </c>
      <c r="AB10" s="334">
        <f t="shared" si="9"/>
        <v>6</v>
      </c>
      <c r="AC10" s="116">
        <f>(20000+1500+125+125)*1.02</f>
        <v>22185</v>
      </c>
      <c r="AD10" s="51">
        <f t="shared" si="10"/>
        <v>26622</v>
      </c>
    </row>
    <row r="11" spans="1:35" x14ac:dyDescent="0.25">
      <c r="A11" s="332" t="s">
        <v>179</v>
      </c>
      <c r="B11" s="333" t="s">
        <v>439</v>
      </c>
      <c r="C11" s="296" t="str">
        <f>Plantilla!D14</f>
        <v>I. Stone</v>
      </c>
      <c r="D11" s="80" t="str">
        <f>Plantilla!G14</f>
        <v>RAP</v>
      </c>
      <c r="E11" s="80">
        <v>18</v>
      </c>
      <c r="F11" s="80">
        <v>7</v>
      </c>
      <c r="G11" s="101">
        <f>Plantilla!X14</f>
        <v>0</v>
      </c>
      <c r="H11" s="101">
        <f>Plantilla!Y14</f>
        <v>3</v>
      </c>
      <c r="I11" s="101">
        <f>Plantilla!Z14</f>
        <v>6.25</v>
      </c>
      <c r="J11" s="101">
        <f>Plantilla!AA14</f>
        <v>2</v>
      </c>
      <c r="K11" s="101">
        <f>Plantilla!AB14</f>
        <v>6</v>
      </c>
      <c r="L11" s="101">
        <f>Plantilla!AC14</f>
        <v>9</v>
      </c>
      <c r="M11" s="101">
        <f>Plantilla!AD14</f>
        <v>2</v>
      </c>
      <c r="N11" s="116">
        <f>Plantilla!V14</f>
        <v>1490</v>
      </c>
      <c r="O11" s="51">
        <f t="shared" ref="O11:O15" si="11">N11*1.2</f>
        <v>1788</v>
      </c>
      <c r="Q11" s="332" t="s">
        <v>179</v>
      </c>
      <c r="R11" s="333" t="str">
        <f t="shared" si="0"/>
        <v>Inners</v>
      </c>
      <c r="S11" s="135" t="str">
        <f t="shared" si="2"/>
        <v>RAP</v>
      </c>
      <c r="T11" s="135">
        <f>E11+3</f>
        <v>21</v>
      </c>
      <c r="U11" s="135">
        <f>F11+13*7</f>
        <v>98</v>
      </c>
      <c r="V11" s="334">
        <f t="shared" si="3"/>
        <v>0</v>
      </c>
      <c r="W11" s="334">
        <f t="shared" si="4"/>
        <v>3</v>
      </c>
      <c r="X11" s="334">
        <v>13</v>
      </c>
      <c r="Y11" s="334">
        <f t="shared" si="6"/>
        <v>2</v>
      </c>
      <c r="Z11" s="334">
        <f t="shared" si="7"/>
        <v>6</v>
      </c>
      <c r="AA11" s="334">
        <f>11+4/7</f>
        <v>11.571428571428571</v>
      </c>
      <c r="AB11" s="334">
        <f t="shared" si="9"/>
        <v>2</v>
      </c>
      <c r="AC11" s="116">
        <f>(14490+3125+145)*1.008</f>
        <v>17902.080000000002</v>
      </c>
      <c r="AD11" s="51">
        <f>AC11</f>
        <v>17902.080000000002</v>
      </c>
    </row>
    <row r="12" spans="1:35" x14ac:dyDescent="0.25">
      <c r="A12" s="332" t="s">
        <v>224</v>
      </c>
      <c r="B12" s="333" t="s">
        <v>439</v>
      </c>
      <c r="C12" s="296" t="str">
        <f>Plantilla!D15</f>
        <v>G. Piscaer</v>
      </c>
      <c r="D12" s="80" t="str">
        <f>Plantilla!G15</f>
        <v>IMP</v>
      </c>
      <c r="E12" s="80">
        <v>18</v>
      </c>
      <c r="F12" s="80">
        <v>80</v>
      </c>
      <c r="G12" s="101">
        <f>Plantilla!X15</f>
        <v>0</v>
      </c>
      <c r="H12" s="101">
        <f>Plantilla!Y15</f>
        <v>4</v>
      </c>
      <c r="I12" s="101">
        <f>Plantilla!Z15</f>
        <v>8.6</v>
      </c>
      <c r="J12" s="101">
        <f>Plantilla!AA15</f>
        <v>3</v>
      </c>
      <c r="K12" s="101">
        <f>Plantilla!AB15</f>
        <v>2</v>
      </c>
      <c r="L12" s="101">
        <f>Plantilla!AC15</f>
        <v>8</v>
      </c>
      <c r="M12" s="101">
        <f>Plantilla!AD15</f>
        <v>0</v>
      </c>
      <c r="N12" s="116">
        <f>Plantilla!V15</f>
        <v>1044</v>
      </c>
      <c r="O12" s="51">
        <f t="shared" si="11"/>
        <v>1252.8</v>
      </c>
      <c r="Q12" s="332" t="s">
        <v>224</v>
      </c>
      <c r="R12" s="333" t="str">
        <f t="shared" si="0"/>
        <v>Inners</v>
      </c>
      <c r="S12" s="135" t="str">
        <f t="shared" si="2"/>
        <v>IMP</v>
      </c>
      <c r="T12" s="135">
        <f t="shared" ref="T12:T13" si="12">E12+3+1</f>
        <v>22</v>
      </c>
      <c r="U12" s="135">
        <f t="shared" ref="U12:U13" si="13">F12+13*7-122</f>
        <v>49</v>
      </c>
      <c r="V12" s="334">
        <f t="shared" si="3"/>
        <v>0</v>
      </c>
      <c r="W12" s="334">
        <f t="shared" si="4"/>
        <v>4</v>
      </c>
      <c r="X12" s="334">
        <f>14</f>
        <v>14</v>
      </c>
      <c r="Y12" s="334">
        <f t="shared" si="6"/>
        <v>3</v>
      </c>
      <c r="Z12" s="334">
        <f t="shared" si="7"/>
        <v>2</v>
      </c>
      <c r="AA12" s="334">
        <f>10+6/7</f>
        <v>10.857142857142858</v>
      </c>
      <c r="AB12" s="334">
        <f t="shared" si="9"/>
        <v>0</v>
      </c>
      <c r="AC12" s="116">
        <f>(23500+2295+125)*1</f>
        <v>25920</v>
      </c>
      <c r="AD12" s="51">
        <f t="shared" si="10"/>
        <v>31104</v>
      </c>
    </row>
    <row r="13" spans="1:35" x14ac:dyDescent="0.25">
      <c r="A13" s="332" t="s">
        <v>176</v>
      </c>
      <c r="B13" s="333" t="s">
        <v>439</v>
      </c>
      <c r="C13" s="296" t="str">
        <f>Plantilla!D16</f>
        <v>M. Bondarewski</v>
      </c>
      <c r="D13" s="80" t="str">
        <f>Plantilla!G16</f>
        <v>RAP</v>
      </c>
      <c r="E13" s="80">
        <v>18</v>
      </c>
      <c r="F13" s="80">
        <v>80</v>
      </c>
      <c r="G13" s="101">
        <f>Plantilla!X16</f>
        <v>0</v>
      </c>
      <c r="H13" s="101">
        <f>Plantilla!Y16</f>
        <v>2</v>
      </c>
      <c r="I13" s="101">
        <f>Plantilla!Z16</f>
        <v>8.8000000000000007</v>
      </c>
      <c r="J13" s="101">
        <f>Plantilla!AA16</f>
        <v>5</v>
      </c>
      <c r="K13" s="101">
        <f>Plantilla!AB16</f>
        <v>4</v>
      </c>
      <c r="L13" s="101">
        <f>Plantilla!AC16</f>
        <v>8</v>
      </c>
      <c r="M13" s="101">
        <f>Plantilla!AD16</f>
        <v>6</v>
      </c>
      <c r="N13" s="116">
        <f>Plantilla!V16</f>
        <v>924</v>
      </c>
      <c r="O13" s="51">
        <f t="shared" si="11"/>
        <v>1108.8</v>
      </c>
      <c r="Q13" s="332" t="s">
        <v>176</v>
      </c>
      <c r="R13" s="333" t="str">
        <f t="shared" si="0"/>
        <v>Inners</v>
      </c>
      <c r="S13" s="135" t="str">
        <f t="shared" si="2"/>
        <v>RAP</v>
      </c>
      <c r="T13" s="135">
        <f t="shared" si="12"/>
        <v>22</v>
      </c>
      <c r="U13" s="135">
        <f t="shared" si="13"/>
        <v>49</v>
      </c>
      <c r="V13" s="334">
        <f t="shared" si="3"/>
        <v>0</v>
      </c>
      <c r="W13" s="334">
        <f t="shared" si="4"/>
        <v>2</v>
      </c>
      <c r="X13" s="334">
        <f>14</f>
        <v>14</v>
      </c>
      <c r="Y13" s="334">
        <f t="shared" si="6"/>
        <v>5</v>
      </c>
      <c r="Z13" s="334">
        <f t="shared" si="7"/>
        <v>4</v>
      </c>
      <c r="AA13" s="334">
        <f>10+6/7</f>
        <v>10.857142857142858</v>
      </c>
      <c r="AB13" s="334">
        <f t="shared" si="9"/>
        <v>6</v>
      </c>
      <c r="AC13" s="116">
        <f>(23500+2295+125+125)*1.02</f>
        <v>26565.9</v>
      </c>
      <c r="AD13" s="51">
        <f t="shared" si="10"/>
        <v>31879.08</v>
      </c>
    </row>
    <row r="14" spans="1:35" x14ac:dyDescent="0.25">
      <c r="A14" s="332" t="s">
        <v>177</v>
      </c>
      <c r="B14" s="333" t="s">
        <v>439</v>
      </c>
      <c r="C14" s="296" t="str">
        <f>Plantilla!D17</f>
        <v>J. Vartiainen</v>
      </c>
      <c r="D14" s="80" t="str">
        <f>Plantilla!G17</f>
        <v>CAB</v>
      </c>
      <c r="E14" s="80">
        <v>19</v>
      </c>
      <c r="F14" s="80">
        <v>14</v>
      </c>
      <c r="G14" s="101">
        <f>Plantilla!X17</f>
        <v>0</v>
      </c>
      <c r="H14" s="101">
        <f>Plantilla!Y17</f>
        <v>7</v>
      </c>
      <c r="I14" s="101">
        <f>Plantilla!Z17</f>
        <v>7.7111111111111104</v>
      </c>
      <c r="J14" s="101">
        <f>Plantilla!AA17</f>
        <v>1</v>
      </c>
      <c r="K14" s="101">
        <f>Plantilla!AB17</f>
        <v>1</v>
      </c>
      <c r="L14" s="101">
        <f>Plantilla!AC17</f>
        <v>6</v>
      </c>
      <c r="M14" s="101">
        <f>Plantilla!AD17</f>
        <v>1</v>
      </c>
      <c r="N14" s="116">
        <f>Plantilla!V17</f>
        <v>948</v>
      </c>
      <c r="O14" s="51">
        <f t="shared" si="11"/>
        <v>1137.5999999999999</v>
      </c>
      <c r="Q14" s="332" t="s">
        <v>177</v>
      </c>
      <c r="R14" s="333" t="str">
        <f t="shared" si="0"/>
        <v>Inners</v>
      </c>
      <c r="S14" s="135" t="str">
        <f t="shared" si="2"/>
        <v>CAB</v>
      </c>
      <c r="T14" s="135">
        <f>E14+3</f>
        <v>22</v>
      </c>
      <c r="U14" s="135">
        <f>F14+13*7</f>
        <v>105</v>
      </c>
      <c r="V14" s="334">
        <f t="shared" si="3"/>
        <v>0</v>
      </c>
      <c r="W14" s="334">
        <f t="shared" si="4"/>
        <v>7</v>
      </c>
      <c r="X14" s="334">
        <f>13+4/9</f>
        <v>13.444444444444445</v>
      </c>
      <c r="Y14" s="334">
        <f t="shared" si="6"/>
        <v>1</v>
      </c>
      <c r="Z14" s="334">
        <f t="shared" si="7"/>
        <v>1</v>
      </c>
      <c r="AA14" s="334">
        <f>9+3/6</f>
        <v>9.5</v>
      </c>
      <c r="AB14" s="334">
        <f t="shared" si="9"/>
        <v>1</v>
      </c>
      <c r="AC14" s="116">
        <f>(20000+1020+225)*1.004</f>
        <v>21329.98</v>
      </c>
      <c r="AD14" s="51">
        <f t="shared" si="10"/>
        <v>25595.975999999999</v>
      </c>
    </row>
    <row r="15" spans="1:35" x14ac:dyDescent="0.25">
      <c r="A15" s="332" t="s">
        <v>171</v>
      </c>
      <c r="B15" s="333" t="s">
        <v>439</v>
      </c>
      <c r="C15" s="296" t="str">
        <f>Plantilla!D18</f>
        <v>R. Forsyth</v>
      </c>
      <c r="D15" s="80" t="str">
        <f>Plantilla!G18</f>
        <v>POT</v>
      </c>
      <c r="E15" s="80">
        <v>19</v>
      </c>
      <c r="F15" s="80">
        <v>9</v>
      </c>
      <c r="G15" s="101">
        <f>Plantilla!X18</f>
        <v>0</v>
      </c>
      <c r="H15" s="101">
        <f>Plantilla!Y18</f>
        <v>7</v>
      </c>
      <c r="I15" s="101">
        <f>Plantilla!Z18</f>
        <v>8</v>
      </c>
      <c r="J15" s="101">
        <f>Plantilla!AA18</f>
        <v>2</v>
      </c>
      <c r="K15" s="101">
        <f>Plantilla!AB18</f>
        <v>4</v>
      </c>
      <c r="L15" s="101">
        <f>Plantilla!AC18</f>
        <v>6</v>
      </c>
      <c r="M15" s="101">
        <f>Plantilla!AD18</f>
        <v>2</v>
      </c>
      <c r="N15" s="116">
        <f>Plantilla!V18</f>
        <v>870</v>
      </c>
      <c r="O15" s="51">
        <f t="shared" si="11"/>
        <v>1044</v>
      </c>
      <c r="Q15" s="332" t="s">
        <v>171</v>
      </c>
      <c r="R15" s="333" t="str">
        <f t="shared" si="0"/>
        <v>Inners</v>
      </c>
      <c r="S15" s="135" t="str">
        <f t="shared" si="2"/>
        <v>POT</v>
      </c>
      <c r="T15" s="135">
        <f>E15+3</f>
        <v>22</v>
      </c>
      <c r="U15" s="135">
        <f>F15+13*7</f>
        <v>100</v>
      </c>
      <c r="V15" s="334">
        <f t="shared" si="3"/>
        <v>0</v>
      </c>
      <c r="W15" s="334">
        <f t="shared" si="4"/>
        <v>7</v>
      </c>
      <c r="X15" s="334">
        <f>13+4/9</f>
        <v>13.444444444444445</v>
      </c>
      <c r="Y15" s="334">
        <f t="shared" si="6"/>
        <v>2</v>
      </c>
      <c r="Z15" s="334">
        <f t="shared" si="7"/>
        <v>4</v>
      </c>
      <c r="AA15" s="334">
        <f>9+3/6</f>
        <v>9.5</v>
      </c>
      <c r="AB15" s="334">
        <f t="shared" si="9"/>
        <v>2</v>
      </c>
      <c r="AC15" s="116">
        <f>(20000+1020+225+125)*1.008</f>
        <v>21540.959999999999</v>
      </c>
      <c r="AD15" s="51">
        <f>AC15</f>
        <v>21540.959999999999</v>
      </c>
    </row>
    <row r="16" spans="1:35" x14ac:dyDescent="0.25">
      <c r="A16" s="332" t="s">
        <v>216</v>
      </c>
      <c r="B16" s="333" t="s">
        <v>277</v>
      </c>
      <c r="C16" s="80"/>
      <c r="D16" s="80" t="s">
        <v>440</v>
      </c>
      <c r="E16" s="80"/>
      <c r="F16" s="80"/>
      <c r="G16" s="101">
        <v>0</v>
      </c>
      <c r="H16" s="92">
        <v>2</v>
      </c>
      <c r="I16" s="92">
        <v>2</v>
      </c>
      <c r="J16" s="136">
        <v>2</v>
      </c>
      <c r="K16" s="101">
        <v>2</v>
      </c>
      <c r="L16" s="92">
        <v>2</v>
      </c>
      <c r="M16" s="101">
        <v>2</v>
      </c>
      <c r="N16" s="116"/>
      <c r="O16" s="51"/>
      <c r="Q16" s="332" t="s">
        <v>216</v>
      </c>
      <c r="R16" s="333" t="str">
        <f t="shared" si="0"/>
        <v>DD</v>
      </c>
      <c r="S16" s="135" t="str">
        <f t="shared" si="2"/>
        <v>RAP/IMP/CAB</v>
      </c>
      <c r="T16" s="135"/>
      <c r="U16" s="135"/>
      <c r="V16" s="334">
        <f t="shared" si="3"/>
        <v>0</v>
      </c>
      <c r="W16" s="334">
        <f t="shared" si="4"/>
        <v>2</v>
      </c>
      <c r="X16" s="334">
        <f t="shared" si="5"/>
        <v>2</v>
      </c>
      <c r="Y16" s="334">
        <f t="shared" si="6"/>
        <v>2</v>
      </c>
      <c r="Z16" s="334">
        <f t="shared" si="7"/>
        <v>2</v>
      </c>
      <c r="AA16" s="334">
        <f t="shared" si="8"/>
        <v>2</v>
      </c>
      <c r="AB16" s="334">
        <f t="shared" si="9"/>
        <v>2</v>
      </c>
      <c r="AC16" s="116">
        <f>N16</f>
        <v>0</v>
      </c>
      <c r="AD16" s="51">
        <f t="shared" si="10"/>
        <v>0</v>
      </c>
    </row>
    <row r="17" spans="1:33" x14ac:dyDescent="0.25">
      <c r="A17" s="332" t="s">
        <v>223</v>
      </c>
      <c r="B17" s="333" t="s">
        <v>277</v>
      </c>
      <c r="C17" s="80"/>
      <c r="D17" s="80" t="s">
        <v>440</v>
      </c>
      <c r="E17" s="80"/>
      <c r="F17" s="80"/>
      <c r="G17" s="101">
        <v>0</v>
      </c>
      <c r="H17" s="92">
        <v>2</v>
      </c>
      <c r="I17" s="92">
        <v>2</v>
      </c>
      <c r="J17" s="136">
        <v>2</v>
      </c>
      <c r="K17" s="101">
        <v>2</v>
      </c>
      <c r="L17" s="92">
        <v>2</v>
      </c>
      <c r="M17" s="101">
        <v>2</v>
      </c>
      <c r="N17" s="116"/>
      <c r="O17" s="51"/>
      <c r="Q17" s="332" t="s">
        <v>223</v>
      </c>
      <c r="R17" s="333" t="str">
        <f t="shared" si="0"/>
        <v>DD</v>
      </c>
      <c r="S17" s="135" t="str">
        <f t="shared" si="2"/>
        <v>RAP/IMP/CAB</v>
      </c>
      <c r="T17" s="135"/>
      <c r="U17" s="135"/>
      <c r="V17" s="334">
        <f t="shared" si="3"/>
        <v>0</v>
      </c>
      <c r="W17" s="334">
        <f t="shared" si="4"/>
        <v>2</v>
      </c>
      <c r="X17" s="334">
        <f t="shared" si="5"/>
        <v>2</v>
      </c>
      <c r="Y17" s="334">
        <f t="shared" si="6"/>
        <v>2</v>
      </c>
      <c r="Z17" s="334">
        <f t="shared" si="7"/>
        <v>2</v>
      </c>
      <c r="AA17" s="334">
        <f t="shared" si="8"/>
        <v>2</v>
      </c>
      <c r="AB17" s="334">
        <f t="shared" si="9"/>
        <v>2</v>
      </c>
      <c r="AC17" s="116">
        <f>N17</f>
        <v>0</v>
      </c>
      <c r="AD17" s="51">
        <f t="shared" si="10"/>
        <v>0</v>
      </c>
    </row>
    <row r="19" spans="1:33" x14ac:dyDescent="0.25">
      <c r="B19" s="322"/>
      <c r="N19" s="51">
        <f>SUM(N21:N34)</f>
        <v>305878.36</v>
      </c>
      <c r="O19" s="51">
        <f>SUM(O21:O34)</f>
        <v>359165.42400000012</v>
      </c>
      <c r="R19" s="322"/>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2"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2" t="s">
        <v>437</v>
      </c>
      <c r="AF20" s="331" t="s">
        <v>304</v>
      </c>
      <c r="AG20">
        <v>0</v>
      </c>
    </row>
    <row r="21" spans="1:33" x14ac:dyDescent="0.25">
      <c r="A21" s="332" t="str">
        <f>A4</f>
        <v>#1</v>
      </c>
      <c r="B21" s="333" t="str">
        <f>B4</f>
        <v>POR</v>
      </c>
      <c r="C21" s="135" t="s">
        <v>306</v>
      </c>
      <c r="D21" s="135">
        <f>D4</f>
        <v>0</v>
      </c>
      <c r="E21" s="135">
        <v>22</v>
      </c>
      <c r="F21" s="135">
        <v>50</v>
      </c>
      <c r="G21" s="334">
        <v>15</v>
      </c>
      <c r="H21" s="334">
        <v>4</v>
      </c>
      <c r="I21" s="334">
        <f t="shared" ref="I21:L21" si="14">X4</f>
        <v>2</v>
      </c>
      <c r="J21" s="334">
        <f t="shared" si="14"/>
        <v>0</v>
      </c>
      <c r="K21" s="334">
        <f t="shared" si="14"/>
        <v>0</v>
      </c>
      <c r="L21" s="334">
        <f t="shared" si="14"/>
        <v>0</v>
      </c>
      <c r="M21" s="334">
        <v>4</v>
      </c>
      <c r="N21" s="116">
        <f>(24270+125)*1.012</f>
        <v>24687.74</v>
      </c>
      <c r="O21" s="116">
        <f>N21*1.2</f>
        <v>29625.288</v>
      </c>
      <c r="Q21" s="332" t="s">
        <v>170</v>
      </c>
      <c r="R21" s="333" t="str">
        <f t="shared" ref="R21:R34" si="15">B21</f>
        <v>POR</v>
      </c>
      <c r="S21" s="135"/>
      <c r="T21" s="135"/>
      <c r="U21" s="135"/>
      <c r="V21" s="334">
        <f>G21</f>
        <v>15</v>
      </c>
      <c r="W21" s="334">
        <f t="shared" ref="W21:AA21" si="16">H21</f>
        <v>4</v>
      </c>
      <c r="X21" s="334">
        <f t="shared" si="16"/>
        <v>2</v>
      </c>
      <c r="Y21" s="334">
        <f t="shared" si="16"/>
        <v>0</v>
      </c>
      <c r="Z21" s="334">
        <f t="shared" si="16"/>
        <v>0</v>
      </c>
      <c r="AA21" s="334">
        <f t="shared" si="16"/>
        <v>0</v>
      </c>
      <c r="AB21" s="334">
        <v>17</v>
      </c>
      <c r="AC21" s="116">
        <f>(24270+125)*1.047</f>
        <v>25541.564999999999</v>
      </c>
      <c r="AD21" s="51">
        <f>AC21*1.2</f>
        <v>30649.877999999997</v>
      </c>
      <c r="AF21" s="331" t="s">
        <v>303</v>
      </c>
      <c r="AG21">
        <v>0</v>
      </c>
    </row>
    <row r="22" spans="1:33" x14ac:dyDescent="0.25">
      <c r="A22" s="332" t="str">
        <f t="shared" ref="A22:B22" si="17">A5</f>
        <v>#2</v>
      </c>
      <c r="B22" s="333" t="str">
        <f t="shared" si="17"/>
        <v>DEF</v>
      </c>
      <c r="C22" s="135" t="s">
        <v>66</v>
      </c>
      <c r="D22" s="135" t="s">
        <v>220</v>
      </c>
      <c r="E22" s="135">
        <v>22</v>
      </c>
      <c r="F22" s="135">
        <v>50</v>
      </c>
      <c r="G22" s="334">
        <f t="shared" ref="G22:G33" si="18">V5</f>
        <v>0</v>
      </c>
      <c r="H22" s="334">
        <v>14</v>
      </c>
      <c r="I22" s="334">
        <v>5</v>
      </c>
      <c r="J22" s="334">
        <f t="shared" ref="J22:J33" si="19">Y5</f>
        <v>2</v>
      </c>
      <c r="K22" s="334">
        <f t="shared" ref="K22:K33" si="20">Z5</f>
        <v>2</v>
      </c>
      <c r="L22" s="334">
        <v>7</v>
      </c>
      <c r="M22" s="334">
        <v>3</v>
      </c>
      <c r="N22" s="116">
        <f>(18370+135+245)*1.012</f>
        <v>18975</v>
      </c>
      <c r="O22" s="116">
        <f t="shared" ref="O22:O26" si="21">N22*1.2</f>
        <v>22770</v>
      </c>
      <c r="Q22" s="332" t="s">
        <v>222</v>
      </c>
      <c r="R22" s="333" t="str">
        <f t="shared" si="15"/>
        <v>DEF</v>
      </c>
      <c r="S22" s="135" t="str">
        <f t="shared" ref="S22:S34" si="22">D22</f>
        <v>CAB</v>
      </c>
      <c r="T22" s="135"/>
      <c r="U22" s="135"/>
      <c r="V22" s="334">
        <f t="shared" ref="V22:V34" si="23">G22</f>
        <v>0</v>
      </c>
      <c r="W22" s="334">
        <f t="shared" ref="W22:W34" si="24">H22</f>
        <v>14</v>
      </c>
      <c r="X22" s="334">
        <f t="shared" ref="X22:X34" si="25">I22</f>
        <v>5</v>
      </c>
      <c r="Y22" s="334">
        <f t="shared" ref="Y22:Y34" si="26">J22</f>
        <v>2</v>
      </c>
      <c r="Z22" s="334">
        <f t="shared" ref="Z22:Z34" si="27">K22</f>
        <v>2</v>
      </c>
      <c r="AA22" s="334">
        <f t="shared" ref="AA22:AA34" si="28">L22</f>
        <v>7</v>
      </c>
      <c r="AB22" s="334">
        <v>14</v>
      </c>
      <c r="AC22" s="116">
        <f>(18370+135+245)*1.04</f>
        <v>19500</v>
      </c>
      <c r="AD22" s="51">
        <f t="shared" ref="AD22:AD34" si="29">AC22*1.2</f>
        <v>23400</v>
      </c>
      <c r="AF22" s="331" t="s">
        <v>0</v>
      </c>
      <c r="AG22">
        <v>16</v>
      </c>
    </row>
    <row r="23" spans="1:33" x14ac:dyDescent="0.25">
      <c r="A23" s="332" t="str">
        <f t="shared" ref="A23:B23" si="30">A6</f>
        <v>#3</v>
      </c>
      <c r="B23" s="333" t="str">
        <f t="shared" si="30"/>
        <v>DEF</v>
      </c>
      <c r="C23" s="135" t="s">
        <v>66</v>
      </c>
      <c r="D23" s="135" t="s">
        <v>220</v>
      </c>
      <c r="E23" s="135">
        <v>22</v>
      </c>
      <c r="F23" s="135">
        <v>50</v>
      </c>
      <c r="G23" s="334">
        <f t="shared" ref="G23:G26" si="31">V6</f>
        <v>0</v>
      </c>
      <c r="H23" s="334">
        <v>14</v>
      </c>
      <c r="I23" s="334">
        <v>5</v>
      </c>
      <c r="J23" s="334">
        <f t="shared" ref="J23:J26" si="32">Y6</f>
        <v>2</v>
      </c>
      <c r="K23" s="334">
        <f t="shared" ref="K23:K26" si="33">Z6</f>
        <v>2</v>
      </c>
      <c r="L23" s="334">
        <v>7</v>
      </c>
      <c r="M23" s="334">
        <v>3</v>
      </c>
      <c r="N23" s="116">
        <f>(18370+135+245)*1.012</f>
        <v>18975</v>
      </c>
      <c r="O23" s="116">
        <f t="shared" si="21"/>
        <v>22770</v>
      </c>
      <c r="Q23" s="332" t="s">
        <v>172</v>
      </c>
      <c r="R23" s="333" t="str">
        <f t="shared" si="15"/>
        <v>DEF</v>
      </c>
      <c r="S23" s="135" t="str">
        <f t="shared" si="22"/>
        <v>CAB</v>
      </c>
      <c r="T23" s="135"/>
      <c r="U23" s="135"/>
      <c r="V23" s="334">
        <f t="shared" si="23"/>
        <v>0</v>
      </c>
      <c r="W23" s="334">
        <f t="shared" si="24"/>
        <v>14</v>
      </c>
      <c r="X23" s="334">
        <f t="shared" si="25"/>
        <v>5</v>
      </c>
      <c r="Y23" s="334">
        <f t="shared" si="26"/>
        <v>2</v>
      </c>
      <c r="Z23" s="334">
        <f t="shared" si="27"/>
        <v>2</v>
      </c>
      <c r="AA23" s="334">
        <f t="shared" si="28"/>
        <v>7</v>
      </c>
      <c r="AB23" s="334">
        <v>14</v>
      </c>
      <c r="AC23" s="116">
        <f t="shared" ref="AC23:AC26" si="34">(18370+135+245)*1.04</f>
        <v>19500</v>
      </c>
      <c r="AD23" s="51">
        <f t="shared" si="29"/>
        <v>23400</v>
      </c>
      <c r="AF23" s="331" t="s">
        <v>322</v>
      </c>
      <c r="AG23">
        <v>0</v>
      </c>
    </row>
    <row r="24" spans="1:33" x14ac:dyDescent="0.25">
      <c r="A24" s="332" t="str">
        <f t="shared" ref="A24:B24" si="35">A7</f>
        <v>#4</v>
      </c>
      <c r="B24" s="333" t="str">
        <f t="shared" si="35"/>
        <v>DEF</v>
      </c>
      <c r="C24" s="135" t="s">
        <v>66</v>
      </c>
      <c r="D24" s="135" t="s">
        <v>220</v>
      </c>
      <c r="E24" s="135">
        <v>22</v>
      </c>
      <c r="F24" s="135">
        <v>50</v>
      </c>
      <c r="G24" s="334">
        <f t="shared" si="31"/>
        <v>0</v>
      </c>
      <c r="H24" s="334">
        <v>14</v>
      </c>
      <c r="I24" s="334">
        <v>5</v>
      </c>
      <c r="J24" s="334">
        <f t="shared" si="32"/>
        <v>2</v>
      </c>
      <c r="K24" s="334">
        <f t="shared" si="33"/>
        <v>2</v>
      </c>
      <c r="L24" s="334">
        <v>7</v>
      </c>
      <c r="M24" s="334">
        <v>3</v>
      </c>
      <c r="N24" s="116">
        <f>(18370+135+245)*1.012</f>
        <v>18975</v>
      </c>
      <c r="O24" s="116">
        <f t="shared" si="21"/>
        <v>22770</v>
      </c>
      <c r="Q24" s="332" t="s">
        <v>174</v>
      </c>
      <c r="R24" s="333" t="str">
        <f t="shared" si="15"/>
        <v>DEF</v>
      </c>
      <c r="S24" s="135" t="str">
        <f t="shared" si="22"/>
        <v>CAB</v>
      </c>
      <c r="T24" s="135"/>
      <c r="U24" s="135"/>
      <c r="V24" s="334">
        <f t="shared" si="23"/>
        <v>0</v>
      </c>
      <c r="W24" s="334">
        <f t="shared" si="24"/>
        <v>14</v>
      </c>
      <c r="X24" s="334">
        <f t="shared" si="25"/>
        <v>5</v>
      </c>
      <c r="Y24" s="334">
        <f t="shared" si="26"/>
        <v>2</v>
      </c>
      <c r="Z24" s="334">
        <f t="shared" si="27"/>
        <v>2</v>
      </c>
      <c r="AA24" s="334">
        <f t="shared" si="28"/>
        <v>7</v>
      </c>
      <c r="AB24" s="334">
        <v>14</v>
      </c>
      <c r="AC24" s="116">
        <f t="shared" si="34"/>
        <v>19500</v>
      </c>
      <c r="AD24" s="51">
        <f t="shared" si="29"/>
        <v>23400</v>
      </c>
      <c r="AF24" s="331" t="s">
        <v>246</v>
      </c>
      <c r="AG24">
        <f>AG22+AG21+AG20+AG23</f>
        <v>16</v>
      </c>
    </row>
    <row r="25" spans="1:33" x14ac:dyDescent="0.25">
      <c r="A25" s="332" t="str">
        <f t="shared" ref="A25:B25" si="36">A8</f>
        <v>#5</v>
      </c>
      <c r="B25" s="333" t="str">
        <f t="shared" si="36"/>
        <v>DEF</v>
      </c>
      <c r="C25" s="135" t="s">
        <v>66</v>
      </c>
      <c r="D25" s="135" t="s">
        <v>220</v>
      </c>
      <c r="E25" s="135">
        <v>22</v>
      </c>
      <c r="F25" s="135">
        <v>50</v>
      </c>
      <c r="G25" s="334">
        <f t="shared" si="31"/>
        <v>0</v>
      </c>
      <c r="H25" s="334">
        <v>14</v>
      </c>
      <c r="I25" s="334">
        <v>5</v>
      </c>
      <c r="J25" s="334">
        <f t="shared" si="32"/>
        <v>2</v>
      </c>
      <c r="K25" s="334">
        <f t="shared" si="33"/>
        <v>2</v>
      </c>
      <c r="L25" s="334">
        <v>7</v>
      </c>
      <c r="M25" s="334">
        <v>3</v>
      </c>
      <c r="N25" s="116">
        <f>(18370+135+245)*1.012</f>
        <v>18975</v>
      </c>
      <c r="O25" s="116">
        <f t="shared" si="21"/>
        <v>22770</v>
      </c>
      <c r="Q25" s="332" t="s">
        <v>178</v>
      </c>
      <c r="R25" s="333" t="str">
        <f t="shared" si="15"/>
        <v>DEF</v>
      </c>
      <c r="S25" s="135" t="str">
        <f t="shared" si="22"/>
        <v>CAB</v>
      </c>
      <c r="T25" s="135"/>
      <c r="U25" s="135"/>
      <c r="V25" s="334">
        <f t="shared" si="23"/>
        <v>0</v>
      </c>
      <c r="W25" s="334">
        <f t="shared" si="24"/>
        <v>14</v>
      </c>
      <c r="X25" s="334">
        <f t="shared" si="25"/>
        <v>5</v>
      </c>
      <c r="Y25" s="334">
        <f t="shared" si="26"/>
        <v>2</v>
      </c>
      <c r="Z25" s="334">
        <f t="shared" si="27"/>
        <v>2</v>
      </c>
      <c r="AA25" s="334">
        <f t="shared" si="28"/>
        <v>7</v>
      </c>
      <c r="AB25" s="334">
        <v>14</v>
      </c>
      <c r="AC25" s="116">
        <f t="shared" si="34"/>
        <v>19500</v>
      </c>
      <c r="AD25" s="51">
        <f t="shared" si="29"/>
        <v>23400</v>
      </c>
      <c r="AF25" s="331" t="s">
        <v>60</v>
      </c>
      <c r="AG25" s="83">
        <f>AG24/16</f>
        <v>1</v>
      </c>
    </row>
    <row r="26" spans="1:33" x14ac:dyDescent="0.25">
      <c r="A26" s="332" t="str">
        <f t="shared" ref="A26:B26" si="37">A9</f>
        <v>#6</v>
      </c>
      <c r="B26" s="333" t="str">
        <f t="shared" si="37"/>
        <v>DEF</v>
      </c>
      <c r="C26" s="135" t="s">
        <v>66</v>
      </c>
      <c r="D26" s="135" t="s">
        <v>220</v>
      </c>
      <c r="E26" s="135">
        <v>22</v>
      </c>
      <c r="F26" s="135">
        <v>50</v>
      </c>
      <c r="G26" s="334">
        <f t="shared" si="31"/>
        <v>0</v>
      </c>
      <c r="H26" s="334">
        <v>14</v>
      </c>
      <c r="I26" s="334">
        <v>5</v>
      </c>
      <c r="J26" s="334">
        <f t="shared" si="32"/>
        <v>2</v>
      </c>
      <c r="K26" s="334">
        <f t="shared" si="33"/>
        <v>2</v>
      </c>
      <c r="L26" s="334">
        <v>7</v>
      </c>
      <c r="M26" s="334">
        <v>3</v>
      </c>
      <c r="N26" s="116">
        <f>(18370+135+245)*1.012</f>
        <v>18975</v>
      </c>
      <c r="O26" s="116">
        <f t="shared" si="21"/>
        <v>22770</v>
      </c>
      <c r="Q26" s="332" t="s">
        <v>173</v>
      </c>
      <c r="R26" s="333" t="str">
        <f t="shared" si="15"/>
        <v>DEF</v>
      </c>
      <c r="S26" s="135" t="str">
        <f t="shared" si="22"/>
        <v>CAB</v>
      </c>
      <c r="T26" s="135"/>
      <c r="U26" s="135"/>
      <c r="V26" s="334">
        <f t="shared" si="23"/>
        <v>0</v>
      </c>
      <c r="W26" s="334">
        <f t="shared" si="24"/>
        <v>14</v>
      </c>
      <c r="X26" s="334">
        <f t="shared" si="25"/>
        <v>5</v>
      </c>
      <c r="Y26" s="334">
        <f t="shared" si="26"/>
        <v>2</v>
      </c>
      <c r="Z26" s="334">
        <f t="shared" si="27"/>
        <v>2</v>
      </c>
      <c r="AA26" s="334">
        <f t="shared" si="28"/>
        <v>7</v>
      </c>
      <c r="AB26" s="334">
        <v>14</v>
      </c>
      <c r="AC26" s="116">
        <f t="shared" si="34"/>
        <v>19500</v>
      </c>
      <c r="AD26" s="51">
        <f t="shared" si="29"/>
        <v>23400</v>
      </c>
    </row>
    <row r="27" spans="1:33" x14ac:dyDescent="0.25">
      <c r="A27" s="332" t="str">
        <f t="shared" ref="A27:D27" si="38">A10</f>
        <v>#7</v>
      </c>
      <c r="B27" s="333" t="str">
        <f t="shared" si="38"/>
        <v>Inners</v>
      </c>
      <c r="C27" s="135" t="str">
        <f t="shared" si="38"/>
        <v>I. Vanags</v>
      </c>
      <c r="D27" s="135" t="str">
        <f t="shared" si="38"/>
        <v>CAB</v>
      </c>
      <c r="E27" s="135">
        <f>T10</f>
        <v>22</v>
      </c>
      <c r="F27" s="135">
        <f>U10</f>
        <v>33</v>
      </c>
      <c r="G27" s="334">
        <f t="shared" si="18"/>
        <v>0</v>
      </c>
      <c r="H27" s="334">
        <f t="shared" ref="H27:H33" si="39">W10</f>
        <v>4</v>
      </c>
      <c r="I27" s="334">
        <f t="shared" ref="I27:I32" si="40">X10</f>
        <v>13.5</v>
      </c>
      <c r="J27" s="334">
        <f t="shared" si="19"/>
        <v>3</v>
      </c>
      <c r="K27" s="334">
        <f t="shared" si="20"/>
        <v>4</v>
      </c>
      <c r="L27" s="334">
        <f t="shared" ref="L27:L32" si="41">AA10</f>
        <v>10.166666666666666</v>
      </c>
      <c r="M27" s="334">
        <f t="shared" ref="M27:M32" si="42">AB10</f>
        <v>6</v>
      </c>
      <c r="N27" s="116">
        <f t="shared" ref="N27:O27" si="43">AC10</f>
        <v>22185</v>
      </c>
      <c r="O27" s="116">
        <f t="shared" si="43"/>
        <v>26622</v>
      </c>
      <c r="Q27" s="332" t="s">
        <v>175</v>
      </c>
      <c r="R27" s="333" t="str">
        <f t="shared" si="15"/>
        <v>Inners</v>
      </c>
      <c r="S27" s="135" t="str">
        <f t="shared" si="22"/>
        <v>CAB</v>
      </c>
      <c r="T27" s="135">
        <f>E27+1</f>
        <v>23</v>
      </c>
      <c r="U27" s="135">
        <f>F27</f>
        <v>33</v>
      </c>
      <c r="V27" s="334">
        <f t="shared" si="23"/>
        <v>0</v>
      </c>
      <c r="W27" s="334">
        <f t="shared" si="24"/>
        <v>4</v>
      </c>
      <c r="X27" s="334">
        <f t="shared" si="25"/>
        <v>13.5</v>
      </c>
      <c r="Y27" s="334">
        <f t="shared" si="26"/>
        <v>3</v>
      </c>
      <c r="Z27" s="334">
        <f t="shared" si="27"/>
        <v>4</v>
      </c>
      <c r="AA27" s="334">
        <f t="shared" si="28"/>
        <v>10.166666666666666</v>
      </c>
      <c r="AB27" s="334">
        <v>15</v>
      </c>
      <c r="AC27" s="116">
        <f>(20000+1500+125+125)*1.043</f>
        <v>22685.25</v>
      </c>
      <c r="AD27" s="51">
        <f t="shared" si="29"/>
        <v>27222.3</v>
      </c>
    </row>
    <row r="28" spans="1:33" x14ac:dyDescent="0.25">
      <c r="A28" s="332" t="str">
        <f t="shared" ref="A28:D28" si="44">A11</f>
        <v>#8</v>
      </c>
      <c r="B28" s="333" t="str">
        <f t="shared" si="44"/>
        <v>Inners</v>
      </c>
      <c r="C28" s="135" t="str">
        <f t="shared" si="44"/>
        <v>I. Stone</v>
      </c>
      <c r="D28" s="135" t="str">
        <f t="shared" si="44"/>
        <v>RAP</v>
      </c>
      <c r="E28" s="135">
        <f t="shared" ref="E28:F32" si="45">T11</f>
        <v>21</v>
      </c>
      <c r="F28" s="135">
        <f t="shared" si="45"/>
        <v>98</v>
      </c>
      <c r="G28" s="334">
        <f t="shared" si="18"/>
        <v>0</v>
      </c>
      <c r="H28" s="334">
        <f t="shared" si="39"/>
        <v>3</v>
      </c>
      <c r="I28" s="334">
        <f t="shared" si="40"/>
        <v>13</v>
      </c>
      <c r="J28" s="334">
        <f t="shared" si="19"/>
        <v>2</v>
      </c>
      <c r="K28" s="334">
        <f t="shared" si="20"/>
        <v>6</v>
      </c>
      <c r="L28" s="334">
        <f t="shared" si="41"/>
        <v>11.571428571428571</v>
      </c>
      <c r="M28" s="334">
        <f t="shared" si="42"/>
        <v>2</v>
      </c>
      <c r="N28" s="116">
        <f t="shared" ref="N28:O28" si="46">AC11</f>
        <v>17902.080000000002</v>
      </c>
      <c r="O28" s="116">
        <f t="shared" si="46"/>
        <v>17902.080000000002</v>
      </c>
      <c r="Q28" s="332" t="s">
        <v>179</v>
      </c>
      <c r="R28" s="333" t="str">
        <f t="shared" si="15"/>
        <v>Inners</v>
      </c>
      <c r="S28" s="135" t="str">
        <f t="shared" si="22"/>
        <v>RAP</v>
      </c>
      <c r="T28" s="135">
        <f t="shared" ref="T28:T32" si="47">E28+1</f>
        <v>22</v>
      </c>
      <c r="U28" s="135">
        <f t="shared" ref="U28:U32" si="48">F28</f>
        <v>98</v>
      </c>
      <c r="V28" s="334">
        <f t="shared" si="23"/>
        <v>0</v>
      </c>
      <c r="W28" s="334">
        <f t="shared" si="24"/>
        <v>3</v>
      </c>
      <c r="X28" s="334">
        <f t="shared" si="25"/>
        <v>13</v>
      </c>
      <c r="Y28" s="334">
        <f t="shared" si="26"/>
        <v>2</v>
      </c>
      <c r="Z28" s="334">
        <f t="shared" si="27"/>
        <v>6</v>
      </c>
      <c r="AA28" s="334">
        <f t="shared" si="28"/>
        <v>11.571428571428571</v>
      </c>
      <c r="AB28" s="334">
        <v>13.5</v>
      </c>
      <c r="AC28" s="116">
        <f>(14490+3125+145)*1.038</f>
        <v>18434.88</v>
      </c>
      <c r="AD28" s="51">
        <f t="shared" si="29"/>
        <v>22121.856</v>
      </c>
    </row>
    <row r="29" spans="1:33" x14ac:dyDescent="0.25">
      <c r="A29" s="332" t="str">
        <f t="shared" ref="A29:D29" si="49">A12</f>
        <v>#9</v>
      </c>
      <c r="B29" s="333" t="str">
        <f t="shared" si="49"/>
        <v>Inners</v>
      </c>
      <c r="C29" s="135" t="str">
        <f t="shared" si="49"/>
        <v>G. Piscaer</v>
      </c>
      <c r="D29" s="135" t="str">
        <f t="shared" si="49"/>
        <v>IMP</v>
      </c>
      <c r="E29" s="135">
        <f t="shared" si="45"/>
        <v>22</v>
      </c>
      <c r="F29" s="135">
        <f t="shared" si="45"/>
        <v>49</v>
      </c>
      <c r="G29" s="334">
        <f t="shared" si="18"/>
        <v>0</v>
      </c>
      <c r="H29" s="334">
        <f t="shared" si="39"/>
        <v>4</v>
      </c>
      <c r="I29" s="334">
        <f t="shared" si="40"/>
        <v>14</v>
      </c>
      <c r="J29" s="334">
        <f t="shared" si="19"/>
        <v>3</v>
      </c>
      <c r="K29" s="334">
        <f t="shared" si="20"/>
        <v>2</v>
      </c>
      <c r="L29" s="334">
        <f t="shared" si="41"/>
        <v>10.857142857142858</v>
      </c>
      <c r="M29" s="334">
        <f t="shared" si="42"/>
        <v>0</v>
      </c>
      <c r="N29" s="116">
        <f t="shared" ref="N29:O29" si="50">AC12</f>
        <v>25920</v>
      </c>
      <c r="O29" s="116">
        <f t="shared" si="50"/>
        <v>31104</v>
      </c>
      <c r="Q29" s="332" t="s">
        <v>224</v>
      </c>
      <c r="R29" s="333" t="str">
        <f t="shared" si="15"/>
        <v>Inners</v>
      </c>
      <c r="S29" s="135" t="str">
        <f t="shared" si="22"/>
        <v>IMP</v>
      </c>
      <c r="T29" s="135">
        <f t="shared" si="47"/>
        <v>23</v>
      </c>
      <c r="U29" s="135">
        <f t="shared" si="48"/>
        <v>49</v>
      </c>
      <c r="V29" s="334">
        <f t="shared" si="23"/>
        <v>0</v>
      </c>
      <c r="W29" s="334">
        <f t="shared" si="24"/>
        <v>4</v>
      </c>
      <c r="X29" s="334">
        <f t="shared" si="25"/>
        <v>14</v>
      </c>
      <c r="Y29" s="334">
        <f t="shared" si="26"/>
        <v>3</v>
      </c>
      <c r="Z29" s="334">
        <f t="shared" si="27"/>
        <v>2</v>
      </c>
      <c r="AA29" s="334">
        <f t="shared" si="28"/>
        <v>10.857142857142858</v>
      </c>
      <c r="AB29" s="334">
        <v>12.5</v>
      </c>
      <c r="AC29" s="116">
        <f>(23500+2295+125)*1.035</f>
        <v>26827.199999999997</v>
      </c>
      <c r="AD29" s="51">
        <f t="shared" si="29"/>
        <v>32192.639999999996</v>
      </c>
    </row>
    <row r="30" spans="1:33" x14ac:dyDescent="0.25">
      <c r="A30" s="332" t="str">
        <f t="shared" ref="A30:D30" si="51">A13</f>
        <v>#10</v>
      </c>
      <c r="B30" s="333" t="str">
        <f t="shared" si="51"/>
        <v>Inners</v>
      </c>
      <c r="C30" s="135" t="str">
        <f t="shared" si="51"/>
        <v>M. Bondarewski</v>
      </c>
      <c r="D30" s="135" t="str">
        <f t="shared" si="51"/>
        <v>RAP</v>
      </c>
      <c r="E30" s="135">
        <f t="shared" si="45"/>
        <v>22</v>
      </c>
      <c r="F30" s="135">
        <f t="shared" si="45"/>
        <v>49</v>
      </c>
      <c r="G30" s="334">
        <f t="shared" si="18"/>
        <v>0</v>
      </c>
      <c r="H30" s="334">
        <f t="shared" si="39"/>
        <v>2</v>
      </c>
      <c r="I30" s="334">
        <f t="shared" si="40"/>
        <v>14</v>
      </c>
      <c r="J30" s="334">
        <f t="shared" si="19"/>
        <v>5</v>
      </c>
      <c r="K30" s="334">
        <f t="shared" si="20"/>
        <v>4</v>
      </c>
      <c r="L30" s="334">
        <f t="shared" si="41"/>
        <v>10.857142857142858</v>
      </c>
      <c r="M30" s="334">
        <f t="shared" si="42"/>
        <v>6</v>
      </c>
      <c r="N30" s="116">
        <f t="shared" ref="N30:O30" si="52">AC13</f>
        <v>26565.9</v>
      </c>
      <c r="O30" s="116">
        <f t="shared" si="52"/>
        <v>31879.08</v>
      </c>
      <c r="Q30" s="332" t="s">
        <v>176</v>
      </c>
      <c r="R30" s="333" t="str">
        <f t="shared" si="15"/>
        <v>Inners</v>
      </c>
      <c r="S30" s="135" t="str">
        <f t="shared" si="22"/>
        <v>RAP</v>
      </c>
      <c r="T30" s="135">
        <f t="shared" si="47"/>
        <v>23</v>
      </c>
      <c r="U30" s="135">
        <f t="shared" si="48"/>
        <v>49</v>
      </c>
      <c r="V30" s="334">
        <f t="shared" si="23"/>
        <v>0</v>
      </c>
      <c r="W30" s="334">
        <f t="shared" si="24"/>
        <v>2</v>
      </c>
      <c r="X30" s="334">
        <f t="shared" si="25"/>
        <v>14</v>
      </c>
      <c r="Y30" s="334">
        <f t="shared" si="26"/>
        <v>5</v>
      </c>
      <c r="Z30" s="334">
        <f t="shared" si="27"/>
        <v>4</v>
      </c>
      <c r="AA30" s="334">
        <f t="shared" si="28"/>
        <v>10.857142857142858</v>
      </c>
      <c r="AB30" s="334">
        <v>15</v>
      </c>
      <c r="AC30" s="116">
        <f>(23500+2295+125+125)*1.043</f>
        <v>27164.934999999998</v>
      </c>
      <c r="AD30" s="51">
        <f t="shared" si="29"/>
        <v>32597.921999999995</v>
      </c>
    </row>
    <row r="31" spans="1:33" x14ac:dyDescent="0.25">
      <c r="A31" s="332" t="str">
        <f t="shared" ref="A31:D31" si="53">A14</f>
        <v>#11</v>
      </c>
      <c r="B31" s="333" t="str">
        <f t="shared" si="53"/>
        <v>Inners</v>
      </c>
      <c r="C31" s="135" t="str">
        <f t="shared" si="53"/>
        <v>J. Vartiainen</v>
      </c>
      <c r="D31" s="135" t="str">
        <f t="shared" si="53"/>
        <v>CAB</v>
      </c>
      <c r="E31" s="135">
        <f t="shared" si="45"/>
        <v>22</v>
      </c>
      <c r="F31" s="135">
        <f t="shared" si="45"/>
        <v>105</v>
      </c>
      <c r="G31" s="334">
        <f t="shared" si="18"/>
        <v>0</v>
      </c>
      <c r="H31" s="334">
        <f t="shared" si="39"/>
        <v>7</v>
      </c>
      <c r="I31" s="334">
        <f t="shared" si="40"/>
        <v>13.444444444444445</v>
      </c>
      <c r="J31" s="334">
        <f t="shared" si="19"/>
        <v>1</v>
      </c>
      <c r="K31" s="334">
        <f t="shared" si="20"/>
        <v>1</v>
      </c>
      <c r="L31" s="334">
        <f t="shared" si="41"/>
        <v>9.5</v>
      </c>
      <c r="M31" s="334">
        <f t="shared" si="42"/>
        <v>1</v>
      </c>
      <c r="N31" s="116">
        <f t="shared" ref="N31:O31" si="54">AC14</f>
        <v>21329.98</v>
      </c>
      <c r="O31" s="116">
        <f t="shared" si="54"/>
        <v>25595.975999999999</v>
      </c>
      <c r="Q31" s="332" t="s">
        <v>177</v>
      </c>
      <c r="R31" s="333" t="str">
        <f t="shared" si="15"/>
        <v>Inners</v>
      </c>
      <c r="S31" s="135" t="str">
        <f t="shared" si="22"/>
        <v>CAB</v>
      </c>
      <c r="T31" s="135">
        <f t="shared" si="47"/>
        <v>23</v>
      </c>
      <c r="U31" s="135">
        <f t="shared" si="48"/>
        <v>105</v>
      </c>
      <c r="V31" s="334">
        <f t="shared" si="23"/>
        <v>0</v>
      </c>
      <c r="W31" s="334">
        <f t="shared" si="24"/>
        <v>7</v>
      </c>
      <c r="X31" s="334">
        <f t="shared" si="25"/>
        <v>13.444444444444445</v>
      </c>
      <c r="Y31" s="334">
        <f t="shared" si="26"/>
        <v>1</v>
      </c>
      <c r="Z31" s="334">
        <f t="shared" si="27"/>
        <v>1</v>
      </c>
      <c r="AA31" s="334">
        <f t="shared" si="28"/>
        <v>9.5</v>
      </c>
      <c r="AB31" s="334">
        <v>13</v>
      </c>
      <c r="AC31" s="116">
        <f>(20000+1020+225)*1.037</f>
        <v>22031.064999999999</v>
      </c>
      <c r="AD31" s="51">
        <f t="shared" si="29"/>
        <v>26437.277999999998</v>
      </c>
    </row>
    <row r="32" spans="1:33" x14ac:dyDescent="0.25">
      <c r="A32" s="332" t="str">
        <f t="shared" ref="A32:D32" si="55">A15</f>
        <v>#12</v>
      </c>
      <c r="B32" s="333" t="str">
        <f t="shared" si="55"/>
        <v>Inners</v>
      </c>
      <c r="C32" s="135" t="str">
        <f t="shared" si="55"/>
        <v>R. Forsyth</v>
      </c>
      <c r="D32" s="135" t="str">
        <f t="shared" si="55"/>
        <v>POT</v>
      </c>
      <c r="E32" s="135">
        <f t="shared" si="45"/>
        <v>22</v>
      </c>
      <c r="F32" s="135">
        <f t="shared" si="45"/>
        <v>100</v>
      </c>
      <c r="G32" s="334">
        <f t="shared" si="18"/>
        <v>0</v>
      </c>
      <c r="H32" s="334">
        <f t="shared" si="39"/>
        <v>7</v>
      </c>
      <c r="I32" s="334">
        <f t="shared" si="40"/>
        <v>13.444444444444445</v>
      </c>
      <c r="J32" s="334">
        <f t="shared" si="19"/>
        <v>2</v>
      </c>
      <c r="K32" s="334">
        <f t="shared" si="20"/>
        <v>4</v>
      </c>
      <c r="L32" s="334">
        <f t="shared" si="41"/>
        <v>9.5</v>
      </c>
      <c r="M32" s="334">
        <f t="shared" si="42"/>
        <v>2</v>
      </c>
      <c r="N32" s="116">
        <f t="shared" ref="N32:O32" si="56">AC15</f>
        <v>21540.959999999999</v>
      </c>
      <c r="O32" s="116">
        <f t="shared" si="56"/>
        <v>21540.959999999999</v>
      </c>
      <c r="Q32" s="332" t="s">
        <v>171</v>
      </c>
      <c r="R32" s="333" t="str">
        <f t="shared" si="15"/>
        <v>Inners</v>
      </c>
      <c r="S32" s="135" t="str">
        <f t="shared" si="22"/>
        <v>POT</v>
      </c>
      <c r="T32" s="135">
        <f t="shared" si="47"/>
        <v>23</v>
      </c>
      <c r="U32" s="135">
        <f t="shared" si="48"/>
        <v>100</v>
      </c>
      <c r="V32" s="334">
        <f t="shared" si="23"/>
        <v>0</v>
      </c>
      <c r="W32" s="334">
        <f t="shared" si="24"/>
        <v>7</v>
      </c>
      <c r="X32" s="334">
        <f t="shared" si="25"/>
        <v>13.444444444444445</v>
      </c>
      <c r="Y32" s="334">
        <f t="shared" si="26"/>
        <v>2</v>
      </c>
      <c r="Z32" s="334">
        <f t="shared" si="27"/>
        <v>4</v>
      </c>
      <c r="AA32" s="334">
        <f t="shared" si="28"/>
        <v>9.5</v>
      </c>
      <c r="AB32" s="334">
        <v>13.5</v>
      </c>
      <c r="AC32" s="116">
        <f>(20000+1020+225+125)*1.038</f>
        <v>22182.06</v>
      </c>
      <c r="AD32" s="51">
        <f t="shared" si="29"/>
        <v>26618.472000000002</v>
      </c>
    </row>
    <row r="33" spans="1:30" x14ac:dyDescent="0.25">
      <c r="A33" s="332" t="str">
        <f t="shared" ref="A33:D33" si="57">A16</f>
        <v>#13</v>
      </c>
      <c r="B33" s="333" t="str">
        <f t="shared" si="57"/>
        <v>DD</v>
      </c>
      <c r="C33" s="135" t="s">
        <v>441</v>
      </c>
      <c r="D33" s="135" t="str">
        <f t="shared" si="57"/>
        <v>RAP/IMP/CAB</v>
      </c>
      <c r="E33" s="135">
        <v>22</v>
      </c>
      <c r="F33" s="135">
        <v>50</v>
      </c>
      <c r="G33" s="334">
        <f t="shared" si="18"/>
        <v>0</v>
      </c>
      <c r="H33" s="334">
        <f t="shared" si="39"/>
        <v>2</v>
      </c>
      <c r="I33" s="334">
        <v>14</v>
      </c>
      <c r="J33" s="334">
        <f t="shared" si="19"/>
        <v>2</v>
      </c>
      <c r="K33" s="334">
        <f t="shared" si="20"/>
        <v>2</v>
      </c>
      <c r="L33" s="334">
        <v>11</v>
      </c>
      <c r="M33" s="334">
        <v>10</v>
      </c>
      <c r="N33" s="116">
        <f>(22400+2295)*1.03</f>
        <v>25435.850000000002</v>
      </c>
      <c r="O33" s="116">
        <f t="shared" ref="O33:O34" si="58">N33*1.2</f>
        <v>30523.02</v>
      </c>
      <c r="Q33" s="332" t="s">
        <v>216</v>
      </c>
      <c r="R33" s="333" t="str">
        <f t="shared" si="15"/>
        <v>DD</v>
      </c>
      <c r="S33" s="135" t="str">
        <f t="shared" si="22"/>
        <v>RAP/IMP/CAB</v>
      </c>
      <c r="T33" s="135"/>
      <c r="U33" s="135"/>
      <c r="V33" s="334">
        <f t="shared" si="23"/>
        <v>0</v>
      </c>
      <c r="W33" s="334">
        <f t="shared" si="24"/>
        <v>2</v>
      </c>
      <c r="X33" s="334">
        <f t="shared" si="25"/>
        <v>14</v>
      </c>
      <c r="Y33" s="334">
        <f t="shared" si="26"/>
        <v>2</v>
      </c>
      <c r="Z33" s="334">
        <f t="shared" si="27"/>
        <v>2</v>
      </c>
      <c r="AA33" s="334">
        <f t="shared" si="28"/>
        <v>11</v>
      </c>
      <c r="AB33" s="334">
        <v>18</v>
      </c>
      <c r="AC33" s="116">
        <f>(22400+2295)*1.048</f>
        <v>25880.36</v>
      </c>
      <c r="AD33" s="51">
        <f t="shared" si="29"/>
        <v>31056.432000000001</v>
      </c>
    </row>
    <row r="34" spans="1:30" x14ac:dyDescent="0.25">
      <c r="A34" s="332" t="str">
        <f t="shared" ref="A34:D34" si="59">A17</f>
        <v>#14</v>
      </c>
      <c r="B34" s="333" t="str">
        <f t="shared" si="59"/>
        <v>DD</v>
      </c>
      <c r="C34" s="135" t="s">
        <v>441</v>
      </c>
      <c r="D34" s="135" t="str">
        <f t="shared" si="59"/>
        <v>RAP/IMP/CAB</v>
      </c>
      <c r="E34" s="135">
        <v>22</v>
      </c>
      <c r="F34" s="135">
        <v>50</v>
      </c>
      <c r="G34" s="334">
        <f t="shared" ref="G34" si="60">V17</f>
        <v>0</v>
      </c>
      <c r="H34" s="334">
        <f t="shared" ref="H34" si="61">W17</f>
        <v>2</v>
      </c>
      <c r="I34" s="334">
        <v>14</v>
      </c>
      <c r="J34" s="334">
        <f t="shared" ref="J34" si="62">Y17</f>
        <v>2</v>
      </c>
      <c r="K34" s="334">
        <f t="shared" ref="K34" si="63">Z17</f>
        <v>2</v>
      </c>
      <c r="L34" s="334">
        <v>11</v>
      </c>
      <c r="M34" s="334">
        <v>10</v>
      </c>
      <c r="N34" s="116">
        <f>(22400+2295)*1.03</f>
        <v>25435.850000000002</v>
      </c>
      <c r="O34" s="116">
        <f t="shared" si="58"/>
        <v>30523.02</v>
      </c>
      <c r="Q34" s="332" t="s">
        <v>223</v>
      </c>
      <c r="R34" s="333" t="str">
        <f t="shared" si="15"/>
        <v>DD</v>
      </c>
      <c r="S34" s="135" t="str">
        <f t="shared" si="22"/>
        <v>RAP/IMP/CAB</v>
      </c>
      <c r="T34" s="135"/>
      <c r="U34" s="135"/>
      <c r="V34" s="334">
        <f t="shared" si="23"/>
        <v>0</v>
      </c>
      <c r="W34" s="334">
        <f t="shared" si="24"/>
        <v>2</v>
      </c>
      <c r="X34" s="334">
        <f t="shared" si="25"/>
        <v>14</v>
      </c>
      <c r="Y34" s="334">
        <f t="shared" si="26"/>
        <v>2</v>
      </c>
      <c r="Z34" s="334">
        <f t="shared" si="27"/>
        <v>2</v>
      </c>
      <c r="AA34" s="334">
        <f t="shared" si="28"/>
        <v>11</v>
      </c>
      <c r="AB34" s="334">
        <v>18</v>
      </c>
      <c r="AC34" s="116">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2019-07-09T15:05:45Z</dcterms:modified>
</cp:coreProperties>
</file>